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ates\Public\RASANEN\#  Rate Filings\Sch 141TEP - Transportation Electrification Program (TEP)\2025\Analysis\No Links\"/>
    </mc:Choice>
  </mc:AlternateContent>
  <bookViews>
    <workbookView xWindow="-120" yWindow="-120" windowWidth="29040" windowHeight="15840" tabRatio="931" activeTab="1"/>
  </bookViews>
  <sheets>
    <sheet name="Tariff Use&gt;" sheetId="115" r:id="rId1"/>
    <sheet name="Sch 141 TEP Rates" sheetId="116" r:id="rId2"/>
    <sheet name="Rate Impacts" sheetId="117" r:id="rId3"/>
    <sheet name="Workpapers&gt;" sheetId="107" r:id="rId4"/>
    <sheet name="Rate Spread &amp; Design" sheetId="72" r:id="rId5"/>
    <sheet name="TEP 12NCP-2024 GRC" sheetId="109" r:id="rId6"/>
    <sheet name="Inputs" sheetId="111" r:id="rId7"/>
  </sheets>
  <definedNames>
    <definedName name="__________________six6" localSheetId="2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1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1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1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1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1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1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1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1" hidden="1">{#N/A,#N/A,FALSE,"schA"}</definedName>
    <definedName name="___www1" hidden="1">{#N/A,#N/A,FALSE,"schA"}</definedName>
    <definedName name="__123Graph_A" hidden="1">#REF!</definedName>
    <definedName name="__123Graph_B" localSheetId="2" hidden="1">#REF!</definedName>
    <definedName name="__123Graph_B" localSheetId="1" hidden="1">#REF!</definedName>
    <definedName name="__123Graph_B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CURRENT" localSheetId="2" hidden="1">#REF!</definedName>
    <definedName name="__123Graph_ECURRENT" localSheetId="1" hidden="1">#REF!</definedName>
    <definedName name="__123Graph_ECURRENT" hidden="1">#REF!</definedName>
    <definedName name="__six6" localSheetId="2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1" hidden="1">{#N/A,#N/A,FALSE,"schA"}</definedName>
    <definedName name="__www1" hidden="1">{#N/A,#N/A,FALSE,"schA"}</definedName>
    <definedName name="_2__123Graph_ABUDG6_Dtons_inv" localSheetId="2" hidden="1">#REF!</definedName>
    <definedName name="_2__123Graph_ABUDG6_Dtons_inv" localSheetId="1" hidden="1">#REF!</definedName>
    <definedName name="_2__123Graph_ABUDG6_Dtons_inv" hidden="1">#REF!</definedName>
    <definedName name="_3__123Graph_ABUDG6_Dtons_inv" localSheetId="2" hidden="1">#REF!</definedName>
    <definedName name="_3__123Graph_ABUDG6_Dtons_inv" localSheetId="1" hidden="1">#REF!</definedName>
    <definedName name="_3__123Graph_ABUDG6_Dtons_inv" hidden="1">#REF!</definedName>
    <definedName name="_4__123Graph_ABUDG6_Dtons_inv" localSheetId="2" hidden="1">#REF!</definedName>
    <definedName name="_4__123Graph_ABUDG6_Dtons_inv" localSheetId="1" hidden="1">#REF!</definedName>
    <definedName name="_4__123Graph_ABUDG6_Dtons_inv" hidden="1">#REF!</definedName>
    <definedName name="_6__123Graph_CBUDG6_D_ESCRPR" localSheetId="2" hidden="1">#REF!</definedName>
    <definedName name="_6__123Graph_CBUDG6_D_ESCRPR" localSheetId="1" hidden="1">#REF!</definedName>
    <definedName name="_6__123Graph_CBUDG6_D_ESCRPR" hidden="1">#REF!</definedName>
    <definedName name="_7__123Graph_CBUDG6_D_ESCRPR" localSheetId="2" hidden="1">#REF!</definedName>
    <definedName name="_7__123Graph_CBUDG6_D_ESCRPR" localSheetId="1" hidden="1">#REF!</definedName>
    <definedName name="_7__123Graph_CBUDG6_D_ESCRPR" hidden="1">#REF!</definedName>
    <definedName name="_7__123Graph_DBUDG6_D_ESCRPR" localSheetId="2" hidden="1">#REF!</definedName>
    <definedName name="_7__123Graph_DBUDG6_D_ESCRPR" localSheetId="1" hidden="1">#REF!</definedName>
    <definedName name="_7__123Graph_DBUDG6_D_ESCRPR" hidden="1">#REF!</definedName>
    <definedName name="_8__123Graph_DBUDG6_D_ESCRPR" localSheetId="2" hidden="1">#REF!</definedName>
    <definedName name="_8__123Graph_DBUDG6_D_ESCRPR" localSheetId="1" hidden="1">#REF!</definedName>
    <definedName name="_8__123Graph_DBUDG6_D_ESCRPR" hidden="1">#REF!</definedName>
    <definedName name="_ex1" localSheetId="2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2" hidden="1">#REF!</definedName>
    <definedName name="_Fill" localSheetId="1" hidden="1">#REF!</definedName>
    <definedName name="_Fill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new1" localSheetId="2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Parse_In" localSheetId="2" hidden="1">#REF!</definedName>
    <definedName name="_Parse_In" localSheetId="1" hidden="1">#REF!</definedName>
    <definedName name="_Parse_In" hidden="1">#REF!</definedName>
    <definedName name="_six6" localSheetId="2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localSheetId="1" hidden="1">#REF!</definedName>
    <definedName name="_Sort" hidden="1">#REF!</definedName>
    <definedName name="_www1" localSheetId="2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localSheetId="2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m" localSheetId="2" hidden="1">#REF!</definedName>
    <definedName name="BEm" localSheetId="1" hidden="1">#REF!</definedName>
    <definedName name="BEm" hidden="1">#REF!</definedName>
    <definedName name="BEx0017DGUEDPCFJUPUZOOLJCS2B" localSheetId="2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2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2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2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2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2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2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2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2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2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2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2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2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2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2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2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2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2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2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2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2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2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2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2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2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2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2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2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2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2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2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2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2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2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2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2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2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2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2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2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2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2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2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2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2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2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2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2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2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2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2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2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2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2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2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2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2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2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2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2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2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2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2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2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2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2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2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2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2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2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2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2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2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2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2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2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2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2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2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2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2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2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2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2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2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2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2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2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2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2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2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2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2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2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2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2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2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2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2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2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2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2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2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2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2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2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2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2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2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2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2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2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2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2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2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2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2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2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2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2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2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2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2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2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2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2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2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2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2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2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2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2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2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2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2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2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2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2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2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2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2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2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2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2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2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2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2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2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2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2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2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2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2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2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2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2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2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2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2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2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2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2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2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2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2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2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2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2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2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2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2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2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2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2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2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2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2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2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2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2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2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2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2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2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2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2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2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2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2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2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2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2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2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2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2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2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2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2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2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2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2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2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2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2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2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2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2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2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2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2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2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2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2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2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2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2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2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2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2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2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2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2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2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2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2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2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2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2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2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2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2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2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2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2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2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2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2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2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2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2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2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2" hidden="1">#REF!</definedName>
    <definedName name="BEx3O19B8FTTAPVT5DZXQGQXWFR8" localSheetId="1" hidden="1">#REF!</definedName>
    <definedName name="BEx3O19B8FTTAPVT5DZXQGQXWFR8" hidden="1">#REF!</definedName>
    <definedName name="BEx3O85IKWARA6NCJOLRBRJFMEWW" hidden="1">#REF!</definedName>
    <definedName name="BEx3OJZSCGFRW7SVGBFI0X9DNVMM" localSheetId="2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2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2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2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2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2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2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2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2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2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2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2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2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2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2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2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2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2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2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2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2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2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2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2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2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2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2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2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2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2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2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2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2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2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2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2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2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2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2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2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2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2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2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2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2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2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2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2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2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2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2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2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2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2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2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2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2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2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2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2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2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2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2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2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2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2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2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2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2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2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2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2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2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2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2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2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2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2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2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2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2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2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2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2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2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2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2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2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2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2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2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2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2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2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2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2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2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2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2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2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2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2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2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2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2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2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2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2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2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2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2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2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2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2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2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2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2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2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2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2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2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2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2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2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2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2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2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2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2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2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2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2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2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2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2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2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2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2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2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2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2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2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2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2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2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2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2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2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2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2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2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2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2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2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2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2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2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2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2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2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2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2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2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2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2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2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2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2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2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2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2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2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2" hidden="1">#REF!</definedName>
    <definedName name="BEx5MHEF05EVRV5DPTG4KMPWZSUS" localSheetId="1" hidden="1">#REF!</definedName>
    <definedName name="BEx5MHEF05EVRV5DPTG4KMPWZSUS" hidden="1">#REF!</definedName>
    <definedName name="BEx5MLQZM68YQSKARVWTTPINFQ2C" hidden="1">#REF!</definedName>
    <definedName name="BEx5MMCJMU7FOOWUCW9EA13B7V5F" localSheetId="2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2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2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2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2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2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2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2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2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2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2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2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2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2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2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2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2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2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2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2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2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2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2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2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2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2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2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2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2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2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2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2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2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2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2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2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2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2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2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2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2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2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2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2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2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2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2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2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2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2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2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2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2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2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2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2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2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2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2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2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2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2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2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2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2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2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2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2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2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2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2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2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2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2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2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2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2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2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2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2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2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2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2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2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2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2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2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2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2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2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2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2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2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2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2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2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2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2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2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2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2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2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2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2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2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2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2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2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2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2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2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2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2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2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2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2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2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2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2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2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2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2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2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2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2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2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2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2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2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2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2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2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2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2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2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2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2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2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2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2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2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2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2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2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2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2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2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2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2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2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2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2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2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2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2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2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2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2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2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2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2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2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2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2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2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2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2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2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2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2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2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2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2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2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2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2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2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2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2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2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2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2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2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2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2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2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2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2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2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2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2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2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2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2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2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2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2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2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2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2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2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2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2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2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2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2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2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2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2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2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2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2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2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2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2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2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2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2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2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2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2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2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2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2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2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2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2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2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2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2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2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2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2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2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2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2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2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2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2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2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2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2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2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2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2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2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2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2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2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2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2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2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2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2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2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2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2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2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2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2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2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2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2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2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2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2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2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2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2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2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2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2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2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2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2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2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2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2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2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2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2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2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2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2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2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2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2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2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2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2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2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2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2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2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2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2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2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2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2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2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2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2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2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2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2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2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2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2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2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2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2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2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2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2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2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2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2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2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2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2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2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2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2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2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2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2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2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2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2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2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2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2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2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2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2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2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2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2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2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2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2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2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2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2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2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2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2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2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2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2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2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2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2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2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2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2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2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2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2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2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2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2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2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2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2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2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2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2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2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2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2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2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2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2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2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2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2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2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2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2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2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2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2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2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2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2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2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2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2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2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2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2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2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2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2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2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2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2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2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2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2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2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2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2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2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2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2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2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2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2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2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2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2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2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2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2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2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2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2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2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2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2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2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2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2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2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2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2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2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2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2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2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2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2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2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2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2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2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2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2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2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2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2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2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2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2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2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2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2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2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2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2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2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2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2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2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2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2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2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2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2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2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2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2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2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2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2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2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2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2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2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2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2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2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2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2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2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2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2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2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2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2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2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2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2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2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2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2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2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2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2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2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2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2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2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2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2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2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2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2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2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2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2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2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2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2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2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2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2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2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2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2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2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2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2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2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2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2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2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2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2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2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2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2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2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2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2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2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2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2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2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2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2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2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2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2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2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2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2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2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2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2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2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2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2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2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2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2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2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2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2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2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2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2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2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2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2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2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2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2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2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2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2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2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2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2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2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2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2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2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2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2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2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2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2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2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2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2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2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2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2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2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2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2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2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2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2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2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2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2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2" hidden="1">#REF!</definedName>
    <definedName name="BExERU8P606C6QQZZL55U0ZQYQF1" localSheetId="1" hidden="1">#REF!</definedName>
    <definedName name="BExERU8P606C6QQZZL55U0ZQYQF1" hidden="1">#REF!</definedName>
    <definedName name="BExERWCEBKQRYWRQLYJ4UCMMKTHG" hidden="1">#REF!</definedName>
    <definedName name="BExERXE1QW042A2T25RI4DVUU59O" localSheetId="2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2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2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2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2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2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2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2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2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2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2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2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2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2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2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2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2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2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2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2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2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2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2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2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2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2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2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2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2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2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2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2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2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2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2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2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2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2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2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2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2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2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2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2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2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2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2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2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2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2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2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2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2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2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2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2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2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2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2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2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2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2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2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2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2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2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2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2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2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2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2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2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2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2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2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2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2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2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2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2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2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2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2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2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2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2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2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2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2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2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2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2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2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2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2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2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2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2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2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2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2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2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2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2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2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2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2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2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2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2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2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2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2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2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2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2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2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2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2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2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2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2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2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2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2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2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2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2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2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2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2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2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2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2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2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2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2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2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2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2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2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2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2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2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2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2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2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2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2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2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2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2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2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2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2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2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2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2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2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2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2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2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2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2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2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2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2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2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2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2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2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2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2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2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2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2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2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2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2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2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2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2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2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2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2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2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2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2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2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2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2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2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2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2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2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2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2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2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2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2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2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2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2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2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2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2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2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2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2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2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2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2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2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2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2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2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2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2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2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2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2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2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2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2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2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2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2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2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2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2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2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2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2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2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2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2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2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2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2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2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2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2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2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2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2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2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2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2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2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2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2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2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2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2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2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2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2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2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2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2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2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2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2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2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2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2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2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2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2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2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2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2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2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2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2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2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2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2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2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2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2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2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2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2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2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2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2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2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2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2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2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2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2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2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2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2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2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2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2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2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2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2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2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2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2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2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2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2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2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2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2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2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2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2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2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2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2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2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2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2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2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2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2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2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2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2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2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2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2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2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2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2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2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2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2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2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2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2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2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2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2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2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2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2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2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2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2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2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2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2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2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2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2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2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2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2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2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2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2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2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2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2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2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2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2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2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2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2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2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2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2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2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2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2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2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2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2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2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2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2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2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2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2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2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2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2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2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2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2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2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2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2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2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2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2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2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2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2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2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2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2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2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2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2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2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2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2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2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2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2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2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2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2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2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2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2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2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2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2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2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2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2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2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2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2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2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2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2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2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2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2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2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2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2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2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2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2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2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2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2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2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2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2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2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2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2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2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2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2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2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2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2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2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2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2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2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2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2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2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2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2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2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2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2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2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2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2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2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2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2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2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2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2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2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2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2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2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2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2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2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2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2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2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2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2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2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2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2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2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2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2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2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2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2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2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2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2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2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2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2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2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2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2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2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2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2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2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2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2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2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2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2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2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2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2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2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2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2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2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2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2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2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2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2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2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2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2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2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2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2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2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2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2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2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2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2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2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2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2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2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2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2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2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2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2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2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2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2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2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2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2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2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2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2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2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2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2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2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2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2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2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2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2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2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2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2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2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2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2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2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2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2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2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2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2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2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2" hidden="1">#REF!</definedName>
    <definedName name="BExMBK6ISK3U7KHZKUJXIDKGF6VW" localSheetId="1" hidden="1">#REF!</definedName>
    <definedName name="BExMBK6ISK3U7KHZKUJXIDKGF6VW" hidden="1">#REF!</definedName>
    <definedName name="BExMBYPQDG9AYDQ5E8IECVFREPO6" hidden="1">#REF!</definedName>
    <definedName name="BExMC7PESEESXVMDCGGIP5LPMUGY" localSheetId="2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2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2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2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2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2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2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2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2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2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2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2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2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2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2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2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2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2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2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2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2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2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2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2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2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2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2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2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2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2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2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2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2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2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2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2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2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2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2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2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2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2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2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2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2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2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2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2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2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2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2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2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2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2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2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2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2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2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2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2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2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2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2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2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2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2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2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2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2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2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2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2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2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2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2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2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2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2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2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2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2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2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2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2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2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2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2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2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2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2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2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2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2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2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2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2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2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2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2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2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2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2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2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2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2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2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2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2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2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2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2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2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2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2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2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2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2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2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2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2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2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2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2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2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2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2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2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2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2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2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2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2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2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2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2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2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2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2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2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2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2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2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2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2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2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2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2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2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2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2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2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2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2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2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2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2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2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2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2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2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2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2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2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2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2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2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2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2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2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2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2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2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2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2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2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2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2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2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2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2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2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2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2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2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2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2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2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2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2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2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2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2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2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2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2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2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2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2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2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2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2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2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2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2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2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2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2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2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2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2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2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2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2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2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2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2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2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2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2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2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2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2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2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2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2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2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2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2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2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2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2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2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2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2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2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2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2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2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2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2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2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2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2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2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2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2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2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2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2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2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2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2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2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2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2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2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2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2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2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2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2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2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2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2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2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2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2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2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2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2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2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2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2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2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2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2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2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2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2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2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2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2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2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2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2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2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2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2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2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2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2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2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2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2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2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2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2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2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2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2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2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2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2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2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2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2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2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2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2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2" hidden="1">#REF!</definedName>
    <definedName name="BExQ9UTANMJCK7LJ4OQMD6F2Q01L" localSheetId="1" hidden="1">#REF!</definedName>
    <definedName name="BExQ9UTANMJCK7LJ4OQMD6F2Q01L" hidden="1">#REF!</definedName>
    <definedName name="BExQ9ZLYHWABXAA9NJDW8ZS0UQ9P" hidden="1">#REF!</definedName>
    <definedName name="BExQ9ZWQ19KSRZNZNPY6ZNWEST1J" localSheetId="2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2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2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2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2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2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2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2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2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2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2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2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2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2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2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2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2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2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2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2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2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2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2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2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2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2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2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2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2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2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2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2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2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2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2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2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2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2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2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2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2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2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2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2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2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2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2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2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2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2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2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2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2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2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2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2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2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2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2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2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2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2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2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2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2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2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2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2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2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2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2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2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2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2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2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2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2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2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2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2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2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2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2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2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2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2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2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2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2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2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2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2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2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2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2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2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2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2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2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2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2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2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2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2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2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2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2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2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2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2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2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2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2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2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2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2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2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2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2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2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2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2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2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2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2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2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2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2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2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2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2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2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2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2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2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2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2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2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2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2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2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2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2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2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2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2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2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2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2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2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2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2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2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2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2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2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2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2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2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2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2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2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2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2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2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2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2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2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2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2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2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2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2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2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2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2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2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2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2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2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2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2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2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2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2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2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2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2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2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2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2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2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2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2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2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2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2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2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2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2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2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2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2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2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2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2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2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2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2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2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2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2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2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2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2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2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2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2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2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2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2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2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2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2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2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2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2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2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2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2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2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2" hidden="1">#REF!</definedName>
    <definedName name="BExTUWXFQHINU66YG82BI20ATMB5" localSheetId="1" hidden="1">#REF!</definedName>
    <definedName name="BExTUWXFQHINU66YG82BI20ATMB5" hidden="1">#REF!</definedName>
    <definedName name="BExTUY9WNSJ91GV8CP0SKJTEIV82" hidden="1">#REF!</definedName>
    <definedName name="BExTV67VIM8PV6KO253M4DUBJQLC" localSheetId="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2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2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2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2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2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2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2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2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2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2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2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2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2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2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2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2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2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2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2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2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2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2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2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2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2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2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2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2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2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2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2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2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2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2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2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2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2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2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2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2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2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2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2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2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2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2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2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2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2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2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2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2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2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2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2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2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2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2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2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2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2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2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2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2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2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2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2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2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2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2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2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2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2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2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2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2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2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2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2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2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2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2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2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2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2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2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2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2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2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2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2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2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2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2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2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2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2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2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2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2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2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2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2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2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2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2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2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2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2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2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2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2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2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2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2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2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2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2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2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2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2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2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2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2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2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2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2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2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2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2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2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2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2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2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2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2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2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2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2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2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2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2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2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2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2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2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2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2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2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2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2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2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2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2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2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2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2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2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2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2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2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2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2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2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2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2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2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2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2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2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2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2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2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2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2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2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2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2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2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2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2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2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2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2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2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2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2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2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2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2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2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2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2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2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2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2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2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2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2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2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2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2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2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2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2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2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2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2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2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2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2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2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2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2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2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2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2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2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2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2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2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2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2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2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2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2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2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2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2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2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2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2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2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2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2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2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2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2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2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2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2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2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2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2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2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2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2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2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2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2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2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2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2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2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2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2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2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2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2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2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2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2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2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2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2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2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2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2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2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2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2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2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2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2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2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2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2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2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2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2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2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2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2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2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2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2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2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2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2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2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2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2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2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2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2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2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2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2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2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2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2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2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2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2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2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2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2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2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2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2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2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2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2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2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2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2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2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2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2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2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2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2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2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2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2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2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2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2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2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2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2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2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2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2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2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2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2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2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2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2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2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2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2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2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2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2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2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2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2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2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2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2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2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2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2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2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2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2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2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2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2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2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2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2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2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2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2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2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2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2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2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2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2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2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2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2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2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2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2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2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2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2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2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2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2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2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2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2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2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2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2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2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2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2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2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2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2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2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2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2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2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2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2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2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2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2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2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2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2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2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2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2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2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2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2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2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2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2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2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2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2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2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2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2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2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2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2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2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2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2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2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2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2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2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2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2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2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2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2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2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2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2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2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2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2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2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2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2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2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2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2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2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2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2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2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2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2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2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2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2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2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2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2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2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2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2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2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2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2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2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2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2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2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2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2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2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2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2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2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2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2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2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2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2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2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2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2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2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2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2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2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2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2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2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2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2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2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2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2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2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2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2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2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2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2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2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2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2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2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2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2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2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2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2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2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2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2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2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2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2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2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2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2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2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2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2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2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2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2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2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2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2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2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2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2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2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2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2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2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2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2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2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2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2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2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2" hidden="1">#REF!</definedName>
    <definedName name="BExZZZEMIIFKMLLV4DJKX5TB9R5V" localSheetId="1" hidden="1">#REF!</definedName>
    <definedName name="BExZZZEMIIFKMLLV4DJKX5TB9R5V" hidden="1">#REF!</definedName>
    <definedName name="Bum" localSheetId="2" hidden="1">#REF!</definedName>
    <definedName name="Bum" localSheetId="1" hidden="1">#REF!</definedName>
    <definedName name="Bum" hidden="1">#REF!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UDE" localSheetId="2" hidden="1">#REF!</definedName>
    <definedName name="DUDE" localSheetId="1" hidden="1">#REF!</definedName>
    <definedName name="DUDE" hidden="1">#REF!</definedName>
    <definedName name="ee" localSheetId="2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localSheetId="2" hidden="1">#REF!</definedName>
    <definedName name="F" localSheetId="1" hidden="1">#REF!</definedName>
    <definedName name="F" hidden="1">#REF!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2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1" hidden="1">{#N/A,#N/A,FALSE,"schA"}</definedName>
    <definedName name="qqq" hidden="1">{#N/A,#N/A,FALSE,"schA"}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2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" hidden="1">#REF!</definedName>
    <definedName name="Transfer" localSheetId="1" hidden="1">#REF!</definedName>
    <definedName name="Transfer" hidden="1">#REF!</definedName>
    <definedName name="Transfers" localSheetId="2" hidden="1">#REF!</definedName>
    <definedName name="Transfers" localSheetId="1" hidden="1">#REF!</definedName>
    <definedName name="Transfers" hidden="1">#REF!</definedName>
    <definedName name="u" localSheetId="2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v" localSheetId="2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2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1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16" l="1"/>
  <c r="B69" i="116" l="1"/>
  <c r="C69" i="116"/>
  <c r="G34" i="117" l="1"/>
  <c r="G32" i="117"/>
  <c r="G30" i="117"/>
  <c r="G27" i="117" l="1"/>
  <c r="G26" i="117"/>
  <c r="G21" i="117"/>
  <c r="G22" i="117"/>
  <c r="G20" i="117"/>
  <c r="G16" i="117"/>
  <c r="G15" i="117"/>
  <c r="G14" i="117"/>
  <c r="G13" i="117"/>
  <c r="G10" i="117"/>
  <c r="H5" i="72"/>
  <c r="A4" i="117" l="1"/>
  <c r="A3" i="117"/>
  <c r="E8" i="116" l="1"/>
  <c r="D8" i="116"/>
  <c r="A10" i="117" l="1"/>
  <c r="A11" i="117" s="1"/>
  <c r="A12" i="117" s="1"/>
  <c r="A13" i="117" s="1"/>
  <c r="A14" i="117" s="1"/>
  <c r="A15" i="117" s="1"/>
  <c r="A16" i="117" s="1"/>
  <c r="A17" i="117" s="1"/>
  <c r="A18" i="117" s="1"/>
  <c r="A19" i="117" s="1"/>
  <c r="A20" i="117" s="1"/>
  <c r="A21" i="117" s="1"/>
  <c r="A22" i="117" s="1"/>
  <c r="A23" i="117" s="1"/>
  <c r="A24" i="117" s="1"/>
  <c r="A25" i="117" s="1"/>
  <c r="A26" i="117" s="1"/>
  <c r="A27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M34" i="117"/>
  <c r="N34" i="117" s="1"/>
  <c r="O34" i="117" s="1"/>
  <c r="K28" i="117" l="1"/>
  <c r="G23" i="117"/>
  <c r="H23" i="117" s="1"/>
  <c r="K17" i="117"/>
  <c r="M30" i="117"/>
  <c r="N30" i="117" s="1"/>
  <c r="O30" i="117" s="1"/>
  <c r="G17" i="117"/>
  <c r="M32" i="117"/>
  <c r="N32" i="117" s="1"/>
  <c r="O32" i="117" s="1"/>
  <c r="K23" i="117"/>
  <c r="G28" i="117"/>
  <c r="K38" i="117" l="1"/>
  <c r="H17" i="117"/>
  <c r="G38" i="117"/>
  <c r="H28" i="117"/>
  <c r="A2" i="116" l="1"/>
  <c r="A11" i="116"/>
  <c r="A12" i="116" s="1"/>
  <c r="A13" i="116" s="1"/>
  <c r="A14" i="116" s="1"/>
  <c r="A15" i="116" s="1"/>
  <c r="A16" i="116" s="1"/>
  <c r="A17" i="116" s="1"/>
  <c r="A18" i="116" s="1"/>
  <c r="A19" i="116" s="1"/>
  <c r="A20" i="116" s="1"/>
  <c r="A21" i="116" s="1"/>
  <c r="A22" i="116" s="1"/>
  <c r="A23" i="116" s="1"/>
  <c r="A24" i="116" s="1"/>
  <c r="A25" i="116" s="1"/>
  <c r="A26" i="116" s="1"/>
  <c r="A27" i="116" s="1"/>
  <c r="A28" i="116" s="1"/>
  <c r="A29" i="116" s="1"/>
  <c r="A30" i="116" s="1"/>
  <c r="A31" i="116" s="1"/>
  <c r="A32" i="116" s="1"/>
  <c r="A33" i="116" s="1"/>
  <c r="A34" i="116" s="1"/>
  <c r="A35" i="116" s="1"/>
  <c r="A36" i="116" s="1"/>
  <c r="A37" i="116" s="1"/>
  <c r="A38" i="116" s="1"/>
  <c r="A39" i="116" s="1"/>
  <c r="A40" i="116" s="1"/>
  <c r="A41" i="116" s="1"/>
  <c r="A42" i="116" s="1"/>
  <c r="A43" i="116" s="1"/>
  <c r="A44" i="116" s="1"/>
  <c r="A45" i="116" s="1"/>
  <c r="A46" i="116" s="1"/>
  <c r="A47" i="116" s="1"/>
  <c r="A48" i="116" s="1"/>
  <c r="A49" i="116" s="1"/>
  <c r="A50" i="116" s="1"/>
  <c r="A51" i="116" s="1"/>
  <c r="A52" i="116" s="1"/>
  <c r="A53" i="116" s="1"/>
  <c r="A54" i="116" s="1"/>
  <c r="A55" i="116" s="1"/>
  <c r="A56" i="116" s="1"/>
  <c r="A57" i="116" s="1"/>
  <c r="A58" i="116" s="1"/>
  <c r="A59" i="116" s="1"/>
  <c r="A60" i="116" s="1"/>
  <c r="A61" i="116" s="1"/>
  <c r="A62" i="116" s="1"/>
  <c r="A63" i="116" s="1"/>
  <c r="A64" i="116" s="1"/>
  <c r="A65" i="116" s="1"/>
  <c r="A66" i="116" s="1"/>
  <c r="A67" i="116" s="1"/>
  <c r="A68" i="116" s="1"/>
  <c r="A69" i="116" s="1"/>
  <c r="A70" i="116" s="1"/>
  <c r="A71" i="116" s="1"/>
  <c r="A72" i="116" s="1"/>
  <c r="A73" i="116" s="1"/>
  <c r="A74" i="116" s="1"/>
  <c r="A75" i="116" s="1"/>
  <c r="D11" i="116"/>
  <c r="C48" i="116"/>
  <c r="D14" i="116"/>
  <c r="D15" i="116"/>
  <c r="D16" i="116" s="1"/>
  <c r="C50" i="116"/>
  <c r="G16" i="116"/>
  <c r="D17" i="116"/>
  <c r="C52" i="116"/>
  <c r="D18" i="116"/>
  <c r="C56" i="116"/>
  <c r="D22" i="116"/>
  <c r="C57" i="116"/>
  <c r="D23" i="116"/>
  <c r="D24" i="116"/>
  <c r="C62" i="116"/>
  <c r="D28" i="116"/>
  <c r="C63" i="116"/>
  <c r="D29" i="116"/>
  <c r="C66" i="116"/>
  <c r="C67" i="116"/>
  <c r="C68" i="116"/>
  <c r="C73" i="116"/>
  <c r="B45" i="116"/>
  <c r="C45" i="116"/>
  <c r="F45" i="116"/>
  <c r="B47" i="116"/>
  <c r="B48" i="116"/>
  <c r="F48" i="116"/>
  <c r="B49" i="116"/>
  <c r="C49" i="116"/>
  <c r="F49" i="116"/>
  <c r="B50" i="116"/>
  <c r="D50" i="116"/>
  <c r="E50" i="116"/>
  <c r="F50" i="116" s="1"/>
  <c r="B51" i="116"/>
  <c r="C51" i="116"/>
  <c r="F51" i="116"/>
  <c r="B52" i="116"/>
  <c r="F52" i="116"/>
  <c r="B53" i="116"/>
  <c r="B55" i="116"/>
  <c r="B56" i="116"/>
  <c r="F56" i="116"/>
  <c r="B57" i="116"/>
  <c r="F57" i="116"/>
  <c r="B58" i="116"/>
  <c r="C58" i="116"/>
  <c r="F58" i="116"/>
  <c r="B59" i="116"/>
  <c r="B61" i="116"/>
  <c r="B62" i="116"/>
  <c r="F62" i="116"/>
  <c r="B63" i="116"/>
  <c r="F63" i="116"/>
  <c r="B64" i="116"/>
  <c r="B66" i="116"/>
  <c r="F66" i="116"/>
  <c r="B67" i="116"/>
  <c r="F67" i="116"/>
  <c r="B68" i="116"/>
  <c r="F68" i="116"/>
  <c r="B71" i="116"/>
  <c r="B73" i="116"/>
  <c r="F73" i="116"/>
  <c r="B75" i="116"/>
  <c r="N17" i="109" l="1"/>
  <c r="M17" i="109"/>
  <c r="J17" i="109"/>
  <c r="J18" i="109" s="1"/>
  <c r="I17" i="109"/>
  <c r="I18" i="109" s="1"/>
  <c r="R17" i="109"/>
  <c r="F17" i="109"/>
  <c r="F18" i="109" s="1"/>
  <c r="C17" i="109"/>
  <c r="C18" i="109" s="1"/>
  <c r="K17" i="109"/>
  <c r="K18" i="109" s="1"/>
  <c r="P17" i="109"/>
  <c r="D17" i="109"/>
  <c r="D18" i="109" s="1"/>
  <c r="H17" i="109"/>
  <c r="H18" i="109" s="1"/>
  <c r="L17" i="109"/>
  <c r="L18" i="109" s="1"/>
  <c r="S17" i="109"/>
  <c r="G17" i="109"/>
  <c r="G18" i="109" s="1"/>
  <c r="Q17" i="109"/>
  <c r="E17" i="109"/>
  <c r="E18" i="109" s="1"/>
  <c r="O17" i="109"/>
  <c r="T17" i="109" l="1"/>
  <c r="T18" i="109"/>
  <c r="C19" i="109" s="1"/>
  <c r="J19" i="109" l="1"/>
  <c r="D16" i="72" s="1"/>
  <c r="F16" i="72" s="1"/>
  <c r="I16" i="72" s="1"/>
  <c r="J22" i="117" s="1"/>
  <c r="I19" i="109"/>
  <c r="D15" i="72" s="1"/>
  <c r="F15" i="72" s="1"/>
  <c r="I15" i="72" s="1"/>
  <c r="J21" i="117" s="1"/>
  <c r="S19" i="109"/>
  <c r="R19" i="109"/>
  <c r="Q19" i="109"/>
  <c r="P19" i="109"/>
  <c r="K19" i="109"/>
  <c r="D18" i="72" s="1"/>
  <c r="F18" i="72" s="1"/>
  <c r="L19" i="109"/>
  <c r="D19" i="72" s="1"/>
  <c r="F19" i="72" s="1"/>
  <c r="N19" i="109"/>
  <c r="M19" i="109"/>
  <c r="O19" i="109"/>
  <c r="H19" i="109"/>
  <c r="D14" i="72" s="1"/>
  <c r="F14" i="72" s="1"/>
  <c r="I14" i="72" s="1"/>
  <c r="J20" i="117" s="1"/>
  <c r="E19" i="109"/>
  <c r="D10" i="72" s="1"/>
  <c r="F10" i="72" s="1"/>
  <c r="I10" i="72" s="1"/>
  <c r="J14" i="117" s="1"/>
  <c r="F19" i="109"/>
  <c r="D11" i="72" s="1"/>
  <c r="F11" i="72" s="1"/>
  <c r="I11" i="72" s="1"/>
  <c r="J15" i="117" s="1"/>
  <c r="G19" i="109"/>
  <c r="D12" i="72" s="1"/>
  <c r="F12" i="72" s="1"/>
  <c r="I12" i="72" s="1"/>
  <c r="J16" i="117" s="1"/>
  <c r="D19" i="109"/>
  <c r="D9" i="72" s="1"/>
  <c r="F9" i="72" s="1"/>
  <c r="D7" i="72"/>
  <c r="F7" i="72" s="1"/>
  <c r="I20" i="72" l="1"/>
  <c r="J36" i="117" s="1"/>
  <c r="E35" i="116" s="1"/>
  <c r="I9" i="72"/>
  <c r="J13" i="117" s="1"/>
  <c r="M15" i="117"/>
  <c r="N15" i="117" s="1"/>
  <c r="O15" i="117" s="1"/>
  <c r="E17" i="116"/>
  <c r="F17" i="116" s="1"/>
  <c r="M13" i="117"/>
  <c r="J17" i="117"/>
  <c r="E14" i="116"/>
  <c r="F14" i="116" s="1"/>
  <c r="J23" i="117"/>
  <c r="M20" i="117"/>
  <c r="E22" i="116"/>
  <c r="F22" i="116" s="1"/>
  <c r="M21" i="117"/>
  <c r="N21" i="117" s="1"/>
  <c r="O21" i="117" s="1"/>
  <c r="E23" i="116"/>
  <c r="F23" i="116" s="1"/>
  <c r="M16" i="117"/>
  <c r="N16" i="117" s="1"/>
  <c r="O16" i="117" s="1"/>
  <c r="E18" i="116"/>
  <c r="F18" i="116" s="1"/>
  <c r="M14" i="117"/>
  <c r="N14" i="117" s="1"/>
  <c r="O14" i="117" s="1"/>
  <c r="E15" i="116"/>
  <c r="M22" i="117"/>
  <c r="N22" i="117" s="1"/>
  <c r="O22" i="117" s="1"/>
  <c r="E24" i="116"/>
  <c r="F24" i="116" s="1"/>
  <c r="F22" i="72"/>
  <c r="D22" i="72"/>
  <c r="T19" i="109"/>
  <c r="N20" i="117" l="1"/>
  <c r="M23" i="117"/>
  <c r="E16" i="116"/>
  <c r="F16" i="116" s="1"/>
  <c r="F15" i="116"/>
  <c r="N13" i="117"/>
  <c r="M17" i="117"/>
  <c r="I7" i="72"/>
  <c r="J10" i="117" s="1"/>
  <c r="M10" i="117" l="1"/>
  <c r="L44" i="117"/>
  <c r="E11" i="116"/>
  <c r="F11" i="116" s="1"/>
  <c r="O13" i="117"/>
  <c r="N17" i="117"/>
  <c r="O17" i="117" s="1"/>
  <c r="O20" i="117"/>
  <c r="N23" i="117"/>
  <c r="O23" i="117" s="1"/>
  <c r="I19" i="72"/>
  <c r="J27" i="117" s="1"/>
  <c r="M27" i="117" l="1"/>
  <c r="N27" i="117" s="1"/>
  <c r="O27" i="117" s="1"/>
  <c r="E29" i="116"/>
  <c r="F29" i="116" s="1"/>
  <c r="N10" i="117"/>
  <c r="I18" i="72"/>
  <c r="J26" i="117" s="1"/>
  <c r="M26" i="117" l="1"/>
  <c r="J28" i="117"/>
  <c r="E28" i="116"/>
  <c r="F28" i="116" s="1"/>
  <c r="O10" i="117"/>
  <c r="A8" i="72"/>
  <c r="A9" i="72" s="1"/>
  <c r="A10" i="72" s="1"/>
  <c r="A11" i="72" s="1"/>
  <c r="A12" i="72" s="1"/>
  <c r="A13" i="72" s="1"/>
  <c r="A14" i="72" s="1"/>
  <c r="A15" i="72" s="1"/>
  <c r="N26" i="117" l="1"/>
  <c r="M28" i="117"/>
  <c r="M38" i="117" s="1"/>
  <c r="A16" i="72"/>
  <c r="A17" i="72" s="1"/>
  <c r="O26" i="117" l="1"/>
  <c r="N28" i="117"/>
  <c r="A18" i="72"/>
  <c r="A19" i="72" s="1"/>
  <c r="A20" i="72" s="1"/>
  <c r="A21" i="72" s="1"/>
  <c r="A22" i="72" s="1"/>
  <c r="A23" i="72" s="1"/>
  <c r="A24" i="72" s="1"/>
  <c r="O28" i="117" l="1"/>
  <c r="N38" i="117"/>
  <c r="O38" i="117" s="1"/>
  <c r="A25" i="72"/>
  <c r="A26" i="72" s="1"/>
  <c r="A27" i="72" s="1"/>
  <c r="A28" i="72" s="1"/>
  <c r="A29" i="72" s="1"/>
  <c r="H22" i="72" l="1"/>
  <c r="H29" i="72" l="1"/>
  <c r="H34" i="72" l="1"/>
  <c r="K44" i="117" l="1"/>
  <c r="J44" i="117" l="1"/>
  <c r="I44" i="117" l="1"/>
  <c r="M44" i="117" s="1"/>
  <c r="G44" i="117"/>
  <c r="N44" i="117" l="1"/>
  <c r="O44" i="117" s="1"/>
</calcChain>
</file>

<file path=xl/sharedStrings.xml><?xml version="1.0" encoding="utf-8"?>
<sst xmlns="http://schemas.openxmlformats.org/spreadsheetml/2006/main" count="275" uniqueCount="154">
  <si>
    <t>Line No.</t>
  </si>
  <si>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</si>
  <si>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</si>
  <si>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</si>
  <si>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</si>
  <si>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</si>
  <si>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</si>
  <si>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</si>
  <si>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</si>
  <si>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Subtotal</t>
  </si>
  <si>
    <t>Transportation</t>
  </si>
  <si>
    <t>Total</t>
  </si>
  <si>
    <t>Puget Sound Energy</t>
  </si>
  <si>
    <t>a</t>
  </si>
  <si>
    <t>b</t>
  </si>
  <si>
    <t>c</t>
  </si>
  <si>
    <t>50-59</t>
  </si>
  <si>
    <t>Customer Class</t>
  </si>
  <si>
    <t>d</t>
  </si>
  <si>
    <t>Total Secondary Voltage</t>
  </si>
  <si>
    <t>Total Primary Voltage</t>
  </si>
  <si>
    <t>Total High Voltage</t>
  </si>
  <si>
    <t>HV - Interruptible Svc</t>
  </si>
  <si>
    <t>HV - General Svc</t>
  </si>
  <si>
    <t>f</t>
  </si>
  <si>
    <t>Schedules</t>
  </si>
  <si>
    <t>e</t>
  </si>
  <si>
    <t>Over 600 kWh</t>
  </si>
  <si>
    <t>First 600 kWh</t>
  </si>
  <si>
    <t>Basic Charge</t>
  </si>
  <si>
    <t>Allocation of Revenue Requirement to Rate Schedule 141TEP</t>
  </si>
  <si>
    <t>YearMo</t>
  </si>
  <si>
    <t>_NAME_</t>
  </si>
  <si>
    <t>SCH_7</t>
  </si>
  <si>
    <t>SCH_24</t>
  </si>
  <si>
    <t>SCH_25</t>
  </si>
  <si>
    <t>SCH_26</t>
  </si>
  <si>
    <t>SCH_29</t>
  </si>
  <si>
    <t>SCH_31</t>
  </si>
  <si>
    <t>SCH_35</t>
  </si>
  <si>
    <t>SCH_43</t>
  </si>
  <si>
    <t>SCH_46</t>
  </si>
  <si>
    <t>SCH_49</t>
  </si>
  <si>
    <t>SCH_50</t>
  </si>
  <si>
    <t>SCH_55</t>
  </si>
  <si>
    <t>SCH_5</t>
  </si>
  <si>
    <t>SCH_449HV</t>
  </si>
  <si>
    <t>SCH_449PV</t>
  </si>
  <si>
    <t>SCH_459HV</t>
  </si>
  <si>
    <t>SCH_SC</t>
  </si>
  <si>
    <t>System</t>
  </si>
  <si>
    <t>Load</t>
  </si>
  <si>
    <t>Average 12NCP, Including Retail Wheeling &amp; Special Contract</t>
  </si>
  <si>
    <t>Average 12NCP, Primary &amp; Secondary Voltage Only</t>
  </si>
  <si>
    <t>Special Contract</t>
  </si>
  <si>
    <t>Lighting</t>
  </si>
  <si>
    <t>Transportation (Non-Retail Wheeling)</t>
  </si>
  <si>
    <t>Firm Resale</t>
  </si>
  <si>
    <t>*Excluded :</t>
  </si>
  <si>
    <t>Proposed Rider Rate Effective Start Date</t>
  </si>
  <si>
    <t>Proposed Rider Rate Effective End Date</t>
  </si>
  <si>
    <t>Current Rider Rate Effective Date</t>
  </si>
  <si>
    <t>Budget Forecast</t>
  </si>
  <si>
    <t>12NCP, Lighting, Retail Wheeling &amp; Special Contract</t>
  </si>
  <si>
    <t>c = a * b</t>
  </si>
  <si>
    <t>e = c / d</t>
  </si>
  <si>
    <t>141TEP-A</t>
  </si>
  <si>
    <t>141TEP-B</t>
  </si>
  <si>
    <t>Demand</t>
  </si>
  <si>
    <t>Total Sales</t>
  </si>
  <si>
    <t>na</t>
  </si>
  <si>
    <t>Total Retail Sales</t>
  </si>
  <si>
    <t>Special Contracts</t>
  </si>
  <si>
    <t>Choice / Retail Wheeling</t>
  </si>
  <si>
    <t>General Service</t>
  </si>
  <si>
    <t>Interruptible Service</t>
  </si>
  <si>
    <t>High Voltage</t>
  </si>
  <si>
    <t>Interruptible Schools</t>
  </si>
  <si>
    <t>Irrigation</t>
  </si>
  <si>
    <t>Primary Voltage</t>
  </si>
  <si>
    <t>Demand &gt; 50 kW but &lt;= 350 kW</t>
  </si>
  <si>
    <t>Demand &gt; 350 kW</t>
  </si>
  <si>
    <t>Demand &lt;= 50 kW</t>
  </si>
  <si>
    <t>Secondary Voltage</t>
  </si>
  <si>
    <t>Energy</t>
  </si>
  <si>
    <t>% Change</t>
  </si>
  <si>
    <t>Proposed Rates</t>
  </si>
  <si>
    <t>Current Rates</t>
  </si>
  <si>
    <t>Rate Schedule</t>
  </si>
  <si>
    <t>Voltage Level</t>
  </si>
  <si>
    <t>PUGET SOUND ENERGY</t>
  </si>
  <si>
    <t>Typical Residential Bill at 800 kWh</t>
  </si>
  <si>
    <t>(%)</t>
  </si>
  <si>
    <t>Change ($)</t>
  </si>
  <si>
    <t>Proposed Bill</t>
  </si>
  <si>
    <t>Pass-Thru Trackers</t>
  </si>
  <si>
    <t>Current Bill</t>
  </si>
  <si>
    <t>Residential Bill Impacts</t>
  </si>
  <si>
    <t xml:space="preserve"> </t>
  </si>
  <si>
    <t>50 - 59</t>
  </si>
  <si>
    <t>SC</t>
  </si>
  <si>
    <t>449 - 459</t>
  </si>
  <si>
    <t>Total Choice / Retail Wheeling</t>
  </si>
  <si>
    <t>Interruptible</t>
  </si>
  <si>
    <t>Interruptible Total Electric Schools</t>
  </si>
  <si>
    <t>Seasonal Irrigation &amp; Drainage Pumping</t>
  </si>
  <si>
    <r>
      <rPr>
        <b/>
        <sz val="8"/>
        <rFont val="Arial"/>
        <family val="2"/>
      </rPr>
      <t>31</t>
    </r>
    <r>
      <rPr>
        <sz val="8"/>
        <rFont val="Arial"/>
        <family val="2"/>
      </rPr>
      <t xml:space="preserve"> (10)</t>
    </r>
  </si>
  <si>
    <r>
      <rPr>
        <b/>
        <sz val="8"/>
        <rFont val="Arial"/>
        <family val="2"/>
      </rPr>
      <t>26</t>
    </r>
    <r>
      <rPr>
        <sz val="8"/>
        <rFont val="Arial"/>
        <family val="2"/>
      </rPr>
      <t xml:space="preserve"> (12, 26P)</t>
    </r>
  </si>
  <si>
    <r>
      <rPr>
        <b/>
        <sz val="8"/>
        <rFont val="Arial"/>
        <family val="2"/>
      </rPr>
      <t>25</t>
    </r>
    <r>
      <rPr>
        <sz val="8"/>
        <rFont val="Arial"/>
        <family val="2"/>
      </rPr>
      <t xml:space="preserve"> (11, 7A)</t>
    </r>
  </si>
  <si>
    <r>
      <rPr>
        <b/>
        <sz val="8"/>
        <rFont val="Arial"/>
        <family val="2"/>
      </rPr>
      <t>24</t>
    </r>
    <r>
      <rPr>
        <sz val="8"/>
        <rFont val="Arial"/>
        <family val="2"/>
      </rPr>
      <t xml:space="preserve"> (8, 324)</t>
    </r>
  </si>
  <si>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 (307, 317, 327)</t>
    </r>
  </si>
  <si>
    <t>g = f / d</t>
  </si>
  <si>
    <t>f = e - d</t>
  </si>
  <si>
    <t>e = a * (c - b) + d</t>
  </si>
  <si>
    <t>Projected Rate-Year
Revenue Impacts
from Proposed Rate Changes</t>
  </si>
  <si>
    <t>Schedule</t>
  </si>
  <si>
    <t>Projected Schedule Revenue Impacts of Rate Change by Forecasted Energy</t>
  </si>
  <si>
    <t>F2024</t>
  </si>
  <si>
    <t>Electric Schedule 141 TEP - Transportation Electrification Plan Adjustment Rider</t>
  </si>
  <si>
    <t>Current 
Sch. 141TEP Rate</t>
  </si>
  <si>
    <t>Proposed 
Sch. 141TEP Rate</t>
  </si>
  <si>
    <t>Total Projected Revenue
 w/ Current Sch. 141TEP Rates</t>
  </si>
  <si>
    <t>Total Projected Revenue
 w/ Proposed Sch. 141TEP Rates</t>
  </si>
  <si>
    <t>Allocated 2025 Revenue Requirement</t>
  </si>
  <si>
    <t>2025 Revenue Requirement</t>
  </si>
  <si>
    <t>449-459</t>
  </si>
  <si>
    <t>Transportation Electrification</t>
  </si>
  <si>
    <t>558</t>
  </si>
  <si>
    <t>n/a</t>
  </si>
  <si>
    <t>[Note 1] - Schedule 558 rate is a weighted average rate based on rates for Schedules 24/25/26</t>
  </si>
  <si>
    <t>Transportation Electrification [1]</t>
  </si>
  <si>
    <t>F2024 Forecasted Rate-Year Energy (kWh)</t>
  </si>
  <si>
    <t>2024 GRC 12 NCP (Excluding Non-TEP Eligible Classes)</t>
  </si>
  <si>
    <t>Cross check</t>
  </si>
  <si>
    <t>Sch 141TEP Tariff Reference</t>
  </si>
  <si>
    <t>202207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</si>
  <si>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</si>
  <si>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</si>
  <si>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</si>
  <si>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</si>
  <si>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</si>
  <si>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</si>
  <si>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</si>
  <si>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</si>
  <si>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</si>
  <si>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</si>
  <si>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</si>
  <si>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7 (307) (317) (327)</t>
  </si>
  <si>
    <t>08 (24) (324)</t>
  </si>
  <si>
    <t>7A</t>
  </si>
  <si>
    <t>11 / 25</t>
  </si>
  <si>
    <t>12 (26) (26P)</t>
  </si>
  <si>
    <t>10 (31)</t>
  </si>
  <si>
    <t>448 - 459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</si>
</sst>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\ \¢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m/d/yyyy;@"/>
    <numFmt numFmtId="170" formatCode="mm/dd/yy;@"/>
    <numFmt numFmtId="171" formatCode="0.00000\ \¢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8080"/>
      <name val="Arial"/>
      <family val="2"/>
    </font>
    <font>
      <b/>
      <sz val="8"/>
      <color rgb="FF0033CC"/>
      <name val="Arial"/>
      <family val="2"/>
    </font>
    <font>
      <u val="singleAccounting"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color rgb="FF0000FF"/>
      <name val="Arial"/>
      <family val="2"/>
    </font>
    <font>
      <sz val="8"/>
      <color rgb="FF0033CC"/>
      <name val="Arial"/>
      <family val="2"/>
    </font>
    <font>
      <b/>
      <sz val="8"/>
      <color rgb="FF008080"/>
      <name val="Arial"/>
      <family val="2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b/>
      <u val="singleAccounting"/>
      <sz val="8"/>
      <name val="Arial"/>
      <family val="2"/>
    </font>
    <font>
      <u val="singleAccounting"/>
      <sz val="8"/>
      <color rgb="FF00808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3" fillId="0" borderId="2" xfId="0" quotePrefix="1" applyNumberFormat="1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8" xfId="0" applyFont="1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10" xfId="0" applyFont="1" applyFill="1" applyBorder="1"/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164" fontId="3" fillId="0" borderId="0" xfId="0" applyNumberFormat="1" applyFont="1" applyFill="1" applyBorder="1"/>
    <xf numFmtId="0" fontId="7" fillId="0" borderId="2" xfId="0" quotePrefix="1" applyFont="1" applyFill="1" applyBorder="1" applyAlignment="1">
      <alignment horizontal="center" wrapText="1"/>
    </xf>
    <xf numFmtId="168" fontId="2" fillId="0" borderId="0" xfId="0" applyNumberFormat="1" applyFont="1" applyFill="1" applyBorder="1"/>
    <xf numFmtId="167" fontId="2" fillId="0" borderId="8" xfId="0" applyNumberFormat="1" applyFont="1" applyFill="1" applyBorder="1" applyAlignment="1">
      <alignment horizontal="center"/>
    </xf>
    <xf numFmtId="16" fontId="2" fillId="0" borderId="0" xfId="0" applyNumberFormat="1" applyFont="1" applyFill="1" applyBorder="1"/>
    <xf numFmtId="166" fontId="2" fillId="0" borderId="8" xfId="0" applyNumberFormat="1" applyFont="1" applyFill="1" applyBorder="1" applyAlignment="1">
      <alignment horizontal="center"/>
    </xf>
    <xf numFmtId="165" fontId="2" fillId="0" borderId="8" xfId="0" applyNumberFormat="1" applyFont="1" applyFill="1" applyBorder="1"/>
    <xf numFmtId="0" fontId="5" fillId="0" borderId="0" xfId="0" applyFont="1" applyFill="1" applyBorder="1"/>
    <xf numFmtId="10" fontId="6" fillId="0" borderId="0" xfId="0" applyNumberFormat="1" applyFont="1" applyFill="1" applyBorder="1"/>
    <xf numFmtId="10" fontId="2" fillId="0" borderId="0" xfId="0" applyNumberFormat="1" applyFont="1" applyFill="1" applyBorder="1"/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/>
    <xf numFmtId="164" fontId="2" fillId="0" borderId="0" xfId="0" applyNumberFormat="1" applyFont="1" applyFill="1" applyBorder="1"/>
    <xf numFmtId="0" fontId="2" fillId="0" borderId="2" xfId="0" applyFont="1" applyFill="1" applyBorder="1"/>
    <xf numFmtId="0" fontId="3" fillId="0" borderId="0" xfId="0" applyFont="1" applyFill="1" applyAlignment="1">
      <alignment horizontal="center"/>
    </xf>
    <xf numFmtId="0" fontId="11" fillId="0" borderId="0" xfId="0" applyFont="1" applyFill="1" applyBorder="1"/>
    <xf numFmtId="165" fontId="2" fillId="0" borderId="0" xfId="2" applyNumberFormat="1" applyFont="1" applyFill="1" applyBorder="1"/>
    <xf numFmtId="0" fontId="3" fillId="0" borderId="10" xfId="0" quotePrefix="1" applyFont="1" applyFill="1" applyBorder="1" applyAlignment="1">
      <alignment horizontal="center" wrapText="1"/>
    </xf>
    <xf numFmtId="0" fontId="2" fillId="0" borderId="8" xfId="0" quotePrefix="1" applyFont="1" applyFill="1" applyBorder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10" fillId="0" borderId="0" xfId="0" applyFont="1" applyFill="1"/>
    <xf numFmtId="0" fontId="0" fillId="0" borderId="0" xfId="0" applyFill="1"/>
    <xf numFmtId="0" fontId="9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center"/>
    </xf>
    <xf numFmtId="164" fontId="5" fillId="0" borderId="0" xfId="0" applyNumberFormat="1" applyFont="1" applyFill="1" applyBorder="1"/>
    <xf numFmtId="164" fontId="16" fillId="0" borderId="3" xfId="1" applyNumberFormat="1" applyFont="1" applyFill="1" applyBorder="1"/>
    <xf numFmtId="167" fontId="16" fillId="0" borderId="3" xfId="1" applyNumberFormat="1" applyFont="1" applyFill="1" applyBorder="1"/>
    <xf numFmtId="0" fontId="16" fillId="0" borderId="0" xfId="1" quotePrefix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10" fontId="16" fillId="0" borderId="0" xfId="1" applyNumberFormat="1" applyFont="1" applyFill="1" applyAlignment="1">
      <alignment horizontal="right"/>
    </xf>
    <xf numFmtId="167" fontId="16" fillId="0" borderId="0" xfId="1" applyNumberFormat="1" applyFont="1" applyFill="1"/>
    <xf numFmtId="0" fontId="16" fillId="0" borderId="0" xfId="1" applyFont="1" applyFill="1" applyAlignment="1">
      <alignment horizontal="left" vertical="center"/>
    </xf>
    <xf numFmtId="44" fontId="16" fillId="0" borderId="0" xfId="1" applyNumberFormat="1" applyFont="1" applyFill="1" applyBorder="1"/>
    <xf numFmtId="0" fontId="16" fillId="0" borderId="0" xfId="1" applyFont="1" applyFill="1" applyAlignment="1">
      <alignment horizontal="center"/>
    </xf>
    <xf numFmtId="10" fontId="16" fillId="0" borderId="1" xfId="1" applyNumberFormat="1" applyFont="1" applyFill="1" applyBorder="1" applyAlignment="1">
      <alignment horizontal="right"/>
    </xf>
    <xf numFmtId="44" fontId="16" fillId="0" borderId="1" xfId="1" applyNumberFormat="1" applyFont="1" applyFill="1" applyBorder="1"/>
    <xf numFmtId="0" fontId="16" fillId="0" borderId="0" xfId="1" quotePrefix="1" applyFont="1" applyFill="1" applyAlignment="1">
      <alignment horizontal="center"/>
    </xf>
    <xf numFmtId="0" fontId="16" fillId="0" borderId="0" xfId="1" applyFont="1" applyFill="1" applyAlignment="1">
      <alignment horizontal="left" vertical="center" indent="1"/>
    </xf>
    <xf numFmtId="0" fontId="16" fillId="0" borderId="0" xfId="1" applyFont="1" applyFill="1"/>
    <xf numFmtId="0" fontId="17" fillId="0" borderId="0" xfId="1" applyFont="1" applyFill="1" applyAlignment="1">
      <alignment horizontal="left" wrapText="1"/>
    </xf>
    <xf numFmtId="164" fontId="16" fillId="0" borderId="0" xfId="1" applyNumberFormat="1" applyFont="1" applyFill="1"/>
    <xf numFmtId="0" fontId="6" fillId="0" borderId="0" xfId="1" applyFont="1" applyFill="1" applyAlignment="1">
      <alignment horizontal="center"/>
    </xf>
    <xf numFmtId="10" fontId="2" fillId="0" borderId="0" xfId="1" applyNumberFormat="1" applyFont="1" applyFill="1" applyAlignment="1">
      <alignment horizontal="right"/>
    </xf>
    <xf numFmtId="167" fontId="6" fillId="0" borderId="0" xfId="1" applyNumberFormat="1" applyFont="1" applyFill="1"/>
    <xf numFmtId="0" fontId="2" fillId="0" borderId="0" xfId="1" applyFont="1" applyFill="1" applyAlignment="1">
      <alignment horizontal="left" vertical="center"/>
    </xf>
    <xf numFmtId="10" fontId="2" fillId="0" borderId="1" xfId="1" applyNumberFormat="1" applyFont="1" applyFill="1" applyBorder="1" applyAlignment="1">
      <alignment horizontal="right"/>
    </xf>
    <xf numFmtId="167" fontId="6" fillId="0" borderId="1" xfId="1" applyNumberFormat="1" applyFont="1" applyFill="1" applyBorder="1"/>
    <xf numFmtId="0" fontId="6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14" fillId="0" borderId="0" xfId="1" applyFont="1" applyFill="1" applyAlignment="1">
      <alignment horizontal="center"/>
    </xf>
    <xf numFmtId="0" fontId="14" fillId="0" borderId="0" xfId="1" quotePrefix="1" applyFont="1" applyFill="1" applyAlignment="1">
      <alignment horizontal="center"/>
    </xf>
    <xf numFmtId="0" fontId="2" fillId="0" borderId="0" xfId="1" quotePrefix="1" applyFont="1" applyFill="1" applyAlignment="1">
      <alignment horizontal="left"/>
    </xf>
    <xf numFmtId="0" fontId="2" fillId="0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center"/>
    </xf>
    <xf numFmtId="167" fontId="2" fillId="0" borderId="0" xfId="1" applyNumberFormat="1" applyFont="1" applyFill="1"/>
    <xf numFmtId="0" fontId="3" fillId="0" borderId="0" xfId="1" applyFont="1" applyFill="1"/>
    <xf numFmtId="0" fontId="2" fillId="0" borderId="0" xfId="1" quotePrefix="1" applyFont="1" applyFill="1" applyAlignment="1">
      <alignment horizontal="center" wrapText="1"/>
    </xf>
    <xf numFmtId="0" fontId="11" fillId="0" borderId="0" xfId="1" applyFont="1" applyFill="1" applyAlignment="1">
      <alignment horizontal="left" wrapText="1"/>
    </xf>
    <xf numFmtId="0" fontId="2" fillId="0" borderId="11" xfId="1" quotePrefix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2" fillId="0" borderId="0" xfId="1" quotePrefix="1" applyFont="1" applyFill="1" applyAlignment="1">
      <alignment horizontal="center"/>
    </xf>
    <xf numFmtId="0" fontId="6" fillId="0" borderId="0" xfId="1" applyFont="1" applyFill="1"/>
    <xf numFmtId="0" fontId="15" fillId="0" borderId="0" xfId="1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0" fontId="2" fillId="0" borderId="0" xfId="1" applyFont="1" applyFill="1" applyBorder="1"/>
    <xf numFmtId="164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quotePrefix="1" applyFont="1" applyFill="1" applyBorder="1" applyAlignment="1"/>
    <xf numFmtId="10" fontId="2" fillId="0" borderId="0" xfId="1" applyNumberFormat="1" applyFont="1" applyFill="1" applyBorder="1"/>
    <xf numFmtId="43" fontId="2" fillId="0" borderId="0" xfId="1" quotePrefix="1" applyNumberFormat="1" applyFont="1" applyFill="1" applyBorder="1" applyAlignment="1"/>
    <xf numFmtId="44" fontId="2" fillId="0" borderId="0" xfId="1" applyNumberFormat="1" applyFont="1" applyFill="1" applyBorder="1"/>
    <xf numFmtId="44" fontId="6" fillId="0" borderId="0" xfId="1" applyNumberFormat="1" applyFont="1" applyFill="1" applyBorder="1"/>
    <xf numFmtId="44" fontId="6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44" fontId="8" fillId="0" borderId="0" xfId="1" applyNumberFormat="1" applyFont="1" applyFill="1" applyBorder="1" applyAlignment="1">
      <alignment horizontal="center"/>
    </xf>
    <xf numFmtId="44" fontId="8" fillId="0" borderId="0" xfId="1" applyNumberFormat="1" applyFont="1" applyFill="1" applyBorder="1" applyAlignment="1">
      <alignment horizontal="center" wrapText="1"/>
    </xf>
    <xf numFmtId="44" fontId="8" fillId="0" borderId="0" xfId="1" applyNumberFormat="1" applyFont="1" applyFill="1" applyBorder="1" applyAlignment="1">
      <alignment horizontal="centerContinuous"/>
    </xf>
    <xf numFmtId="44" fontId="8" fillId="0" borderId="0" xfId="1" quotePrefix="1" applyNumberFormat="1" applyFont="1" applyFill="1" applyBorder="1" applyAlignment="1">
      <alignment horizontal="centerContinuous"/>
    </xf>
    <xf numFmtId="44" fontId="8" fillId="0" borderId="0" xfId="1" quotePrefix="1" applyNumberFormat="1" applyFont="1" applyFill="1" applyBorder="1" applyAlignment="1">
      <alignment horizontal="centerContinuous" vertical="center"/>
    </xf>
    <xf numFmtId="44" fontId="8" fillId="0" borderId="0" xfId="1" quotePrefix="1" applyNumberFormat="1" applyFont="1" applyFill="1" applyBorder="1" applyAlignment="1">
      <alignment horizontal="center" vertical="center"/>
    </xf>
    <xf numFmtId="44" fontId="18" fillId="0" borderId="0" xfId="1" quotePrefix="1" applyNumberFormat="1" applyFont="1" applyFill="1" applyAlignment="1">
      <alignment horizontal="centerContinuous" vertical="center"/>
    </xf>
    <xf numFmtId="0" fontId="2" fillId="0" borderId="11" xfId="1" applyFont="1" applyFill="1" applyBorder="1" applyAlignment="1">
      <alignment horizontal="centerContinuous" vertical="center"/>
    </xf>
    <xf numFmtId="164" fontId="2" fillId="0" borderId="11" xfId="1" applyNumberFormat="1" applyFont="1" applyFill="1" applyBorder="1" applyAlignment="1">
      <alignment horizontal="centerContinuous" vertical="center"/>
    </xf>
    <xf numFmtId="164" fontId="14" fillId="0" borderId="11" xfId="1" applyNumberFormat="1" applyFont="1" applyFill="1" applyBorder="1" applyAlignment="1">
      <alignment horizontal="centerContinuous" vertical="center"/>
    </xf>
    <xf numFmtId="44" fontId="18" fillId="0" borderId="11" xfId="1" quotePrefix="1" applyNumberFormat="1" applyFont="1" applyFill="1" applyBorder="1" applyAlignment="1">
      <alignment horizontal="centerContinuous" vertical="center"/>
    </xf>
    <xf numFmtId="44" fontId="9" fillId="0" borderId="11" xfId="1" quotePrefix="1" applyNumberFormat="1" applyFont="1" applyFill="1" applyBorder="1" applyAlignment="1">
      <alignment horizontal="centerContinuous" vertical="center"/>
    </xf>
    <xf numFmtId="164" fontId="2" fillId="0" borderId="0" xfId="1" applyNumberFormat="1" applyFont="1" applyFill="1" applyBorder="1" applyAlignment="1">
      <alignment horizontal="centerContinuous"/>
    </xf>
    <xf numFmtId="171" fontId="2" fillId="0" borderId="0" xfId="1" applyNumberFormat="1" applyFont="1" applyFill="1" applyBorder="1" applyAlignment="1">
      <alignment horizontal="centerContinuous"/>
    </xf>
    <xf numFmtId="0" fontId="2" fillId="0" borderId="0" xfId="1" applyFont="1" applyFill="1" applyBorder="1" applyAlignment="1">
      <alignment horizontal="centerContinuous"/>
    </xf>
    <xf numFmtId="164" fontId="5" fillId="0" borderId="0" xfId="1" applyNumberFormat="1" applyFont="1" applyFill="1" applyBorder="1" applyAlignment="1">
      <alignment horizontal="centerContinuous"/>
    </xf>
    <xf numFmtId="164" fontId="5" fillId="0" borderId="0" xfId="1" applyNumberFormat="1" applyFont="1" applyFill="1" applyBorder="1"/>
    <xf numFmtId="10" fontId="2" fillId="0" borderId="3" xfId="1" applyNumberFormat="1" applyFont="1" applyFill="1" applyBorder="1" applyAlignment="1">
      <alignment horizontal="right"/>
    </xf>
    <xf numFmtId="165" fontId="2" fillId="0" borderId="3" xfId="1" applyNumberFormat="1" applyFont="1" applyFill="1" applyBorder="1"/>
    <xf numFmtId="165" fontId="2" fillId="0" borderId="3" xfId="1" applyNumberFormat="1" applyFont="1" applyFill="1" applyBorder="1" applyAlignment="1">
      <alignment horizontal="centerContinuous"/>
    </xf>
    <xf numFmtId="167" fontId="2" fillId="0" borderId="3" xfId="1" applyNumberFormat="1" applyFont="1" applyFill="1" applyBorder="1"/>
    <xf numFmtId="167" fontId="2" fillId="0" borderId="3" xfId="1" applyNumberFormat="1" applyFont="1" applyFill="1" applyBorder="1" applyAlignment="1">
      <alignment horizontal="centerContinuous" wrapText="1"/>
    </xf>
    <xf numFmtId="164" fontId="2" fillId="0" borderId="3" xfId="1" applyNumberFormat="1" applyFont="1" applyFill="1" applyBorder="1"/>
    <xf numFmtId="0" fontId="2" fillId="0" borderId="3" xfId="1" applyFont="1" applyFill="1" applyBorder="1" applyAlignment="1">
      <alignment horizontal="centerContinuous" vertical="center"/>
    </xf>
    <xf numFmtId="0" fontId="2" fillId="0" borderId="3" xfId="1" quotePrefix="1" applyFont="1" applyFill="1" applyBorder="1" applyAlignment="1">
      <alignment horizontal="centerContinuous" vertical="center" wrapText="1"/>
    </xf>
    <xf numFmtId="0" fontId="3" fillId="0" borderId="3" xfId="1" applyFont="1" applyFill="1" applyBorder="1" applyAlignment="1">
      <alignment horizontal="left"/>
    </xf>
    <xf numFmtId="10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/>
    <xf numFmtId="167" fontId="2" fillId="0" borderId="0" xfId="1" applyNumberFormat="1" applyFont="1" applyFill="1" applyBorder="1"/>
    <xf numFmtId="167" fontId="2" fillId="0" borderId="0" xfId="1" applyNumberFormat="1" applyFont="1" applyFill="1" applyBorder="1" applyAlignment="1">
      <alignment horizontal="centerContinuous"/>
    </xf>
    <xf numFmtId="0" fontId="2" fillId="0" borderId="0" xfId="1" applyFont="1" applyFill="1" applyBorder="1" applyAlignment="1">
      <alignment horizontal="centerContinuous" vertical="center"/>
    </xf>
    <xf numFmtId="0" fontId="2" fillId="0" borderId="0" xfId="1" quotePrefix="1" applyFont="1" applyFill="1" applyBorder="1" applyAlignment="1">
      <alignment horizontal="centerContinuous" vertical="center" wrapText="1"/>
    </xf>
    <xf numFmtId="165" fontId="2" fillId="0" borderId="1" xfId="1" applyNumberFormat="1" applyFont="1" applyFill="1" applyBorder="1"/>
    <xf numFmtId="165" fontId="6" fillId="0" borderId="1" xfId="1" applyNumberFormat="1" applyFont="1" applyFill="1" applyBorder="1" applyAlignment="1">
      <alignment horizontal="centerContinuous" vertical="center"/>
    </xf>
    <xf numFmtId="164" fontId="6" fillId="0" borderId="1" xfId="1" applyNumberFormat="1" applyFont="1" applyFill="1" applyBorder="1"/>
    <xf numFmtId="0" fontId="3" fillId="0" borderId="0" xfId="1" applyFont="1" applyFill="1" applyBorder="1" applyAlignment="1">
      <alignment horizontal="centerContinuous" vertical="center"/>
    </xf>
    <xf numFmtId="167" fontId="6" fillId="0" borderId="0" xfId="1" applyNumberFormat="1" applyFont="1" applyFill="1" applyBorder="1"/>
    <xf numFmtId="167" fontId="6" fillId="0" borderId="0" xfId="1" applyNumberFormat="1" applyFont="1" applyFill="1" applyBorder="1" applyAlignment="1">
      <alignment horizontal="centerContinuous"/>
    </xf>
    <xf numFmtId="164" fontId="6" fillId="0" borderId="0" xfId="1" applyNumberFormat="1" applyFont="1" applyFill="1" applyBorder="1"/>
    <xf numFmtId="0" fontId="3" fillId="0" borderId="0" xfId="1" quotePrefix="1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left"/>
    </xf>
    <xf numFmtId="164" fontId="2" fillId="0" borderId="1" xfId="1" applyNumberFormat="1" applyFont="1" applyFill="1" applyBorder="1"/>
    <xf numFmtId="165" fontId="2" fillId="0" borderId="1" xfId="1" applyNumberFormat="1" applyFont="1" applyFill="1" applyBorder="1" applyAlignment="1">
      <alignment horizontal="centerContinuous"/>
    </xf>
    <xf numFmtId="167" fontId="2" fillId="0" borderId="1" xfId="1" applyNumberFormat="1" applyFont="1" applyFill="1" applyBorder="1"/>
    <xf numFmtId="165" fontId="6" fillId="0" borderId="0" xfId="1" applyNumberFormat="1" applyFont="1" applyFill="1" applyBorder="1" applyAlignment="1">
      <alignment horizontal="centerContinuous"/>
    </xf>
    <xf numFmtId="0" fontId="11" fillId="0" borderId="0" xfId="1" quotePrefix="1" applyFont="1" applyFill="1" applyAlignment="1">
      <alignment horizontal="left" indent="1"/>
    </xf>
    <xf numFmtId="0" fontId="2" fillId="0" borderId="0" xfId="1" quotePrefix="1" applyFont="1" applyFill="1" applyAlignment="1">
      <alignment horizontal="left" indent="1"/>
    </xf>
    <xf numFmtId="0" fontId="11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left" indent="1"/>
    </xf>
    <xf numFmtId="0" fontId="3" fillId="0" borderId="0" xfId="1" applyFont="1" applyFill="1" applyAlignme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164" fontId="2" fillId="0" borderId="1" xfId="1" quotePrefix="1" applyNumberFormat="1" applyFont="1" applyFill="1" applyBorder="1" applyAlignment="1">
      <alignment horizontal="centerContinuous" wrapText="1"/>
    </xf>
    <xf numFmtId="0" fontId="2" fillId="0" borderId="1" xfId="1" applyFont="1" applyFill="1" applyBorder="1" applyAlignment="1">
      <alignment horizontal="centerContinuous" wrapText="1"/>
    </xf>
    <xf numFmtId="0" fontId="3" fillId="0" borderId="0" xfId="1" applyFont="1" applyFill="1" applyBorder="1" applyAlignment="1">
      <alignment horizontal="center" wrapText="1"/>
    </xf>
    <xf numFmtId="0" fontId="3" fillId="0" borderId="11" xfId="1" quotePrefix="1" applyFont="1" applyFill="1" applyBorder="1" applyAlignment="1">
      <alignment horizontal="centerContinuous" wrapText="1"/>
    </xf>
    <xf numFmtId="164" fontId="3" fillId="0" borderId="11" xfId="1" quotePrefix="1" applyNumberFormat="1" applyFont="1" applyFill="1" applyBorder="1" applyAlignment="1">
      <alignment horizontal="center" wrapText="1"/>
    </xf>
    <xf numFmtId="164" fontId="3" fillId="0" borderId="11" xfId="1" quotePrefix="1" applyNumberFormat="1" applyFont="1" applyFill="1" applyBorder="1" applyAlignment="1">
      <alignment horizontal="centerContinuous" wrapText="1"/>
    </xf>
    <xf numFmtId="0" fontId="3" fillId="0" borderId="11" xfId="1" quotePrefix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Continuous" wrapText="1"/>
    </xf>
    <xf numFmtId="0" fontId="3" fillId="0" borderId="11" xfId="1" applyFont="1" applyFill="1" applyBorder="1" applyAlignment="1">
      <alignment horizontal="centerContinuous" wrapText="1"/>
    </xf>
    <xf numFmtId="0" fontId="3" fillId="0" borderId="11" xfId="1" applyFont="1" applyFill="1" applyBorder="1" applyAlignment="1">
      <alignment horizontal="center" wrapText="1"/>
    </xf>
    <xf numFmtId="0" fontId="3" fillId="0" borderId="0" xfId="1" applyFont="1" applyFill="1" applyBorder="1"/>
    <xf numFmtId="0" fontId="9" fillId="0" borderId="0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3" fillId="0" borderId="0" xfId="0" quotePrefix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wrapText="1"/>
    </xf>
    <xf numFmtId="164" fontId="6" fillId="0" borderId="0" xfId="0" applyNumberFormat="1" applyFont="1" applyFill="1" applyBorder="1"/>
    <xf numFmtId="164" fontId="8" fillId="0" borderId="0" xfId="0" applyNumberFormat="1" applyFont="1" applyFill="1" applyBorder="1"/>
    <xf numFmtId="37" fontId="6" fillId="0" borderId="0" xfId="0" applyNumberFormat="1" applyFont="1" applyFill="1" applyBorder="1"/>
    <xf numFmtId="37" fontId="5" fillId="0" borderId="0" xfId="0" applyNumberFormat="1" applyFont="1" applyFill="1" applyBorder="1"/>
    <xf numFmtId="0" fontId="2" fillId="0" borderId="0" xfId="0" applyFont="1" applyFill="1" applyBorder="1" applyAlignment="1">
      <alignment horizontal="left" vertical="top"/>
    </xf>
    <xf numFmtId="167" fontId="6" fillId="0" borderId="1" xfId="1" applyNumberFormat="1" applyFont="1" applyFill="1" applyBorder="1" applyAlignment="1">
      <alignment horizontal="centerContinuous"/>
    </xf>
    <xf numFmtId="167" fontId="2" fillId="0" borderId="1" xfId="1" applyNumberFormat="1" applyFont="1" applyFill="1" applyBorder="1" applyAlignment="1">
      <alignment horizontal="centerContinuous" wrapText="1"/>
    </xf>
    <xf numFmtId="167" fontId="2" fillId="0" borderId="1" xfId="1" applyNumberFormat="1" applyFont="1" applyFill="1" applyBorder="1" applyAlignment="1">
      <alignment horizontal="centerContinuous"/>
    </xf>
    <xf numFmtId="14" fontId="13" fillId="0" borderId="1" xfId="1" quotePrefix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/>
    </xf>
    <xf numFmtId="165" fontId="6" fillId="0" borderId="12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69" fontId="3" fillId="0" borderId="0" xfId="1" quotePrefix="1" applyNumberFormat="1" applyFont="1" applyFill="1" applyAlignment="1">
      <alignment horizontal="right"/>
    </xf>
    <xf numFmtId="170" fontId="3" fillId="0" borderId="0" xfId="1" applyNumberFormat="1" applyFont="1" applyFill="1" applyAlignment="1">
      <alignment horizontal="right"/>
    </xf>
    <xf numFmtId="0" fontId="9" fillId="0" borderId="14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Border="1"/>
    <xf numFmtId="0" fontId="9" fillId="0" borderId="15" xfId="0" applyFont="1" applyFill="1" applyBorder="1"/>
    <xf numFmtId="0" fontId="9" fillId="0" borderId="16" xfId="0" applyFont="1" applyFill="1" applyBorder="1"/>
    <xf numFmtId="0" fontId="6" fillId="0" borderId="0" xfId="0" applyFont="1" applyFill="1"/>
    <xf numFmtId="4" fontId="6" fillId="0" borderId="0" xfId="0" applyNumberFormat="1" applyFont="1" applyFill="1"/>
    <xf numFmtId="4" fontId="6" fillId="0" borderId="15" xfId="0" applyNumberFormat="1" applyFont="1" applyFill="1" applyBorder="1"/>
    <xf numFmtId="4" fontId="6" fillId="0" borderId="0" xfId="0" applyNumberFormat="1" applyFont="1" applyFill="1" applyBorder="1"/>
    <xf numFmtId="4" fontId="6" fillId="0" borderId="16" xfId="0" applyNumberFormat="1" applyFont="1" applyFill="1" applyBorder="1"/>
    <xf numFmtId="0" fontId="10" fillId="0" borderId="0" xfId="0" applyFont="1" applyFill="1" applyBorder="1"/>
    <xf numFmtId="0" fontId="10" fillId="0" borderId="15" xfId="0" applyFont="1" applyFill="1" applyBorder="1"/>
    <xf numFmtId="0" fontId="10" fillId="0" borderId="16" xfId="0" applyFont="1" applyFill="1" applyBorder="1"/>
    <xf numFmtId="0" fontId="10" fillId="0" borderId="0" xfId="0" quotePrefix="1" applyFont="1" applyFill="1" applyAlignment="1">
      <alignment horizontal="left"/>
    </xf>
    <xf numFmtId="164" fontId="10" fillId="0" borderId="0" xfId="0" applyNumberFormat="1" applyFont="1" applyFill="1"/>
    <xf numFmtId="164" fontId="10" fillId="0" borderId="0" xfId="0" applyNumberFormat="1" applyFont="1" applyFill="1" applyBorder="1"/>
    <xf numFmtId="164" fontId="10" fillId="0" borderId="15" xfId="0" applyNumberFormat="1" applyFont="1" applyFill="1" applyBorder="1"/>
    <xf numFmtId="164" fontId="10" fillId="0" borderId="16" xfId="0" applyNumberFormat="1" applyFont="1" applyFill="1" applyBorder="1"/>
    <xf numFmtId="164" fontId="10" fillId="0" borderId="0" xfId="0" quotePrefix="1" applyNumberFormat="1" applyFont="1" applyFill="1" applyAlignment="1">
      <alignment horizontal="left"/>
    </xf>
    <xf numFmtId="10" fontId="10" fillId="0" borderId="0" xfId="0" applyNumberFormat="1" applyFont="1" applyFill="1"/>
    <xf numFmtId="10" fontId="10" fillId="0" borderId="0" xfId="0" applyNumberFormat="1" applyFont="1" applyFill="1" applyBorder="1"/>
    <xf numFmtId="10" fontId="10" fillId="0" borderId="17" xfId="0" applyNumberFormat="1" applyFont="1" applyFill="1" applyBorder="1"/>
    <xf numFmtId="10" fontId="10" fillId="0" borderId="11" xfId="0" applyNumberFormat="1" applyFont="1" applyFill="1" applyBorder="1"/>
    <xf numFmtId="10" fontId="10" fillId="0" borderId="18" xfId="0" applyNumberFormat="1" applyFont="1" applyFill="1" applyBorder="1"/>
    <xf numFmtId="0" fontId="2" fillId="0" borderId="0" xfId="0" applyFont="1" applyFill="1"/>
    <xf numFmtId="10" fontId="2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/>
    <xf numFmtId="0" fontId="3" fillId="0" borderId="0" xfId="1" quotePrefix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</cellXfs>
  <cellStyles count="6">
    <cellStyle name="Currency" xfId="2" builtinId="4"/>
    <cellStyle name="Currency 2 12" xfId="5"/>
    <cellStyle name="Normal" xfId="0" builtinId="0"/>
    <cellStyle name="Normal 2" xfId="1"/>
    <cellStyle name="Normal 2 10" xfId="3"/>
    <cellStyle name="Percent 2" xfId="4"/>
  </cellStyles>
  <dxfs count="0"/>
  <tableStyles count="0" defaultTableStyle="TableStyleMedium9" defaultPivotStyle="PivotStyleLight16"/>
  <colors>
    <mruColors>
      <color rgb="FF00808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G37" sqref="G37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zoomScaleNormal="100" workbookViewId="0">
      <pane ySplit="8" topLeftCell="A9" activePane="bottomLeft" state="frozen"/>
      <selection activeCell="D16" sqref="D16"/>
      <selection pane="bottomLeft" activeCell="D16" sqref="D16"/>
    </sheetView>
  </sheetViews>
  <sheetFormatPr defaultColWidth="6.42578125" defaultRowHeight="11.25" x14ac:dyDescent="0.2"/>
  <cols>
    <col min="1" max="1" width="6.140625" style="40" bestFit="1" customWidth="1"/>
    <col min="2" max="2" width="25" style="40" customWidth="1"/>
    <col min="3" max="3" width="14.42578125" style="40" bestFit="1" customWidth="1"/>
    <col min="4" max="4" width="13.5703125" style="40" customWidth="1"/>
    <col min="5" max="5" width="14.5703125" style="40" customWidth="1"/>
    <col min="6" max="6" width="10.42578125" style="40" customWidth="1"/>
    <col min="7" max="7" width="16.5703125" style="40" bestFit="1" customWidth="1"/>
    <col min="8" max="16384" width="6.42578125" style="40"/>
  </cols>
  <sheetData>
    <row r="1" spans="1:7" x14ac:dyDescent="0.2">
      <c r="A1" s="89" t="s">
        <v>90</v>
      </c>
      <c r="B1" s="89"/>
      <c r="C1" s="89"/>
      <c r="D1" s="89"/>
      <c r="E1" s="89"/>
      <c r="F1" s="89"/>
    </row>
    <row r="2" spans="1:7" x14ac:dyDescent="0.2">
      <c r="A2" s="89" t="str">
        <f ca="1">RIGHT(CELL("filename",A1),LEN(CELL("filename",A1))-SEARCH("]",CELL("filename",A1)))</f>
        <v>Sch 141 TEP Rates</v>
      </c>
      <c r="B2" s="89"/>
      <c r="C2" s="89"/>
      <c r="D2" s="89"/>
      <c r="E2" s="89"/>
      <c r="F2" s="89"/>
    </row>
    <row r="3" spans="1:7" x14ac:dyDescent="0.2">
      <c r="A3" s="88"/>
      <c r="B3" s="88"/>
      <c r="C3" s="88"/>
      <c r="D3" s="88"/>
      <c r="E3" s="88"/>
      <c r="F3" s="88"/>
      <c r="G3" s="87"/>
    </row>
    <row r="4" spans="1:7" s="87" customFormat="1" x14ac:dyDescent="0.2">
      <c r="A4" s="88"/>
      <c r="B4" s="88"/>
      <c r="C4" s="88"/>
      <c r="D4" s="88"/>
      <c r="E4" s="88"/>
      <c r="F4" s="88"/>
    </row>
    <row r="5" spans="1:7" x14ac:dyDescent="0.2">
      <c r="A5" s="86"/>
      <c r="B5" s="86"/>
      <c r="C5" s="76"/>
      <c r="D5" s="76"/>
      <c r="E5" s="76"/>
      <c r="F5" s="76"/>
    </row>
    <row r="6" spans="1:7" ht="13.5" customHeight="1" x14ac:dyDescent="0.2">
      <c r="A6" s="86"/>
      <c r="B6" s="86"/>
      <c r="C6" s="76"/>
      <c r="D6" s="76"/>
      <c r="E6" s="76"/>
      <c r="F6" s="76"/>
    </row>
    <row r="7" spans="1:7" s="78" customFormat="1" ht="22.5" x14ac:dyDescent="0.2">
      <c r="A7" s="164" t="s">
        <v>0</v>
      </c>
      <c r="B7" s="164" t="s">
        <v>89</v>
      </c>
      <c r="C7" s="164" t="s">
        <v>88</v>
      </c>
      <c r="D7" s="161" t="s">
        <v>87</v>
      </c>
      <c r="E7" s="161" t="s">
        <v>86</v>
      </c>
      <c r="F7" s="161" t="s">
        <v>85</v>
      </c>
      <c r="G7" s="164" t="s">
        <v>134</v>
      </c>
    </row>
    <row r="8" spans="1:7" s="78" customFormat="1" x14ac:dyDescent="0.2">
      <c r="A8" s="85"/>
      <c r="B8" s="85"/>
      <c r="C8" s="85"/>
      <c r="D8" s="182">
        <f>Inputs!B3</f>
        <v>45352</v>
      </c>
      <c r="E8" s="182">
        <f>Inputs!B1</f>
        <v>45778</v>
      </c>
      <c r="F8" s="84"/>
      <c r="G8" s="84"/>
    </row>
    <row r="9" spans="1:7" s="78" customFormat="1" x14ac:dyDescent="0.2">
      <c r="A9" s="83"/>
      <c r="B9" s="82" t="s">
        <v>13</v>
      </c>
      <c r="C9" s="81" t="s">
        <v>14</v>
      </c>
      <c r="D9" s="81" t="s">
        <v>15</v>
      </c>
      <c r="E9" s="81" t="s">
        <v>18</v>
      </c>
      <c r="F9" s="81" t="s">
        <v>26</v>
      </c>
      <c r="G9" s="81" t="s">
        <v>24</v>
      </c>
    </row>
    <row r="10" spans="1:7" s="78" customFormat="1" x14ac:dyDescent="0.2">
      <c r="A10" s="76">
        <v>1</v>
      </c>
      <c r="B10" s="80" t="s">
        <v>84</v>
      </c>
      <c r="C10" s="80"/>
      <c r="D10" s="79"/>
      <c r="E10" s="79"/>
      <c r="F10" s="79"/>
    </row>
    <row r="11" spans="1:7" x14ac:dyDescent="0.2">
      <c r="A11" s="51">
        <f t="shared" ref="A11:A75" si="0">+A10+1</f>
        <v>2</v>
      </c>
      <c r="B11" s="67" t="s">
        <v>1</v>
      </c>
      <c r="C11" s="64" t="s">
        <v>147</v>
      </c>
      <c r="D11" s="69">
        <f>'Rate Impacts'!H10</f>
        <v>3.7800000000000003E-4</v>
      </c>
      <c r="E11" s="69">
        <f>'Rate Impacts'!J10</f>
        <v>5.9778785632384594E-4</v>
      </c>
      <c r="F11" s="68">
        <f>IFERROR(E11/D11-1, "na")</f>
        <v>0.58144935535408959</v>
      </c>
      <c r="G11" s="72" t="s">
        <v>66</v>
      </c>
    </row>
    <row r="12" spans="1:7" x14ac:dyDescent="0.2">
      <c r="A12" s="51">
        <f t="shared" si="0"/>
        <v>3</v>
      </c>
      <c r="B12" s="67"/>
      <c r="C12" s="64"/>
      <c r="D12" s="66"/>
      <c r="E12" s="66"/>
      <c r="F12" s="65"/>
    </row>
    <row r="13" spans="1:7" x14ac:dyDescent="0.2">
      <c r="A13" s="51">
        <f t="shared" si="0"/>
        <v>4</v>
      </c>
      <c r="B13" s="67" t="s">
        <v>83</v>
      </c>
      <c r="C13" s="64"/>
      <c r="D13" s="66"/>
      <c r="E13" s="66"/>
      <c r="F13" s="65"/>
    </row>
    <row r="14" spans="1:7" x14ac:dyDescent="0.2">
      <c r="A14" s="51">
        <f t="shared" si="0"/>
        <v>5</v>
      </c>
      <c r="B14" s="75" t="s">
        <v>82</v>
      </c>
      <c r="C14" s="64" t="s">
        <v>148</v>
      </c>
      <c r="D14" s="66">
        <f>'Rate Impacts'!H13</f>
        <v>3.39E-4</v>
      </c>
      <c r="E14" s="66">
        <f>'Rate Impacts'!J13</f>
        <v>5.603308105445482E-4</v>
      </c>
      <c r="F14" s="65">
        <f>IFERROR(E14/D14-1, "na")</f>
        <v>0.65289324644409508</v>
      </c>
      <c r="G14" s="72" t="s">
        <v>66</v>
      </c>
    </row>
    <row r="15" spans="1:7" x14ac:dyDescent="0.2">
      <c r="A15" s="51">
        <f t="shared" si="0"/>
        <v>6</v>
      </c>
      <c r="B15" s="75" t="s">
        <v>80</v>
      </c>
      <c r="C15" s="64" t="s">
        <v>149</v>
      </c>
      <c r="D15" s="66">
        <f>'Rate Impacts'!H14</f>
        <v>3.4600000000000001E-4</v>
      </c>
      <c r="E15" s="66">
        <f>'Rate Impacts'!J14</f>
        <v>5.7159254697221904E-4</v>
      </c>
      <c r="F15" s="65">
        <f>IFERROR(E15/D15-1, "na")</f>
        <v>0.65200158084456361</v>
      </c>
      <c r="G15" s="72" t="s">
        <v>66</v>
      </c>
    </row>
    <row r="16" spans="1:7" x14ac:dyDescent="0.2">
      <c r="A16" s="51">
        <f t="shared" si="0"/>
        <v>7</v>
      </c>
      <c r="B16" s="75" t="s">
        <v>80</v>
      </c>
      <c r="C16" s="64" t="s">
        <v>150</v>
      </c>
      <c r="D16" s="77">
        <f>D15</f>
        <v>3.4600000000000001E-4</v>
      </c>
      <c r="E16" s="77">
        <f>E15</f>
        <v>5.7159254697221904E-4</v>
      </c>
      <c r="F16" s="65">
        <f>IFERROR(E16/D16-1, "na")</f>
        <v>0.65200158084456361</v>
      </c>
      <c r="G16" s="76" t="str">
        <f>G15</f>
        <v>141TEP-A</v>
      </c>
    </row>
    <row r="17" spans="1:7" x14ac:dyDescent="0.2">
      <c r="A17" s="51">
        <f t="shared" si="0"/>
        <v>8</v>
      </c>
      <c r="B17" s="75" t="s">
        <v>81</v>
      </c>
      <c r="C17" s="64" t="s">
        <v>151</v>
      </c>
      <c r="D17" s="66">
        <f>'Rate Impacts'!H15</f>
        <v>2.7799999999999998E-4</v>
      </c>
      <c r="E17" s="66">
        <f>'Rate Impacts'!J15</f>
        <v>4.5481689099945616E-4</v>
      </c>
      <c r="F17" s="65">
        <f>IFERROR(E17/D17-1, "na")</f>
        <v>0.63603198201243227</v>
      </c>
      <c r="G17" s="72" t="s">
        <v>67</v>
      </c>
    </row>
    <row r="18" spans="1:7" x14ac:dyDescent="0.2">
      <c r="A18" s="51">
        <f t="shared" si="0"/>
        <v>9</v>
      </c>
      <c r="B18" s="75" t="s">
        <v>80</v>
      </c>
      <c r="C18" s="64">
        <v>29</v>
      </c>
      <c r="D18" s="66">
        <f>'Rate Impacts'!H16</f>
        <v>4.5399999999999998E-4</v>
      </c>
      <c r="E18" s="66">
        <f>'Rate Impacts'!J16</f>
        <v>5.9891305154687426E-4</v>
      </c>
      <c r="F18" s="65">
        <f>IFERROR(E18/D18-1, "na")</f>
        <v>0.31919174349531776</v>
      </c>
      <c r="G18" s="72" t="s">
        <v>67</v>
      </c>
    </row>
    <row r="19" spans="1:7" x14ac:dyDescent="0.2">
      <c r="A19" s="51">
        <f t="shared" si="0"/>
        <v>10</v>
      </c>
      <c r="B19" s="74" t="s">
        <v>19</v>
      </c>
      <c r="C19" s="70"/>
      <c r="D19" s="69"/>
      <c r="E19" s="69"/>
      <c r="F19" s="68"/>
    </row>
    <row r="20" spans="1:7" x14ac:dyDescent="0.2">
      <c r="A20" s="51">
        <f t="shared" si="0"/>
        <v>11</v>
      </c>
      <c r="B20" s="74"/>
      <c r="C20" s="70"/>
      <c r="D20" s="66"/>
      <c r="E20" s="66"/>
      <c r="F20" s="65"/>
    </row>
    <row r="21" spans="1:7" x14ac:dyDescent="0.2">
      <c r="A21" s="51">
        <f t="shared" si="0"/>
        <v>12</v>
      </c>
      <c r="B21" s="67" t="s">
        <v>79</v>
      </c>
      <c r="C21" s="64"/>
      <c r="D21" s="66"/>
      <c r="E21" s="66"/>
      <c r="F21" s="65"/>
    </row>
    <row r="22" spans="1:7" x14ac:dyDescent="0.2">
      <c r="A22" s="51">
        <f t="shared" si="0"/>
        <v>13</v>
      </c>
      <c r="B22" s="75" t="s">
        <v>74</v>
      </c>
      <c r="C22" s="64" t="s">
        <v>152</v>
      </c>
      <c r="D22" s="66">
        <f>'Rate Impacts'!H20</f>
        <v>2.9100000000000003E-4</v>
      </c>
      <c r="E22" s="66">
        <f>'Rate Impacts'!J20</f>
        <v>4.8966240504856855E-4</v>
      </c>
      <c r="F22" s="65">
        <f>IFERROR(E22/D22-1, "na")</f>
        <v>0.68268867714284709</v>
      </c>
      <c r="G22" s="72" t="s">
        <v>67</v>
      </c>
    </row>
    <row r="23" spans="1:7" x14ac:dyDescent="0.2">
      <c r="A23" s="51">
        <f t="shared" si="0"/>
        <v>14</v>
      </c>
      <c r="B23" s="75" t="s">
        <v>78</v>
      </c>
      <c r="C23" s="64">
        <v>35</v>
      </c>
      <c r="D23" s="66">
        <f>'Rate Impacts'!H21</f>
        <v>7.7099999999999998E-4</v>
      </c>
      <c r="E23" s="66">
        <f>'Rate Impacts'!J21</f>
        <v>2.6085722370944174E-3</v>
      </c>
      <c r="F23" s="65">
        <f>IFERROR(E23/D23-1, "na")</f>
        <v>2.3833621752197374</v>
      </c>
      <c r="G23" s="72" t="s">
        <v>67</v>
      </c>
    </row>
    <row r="24" spans="1:7" x14ac:dyDescent="0.2">
      <c r="A24" s="51">
        <f t="shared" si="0"/>
        <v>15</v>
      </c>
      <c r="B24" s="75" t="s">
        <v>77</v>
      </c>
      <c r="C24" s="64">
        <v>43</v>
      </c>
      <c r="D24" s="66">
        <f>'Rate Impacts'!H22</f>
        <v>5.1800000000000001E-4</v>
      </c>
      <c r="E24" s="66">
        <f>'Rate Impacts'!J22</f>
        <v>9.7159674865587419E-4</v>
      </c>
      <c r="F24" s="65">
        <f>IFERROR(E24/D24-1, "na")</f>
        <v>0.87566939894956408</v>
      </c>
      <c r="G24" s="72" t="s">
        <v>67</v>
      </c>
    </row>
    <row r="25" spans="1:7" x14ac:dyDescent="0.2">
      <c r="A25" s="51">
        <f t="shared" si="0"/>
        <v>16</v>
      </c>
      <c r="B25" s="74" t="s">
        <v>20</v>
      </c>
      <c r="C25" s="70"/>
      <c r="D25" s="69"/>
      <c r="E25" s="69"/>
      <c r="F25" s="68"/>
    </row>
    <row r="26" spans="1:7" x14ac:dyDescent="0.2">
      <c r="A26" s="51">
        <f t="shared" si="0"/>
        <v>17</v>
      </c>
      <c r="B26" s="74"/>
      <c r="C26" s="70"/>
      <c r="D26" s="66"/>
      <c r="E26" s="66"/>
      <c r="F26" s="65"/>
    </row>
    <row r="27" spans="1:7" x14ac:dyDescent="0.2">
      <c r="A27" s="51">
        <f t="shared" si="0"/>
        <v>18</v>
      </c>
      <c r="B27" s="67" t="s">
        <v>76</v>
      </c>
      <c r="C27" s="64"/>
      <c r="D27" s="66"/>
      <c r="E27" s="66"/>
      <c r="F27" s="65"/>
    </row>
    <row r="28" spans="1:7" x14ac:dyDescent="0.2">
      <c r="A28" s="51">
        <f t="shared" si="0"/>
        <v>19</v>
      </c>
      <c r="B28" s="75" t="s">
        <v>75</v>
      </c>
      <c r="C28" s="64">
        <v>46</v>
      </c>
      <c r="D28" s="66">
        <f>'Rate Impacts'!H26</f>
        <v>3.6099999999999999E-4</v>
      </c>
      <c r="E28" s="66">
        <f>'Rate Impacts'!J26</f>
        <v>5.3705147037812803E-4</v>
      </c>
      <c r="F28" s="65">
        <f>IFERROR(E28/D28-1, "na")</f>
        <v>0.4876772032635126</v>
      </c>
      <c r="G28" s="73" t="s">
        <v>67</v>
      </c>
    </row>
    <row r="29" spans="1:7" x14ac:dyDescent="0.2">
      <c r="A29" s="51">
        <f t="shared" si="0"/>
        <v>20</v>
      </c>
      <c r="B29" s="75" t="s">
        <v>74</v>
      </c>
      <c r="C29" s="64">
        <v>49</v>
      </c>
      <c r="D29" s="66">
        <f>'Rate Impacts'!H27</f>
        <v>2.5500000000000002E-4</v>
      </c>
      <c r="E29" s="66">
        <f>'Rate Impacts'!J27</f>
        <v>4.3754735424086287E-4</v>
      </c>
      <c r="F29" s="65">
        <f>IFERROR(E29/D29-1, "na")</f>
        <v>0.7158719774151483</v>
      </c>
      <c r="G29" s="73" t="s">
        <v>67</v>
      </c>
    </row>
    <row r="30" spans="1:7" x14ac:dyDescent="0.2">
      <c r="A30" s="51">
        <f t="shared" si="0"/>
        <v>21</v>
      </c>
      <c r="B30" s="71" t="s">
        <v>21</v>
      </c>
      <c r="C30" s="70"/>
      <c r="D30" s="69"/>
      <c r="E30" s="69"/>
      <c r="F30" s="68"/>
    </row>
    <row r="31" spans="1:7" x14ac:dyDescent="0.2">
      <c r="A31" s="51">
        <f t="shared" si="0"/>
        <v>22</v>
      </c>
      <c r="B31" s="67"/>
      <c r="C31" s="64"/>
      <c r="D31" s="66"/>
      <c r="E31" s="66"/>
      <c r="F31" s="65"/>
    </row>
    <row r="32" spans="1:7" x14ac:dyDescent="0.2">
      <c r="A32" s="51">
        <f t="shared" si="0"/>
        <v>23</v>
      </c>
      <c r="B32" s="74" t="s">
        <v>73</v>
      </c>
      <c r="C32" s="64" t="s">
        <v>153</v>
      </c>
      <c r="D32" s="66"/>
      <c r="E32" s="66"/>
      <c r="F32" s="65"/>
      <c r="G32" s="73"/>
    </row>
    <row r="33" spans="1:7" x14ac:dyDescent="0.2">
      <c r="A33" s="51">
        <f t="shared" si="0"/>
        <v>24</v>
      </c>
      <c r="B33" s="67" t="s">
        <v>72</v>
      </c>
      <c r="C33" s="64" t="s">
        <v>54</v>
      </c>
      <c r="D33" s="66"/>
      <c r="E33" s="66"/>
      <c r="F33" s="65"/>
      <c r="G33" s="73"/>
    </row>
    <row r="34" spans="1:7" x14ac:dyDescent="0.2">
      <c r="A34" s="51">
        <f t="shared" si="0"/>
        <v>25</v>
      </c>
      <c r="B34" s="67" t="s">
        <v>55</v>
      </c>
      <c r="C34" s="64" t="s">
        <v>99</v>
      </c>
      <c r="D34" s="53"/>
      <c r="E34" s="53"/>
      <c r="F34" s="52"/>
      <c r="G34" s="72"/>
    </row>
    <row r="35" spans="1:7" x14ac:dyDescent="0.2">
      <c r="A35" s="51">
        <f t="shared" si="0"/>
        <v>26</v>
      </c>
      <c r="B35" s="67" t="s">
        <v>126</v>
      </c>
      <c r="C35" s="64">
        <v>558</v>
      </c>
      <c r="D35" s="66">
        <f>'Rate Impacts'!H36</f>
        <v>0</v>
      </c>
      <c r="E35" s="66">
        <f>'Rate Impacts'!J36</f>
        <v>5.3645670763203005E-4</v>
      </c>
      <c r="F35" s="52" t="s">
        <v>70</v>
      </c>
      <c r="G35" s="72" t="s">
        <v>67</v>
      </c>
    </row>
    <row r="36" spans="1:7" x14ac:dyDescent="0.2">
      <c r="A36" s="51">
        <f t="shared" si="0"/>
        <v>27</v>
      </c>
      <c r="B36" s="67"/>
      <c r="C36" s="64"/>
      <c r="D36" s="66"/>
      <c r="E36" s="66"/>
      <c r="F36" s="65"/>
    </row>
    <row r="37" spans="1:7" x14ac:dyDescent="0.2">
      <c r="A37" s="51">
        <f t="shared" si="0"/>
        <v>28</v>
      </c>
      <c r="B37" s="71" t="s">
        <v>71</v>
      </c>
      <c r="C37" s="70"/>
      <c r="D37" s="69"/>
      <c r="E37" s="69"/>
      <c r="F37" s="68"/>
    </row>
    <row r="38" spans="1:7" x14ac:dyDescent="0.2">
      <c r="A38" s="51">
        <f t="shared" si="0"/>
        <v>29</v>
      </c>
      <c r="B38" s="67"/>
      <c r="C38" s="64"/>
      <c r="D38" s="66"/>
      <c r="E38" s="66"/>
      <c r="F38" s="65"/>
    </row>
    <row r="39" spans="1:7" x14ac:dyDescent="0.2">
      <c r="A39" s="51">
        <f t="shared" si="0"/>
        <v>30</v>
      </c>
      <c r="B39" s="54" t="s">
        <v>57</v>
      </c>
      <c r="C39" s="64">
        <v>5</v>
      </c>
      <c r="D39" s="53" t="s">
        <v>70</v>
      </c>
      <c r="E39" s="53" t="s">
        <v>70</v>
      </c>
      <c r="F39" s="52" t="s">
        <v>70</v>
      </c>
    </row>
    <row r="40" spans="1:7" x14ac:dyDescent="0.2">
      <c r="A40" s="51">
        <f t="shared" si="0"/>
        <v>31</v>
      </c>
      <c r="B40" s="54"/>
      <c r="C40" s="50"/>
      <c r="D40" s="53"/>
      <c r="E40" s="53"/>
      <c r="F40" s="52"/>
    </row>
    <row r="41" spans="1:7" ht="12" thickBot="1" x14ac:dyDescent="0.25">
      <c r="A41" s="51">
        <f t="shared" si="0"/>
        <v>32</v>
      </c>
      <c r="B41" s="50" t="s">
        <v>69</v>
      </c>
      <c r="C41" s="49"/>
      <c r="D41" s="48"/>
      <c r="E41" s="48"/>
      <c r="F41" s="47"/>
    </row>
    <row r="42" spans="1:7" ht="12" thickTop="1" x14ac:dyDescent="0.2">
      <c r="A42" s="51">
        <f t="shared" si="0"/>
        <v>33</v>
      </c>
      <c r="B42" s="56"/>
      <c r="C42" s="50"/>
      <c r="D42" s="53"/>
      <c r="E42" s="53"/>
      <c r="F42" s="63"/>
    </row>
    <row r="43" spans="1:7" x14ac:dyDescent="0.2">
      <c r="A43" s="51">
        <f t="shared" si="0"/>
        <v>34</v>
      </c>
      <c r="B43" s="56"/>
      <c r="C43" s="50"/>
      <c r="D43" s="53"/>
      <c r="E43" s="53"/>
      <c r="F43" s="63"/>
    </row>
    <row r="44" spans="1:7" x14ac:dyDescent="0.2">
      <c r="A44" s="51">
        <f t="shared" si="0"/>
        <v>35</v>
      </c>
      <c r="B44" s="62" t="s">
        <v>68</v>
      </c>
      <c r="C44" s="62"/>
      <c r="D44" s="61"/>
      <c r="E44" s="61"/>
      <c r="F44" s="61"/>
    </row>
    <row r="45" spans="1:7" x14ac:dyDescent="0.2">
      <c r="A45" s="51">
        <f t="shared" si="0"/>
        <v>36</v>
      </c>
      <c r="B45" s="54" t="str">
        <f>B11</f>
        <v>Residential</v>
      </c>
      <c r="C45" s="56" t="str">
        <f>C11</f>
        <v>7 (307) (317) (327)</v>
      </c>
      <c r="D45" s="58"/>
      <c r="E45" s="58"/>
      <c r="F45" s="57" t="str">
        <f>IFERROR(E45/D45-1, "na")</f>
        <v>na</v>
      </c>
    </row>
    <row r="46" spans="1:7" x14ac:dyDescent="0.2">
      <c r="A46" s="51">
        <f t="shared" si="0"/>
        <v>37</v>
      </c>
      <c r="B46" s="54"/>
      <c r="C46" s="56"/>
      <c r="D46" s="55"/>
      <c r="E46" s="55"/>
      <c r="F46" s="52"/>
    </row>
    <row r="47" spans="1:7" x14ac:dyDescent="0.2">
      <c r="A47" s="51">
        <f t="shared" si="0"/>
        <v>38</v>
      </c>
      <c r="B47" s="54" t="str">
        <f t="shared" ref="B47:B53" si="1">B13</f>
        <v>Secondary Voltage</v>
      </c>
      <c r="C47" s="56"/>
      <c r="D47" s="55"/>
      <c r="E47" s="55"/>
      <c r="F47" s="52"/>
    </row>
    <row r="48" spans="1:7" x14ac:dyDescent="0.2">
      <c r="A48" s="51">
        <f t="shared" si="0"/>
        <v>39</v>
      </c>
      <c r="B48" s="60" t="str">
        <f t="shared" si="1"/>
        <v>Demand &lt;= 50 kW</v>
      </c>
      <c r="C48" s="56" t="str">
        <f>C14</f>
        <v>08 (24) (324)</v>
      </c>
      <c r="D48" s="55"/>
      <c r="E48" s="55"/>
      <c r="F48" s="52" t="str">
        <f>IFERROR(E48/D48-1, "na")</f>
        <v>na</v>
      </c>
    </row>
    <row r="49" spans="1:6" x14ac:dyDescent="0.2">
      <c r="A49" s="51">
        <f t="shared" si="0"/>
        <v>40</v>
      </c>
      <c r="B49" s="60" t="str">
        <f t="shared" si="1"/>
        <v>Demand &gt; 50 kW but &lt;= 350 kW</v>
      </c>
      <c r="C49" s="56" t="str">
        <f>C15</f>
        <v>7A</v>
      </c>
      <c r="D49" s="55"/>
      <c r="E49" s="55"/>
      <c r="F49" s="52" t="str">
        <f>IFERROR(E49/D49-1, "na")</f>
        <v>na</v>
      </c>
    </row>
    <row r="50" spans="1:6" x14ac:dyDescent="0.2">
      <c r="A50" s="51">
        <f t="shared" si="0"/>
        <v>41</v>
      </c>
      <c r="B50" s="60" t="str">
        <f t="shared" si="1"/>
        <v>Demand &gt; 50 kW but &lt;= 350 kW</v>
      </c>
      <c r="C50" s="56" t="str">
        <f>C16</f>
        <v>11 / 25</v>
      </c>
      <c r="D50" s="55">
        <f>D49</f>
        <v>0</v>
      </c>
      <c r="E50" s="55">
        <f>E49</f>
        <v>0</v>
      </c>
      <c r="F50" s="52" t="str">
        <f>IFERROR(E50/D50-1, "na")</f>
        <v>na</v>
      </c>
    </row>
    <row r="51" spans="1:6" x14ac:dyDescent="0.2">
      <c r="A51" s="51">
        <f t="shared" si="0"/>
        <v>42</v>
      </c>
      <c r="B51" s="60" t="str">
        <f t="shared" si="1"/>
        <v>Demand &gt; 350 kW</v>
      </c>
      <c r="C51" s="56" t="str">
        <f>C17</f>
        <v>12 (26) (26P)</v>
      </c>
      <c r="D51" s="55"/>
      <c r="E51" s="55"/>
      <c r="F51" s="52" t="str">
        <f>IFERROR(E51/D51-1, "na")</f>
        <v>na</v>
      </c>
    </row>
    <row r="52" spans="1:6" x14ac:dyDescent="0.2">
      <c r="A52" s="51">
        <f t="shared" si="0"/>
        <v>43</v>
      </c>
      <c r="B52" s="60" t="str">
        <f t="shared" si="1"/>
        <v>Demand &gt; 50 kW but &lt;= 350 kW</v>
      </c>
      <c r="C52" s="56">
        <f>C18</f>
        <v>29</v>
      </c>
      <c r="D52" s="55"/>
      <c r="E52" s="55"/>
      <c r="F52" s="52" t="str">
        <f>IFERROR(E52/D52-1, "na")</f>
        <v>na</v>
      </c>
    </row>
    <row r="53" spans="1:6" x14ac:dyDescent="0.2">
      <c r="A53" s="51">
        <f t="shared" si="0"/>
        <v>44</v>
      </c>
      <c r="B53" s="49" t="str">
        <f t="shared" si="1"/>
        <v>Total Secondary Voltage</v>
      </c>
      <c r="C53" s="59"/>
      <c r="D53" s="58"/>
      <c r="E53" s="58"/>
      <c r="F53" s="57"/>
    </row>
    <row r="54" spans="1:6" x14ac:dyDescent="0.2">
      <c r="A54" s="51">
        <f t="shared" si="0"/>
        <v>45</v>
      </c>
      <c r="B54" s="49"/>
      <c r="C54" s="59"/>
      <c r="D54" s="55"/>
      <c r="E54" s="55"/>
      <c r="F54" s="52"/>
    </row>
    <row r="55" spans="1:6" x14ac:dyDescent="0.2">
      <c r="A55" s="51">
        <f t="shared" si="0"/>
        <v>46</v>
      </c>
      <c r="B55" s="54" t="str">
        <f>B21</f>
        <v>Primary Voltage</v>
      </c>
      <c r="C55" s="56"/>
      <c r="D55" s="55"/>
      <c r="E55" s="55"/>
      <c r="F55" s="52"/>
    </row>
    <row r="56" spans="1:6" x14ac:dyDescent="0.2">
      <c r="A56" s="51">
        <f t="shared" si="0"/>
        <v>47</v>
      </c>
      <c r="B56" s="60" t="str">
        <f>B22</f>
        <v>General Service</v>
      </c>
      <c r="C56" s="56" t="str">
        <f>C22</f>
        <v>10 (31)</v>
      </c>
      <c r="D56" s="55"/>
      <c r="E56" s="55"/>
      <c r="F56" s="52" t="str">
        <f>IFERROR(E56/D56-1, "na")</f>
        <v>na</v>
      </c>
    </row>
    <row r="57" spans="1:6" x14ac:dyDescent="0.2">
      <c r="A57" s="51">
        <f t="shared" si="0"/>
        <v>48</v>
      </c>
      <c r="B57" s="60" t="str">
        <f>B23</f>
        <v>Irrigation</v>
      </c>
      <c r="C57" s="56">
        <f>C23</f>
        <v>35</v>
      </c>
      <c r="D57" s="55"/>
      <c r="E57" s="55"/>
      <c r="F57" s="52" t="str">
        <f>IFERROR(E57/D57-1, "na")</f>
        <v>na</v>
      </c>
    </row>
    <row r="58" spans="1:6" x14ac:dyDescent="0.2">
      <c r="A58" s="51">
        <f t="shared" si="0"/>
        <v>49</v>
      </c>
      <c r="B58" s="60" t="str">
        <f>B24</f>
        <v>Interruptible Schools</v>
      </c>
      <c r="C58" s="56">
        <f>C24</f>
        <v>43</v>
      </c>
      <c r="D58" s="55"/>
      <c r="E58" s="55"/>
      <c r="F58" s="52" t="str">
        <f>IFERROR(E58/D58-1, "na")</f>
        <v>na</v>
      </c>
    </row>
    <row r="59" spans="1:6" x14ac:dyDescent="0.2">
      <c r="A59" s="51">
        <f t="shared" si="0"/>
        <v>50</v>
      </c>
      <c r="B59" s="49" t="str">
        <f>B25</f>
        <v>Total Primary Voltage</v>
      </c>
      <c r="C59" s="59"/>
      <c r="D59" s="58"/>
      <c r="E59" s="58"/>
      <c r="F59" s="57"/>
    </row>
    <row r="60" spans="1:6" x14ac:dyDescent="0.2">
      <c r="A60" s="51">
        <f t="shared" si="0"/>
        <v>51</v>
      </c>
      <c r="B60" s="49"/>
      <c r="C60" s="59"/>
      <c r="D60" s="55"/>
      <c r="E60" s="55"/>
      <c r="F60" s="52"/>
    </row>
    <row r="61" spans="1:6" x14ac:dyDescent="0.2">
      <c r="A61" s="51">
        <f t="shared" si="0"/>
        <v>52</v>
      </c>
      <c r="B61" s="54" t="str">
        <f>B27</f>
        <v>High Voltage</v>
      </c>
      <c r="C61" s="56"/>
      <c r="D61" s="55"/>
      <c r="E61" s="55"/>
      <c r="F61" s="52"/>
    </row>
    <row r="62" spans="1:6" x14ac:dyDescent="0.2">
      <c r="A62" s="51">
        <f t="shared" si="0"/>
        <v>53</v>
      </c>
      <c r="B62" s="60" t="str">
        <f>B28</f>
        <v>Interruptible Service</v>
      </c>
      <c r="C62" s="56">
        <f>C28</f>
        <v>46</v>
      </c>
      <c r="D62" s="55"/>
      <c r="E62" s="55"/>
      <c r="F62" s="52" t="str">
        <f>IFERROR(E62/D62-1, "na")</f>
        <v>na</v>
      </c>
    </row>
    <row r="63" spans="1:6" x14ac:dyDescent="0.2">
      <c r="A63" s="51">
        <f t="shared" si="0"/>
        <v>54</v>
      </c>
      <c r="B63" s="60" t="str">
        <f>B29</f>
        <v>General Service</v>
      </c>
      <c r="C63" s="56">
        <f>C29</f>
        <v>49</v>
      </c>
      <c r="D63" s="55"/>
      <c r="E63" s="55"/>
      <c r="F63" s="52" t="str">
        <f>IFERROR(E63/D63-1, "na")</f>
        <v>na</v>
      </c>
    </row>
    <row r="64" spans="1:6" x14ac:dyDescent="0.2">
      <c r="A64" s="51">
        <f t="shared" si="0"/>
        <v>55</v>
      </c>
      <c r="B64" s="50" t="str">
        <f>B30</f>
        <v>Total High Voltage</v>
      </c>
      <c r="C64" s="59"/>
      <c r="D64" s="58"/>
      <c r="E64" s="58"/>
      <c r="F64" s="57"/>
    </row>
    <row r="65" spans="1:6" x14ac:dyDescent="0.2">
      <c r="A65" s="51">
        <f t="shared" si="0"/>
        <v>56</v>
      </c>
      <c r="B65" s="54"/>
      <c r="C65" s="56"/>
      <c r="D65" s="55"/>
      <c r="E65" s="55"/>
      <c r="F65" s="52"/>
    </row>
    <row r="66" spans="1:6" x14ac:dyDescent="0.2">
      <c r="A66" s="51">
        <f t="shared" si="0"/>
        <v>57</v>
      </c>
      <c r="B66" s="49" t="str">
        <f t="shared" ref="B66:C69" si="2">B32</f>
        <v>Choice / Retail Wheeling</v>
      </c>
      <c r="C66" s="56" t="str">
        <f t="shared" si="2"/>
        <v>448 - 459</v>
      </c>
      <c r="D66" s="55"/>
      <c r="E66" s="55"/>
      <c r="F66" s="52" t="str">
        <f>IFERROR(E66/D66-1, "na")</f>
        <v>na</v>
      </c>
    </row>
    <row r="67" spans="1:6" x14ac:dyDescent="0.2">
      <c r="A67" s="51">
        <f t="shared" si="0"/>
        <v>58</v>
      </c>
      <c r="B67" s="54" t="str">
        <f t="shared" si="2"/>
        <v>Special Contracts</v>
      </c>
      <c r="C67" s="56" t="str">
        <f t="shared" si="2"/>
        <v>Special Contract</v>
      </c>
      <c r="D67" s="55"/>
      <c r="E67" s="55"/>
      <c r="F67" s="52" t="str">
        <f>IFERROR(E67/D67-1, "na")</f>
        <v>na</v>
      </c>
    </row>
    <row r="68" spans="1:6" x14ac:dyDescent="0.2">
      <c r="A68" s="51">
        <f t="shared" si="0"/>
        <v>59</v>
      </c>
      <c r="B68" s="54" t="str">
        <f t="shared" si="2"/>
        <v>Lighting</v>
      </c>
      <c r="C68" s="56" t="str">
        <f t="shared" si="2"/>
        <v>50 - 59</v>
      </c>
      <c r="D68" s="55"/>
      <c r="E68" s="55"/>
      <c r="F68" s="52" t="str">
        <f>IFERROR(E68/D68-1, "na")</f>
        <v>na</v>
      </c>
    </row>
    <row r="69" spans="1:6" x14ac:dyDescent="0.2">
      <c r="A69" s="51">
        <f t="shared" si="0"/>
        <v>60</v>
      </c>
      <c r="B69" s="54" t="str">
        <f t="shared" si="2"/>
        <v>Transportation Electrification</v>
      </c>
      <c r="C69" s="56">
        <f t="shared" si="2"/>
        <v>558</v>
      </c>
      <c r="D69" s="55"/>
      <c r="E69" s="55"/>
      <c r="F69" s="52"/>
    </row>
    <row r="70" spans="1:6" x14ac:dyDescent="0.2">
      <c r="A70" s="51">
        <f t="shared" si="0"/>
        <v>61</v>
      </c>
      <c r="B70" s="54"/>
      <c r="C70" s="56"/>
      <c r="D70" s="55"/>
      <c r="E70" s="55"/>
      <c r="F70" s="52"/>
    </row>
    <row r="71" spans="1:6" x14ac:dyDescent="0.2">
      <c r="A71" s="51">
        <f t="shared" si="0"/>
        <v>62</v>
      </c>
      <c r="B71" s="50" t="str">
        <f>B37</f>
        <v>Total Retail Sales</v>
      </c>
      <c r="C71" s="59"/>
      <c r="D71" s="58"/>
      <c r="E71" s="58"/>
      <c r="F71" s="57"/>
    </row>
    <row r="72" spans="1:6" x14ac:dyDescent="0.2">
      <c r="A72" s="51">
        <f t="shared" si="0"/>
        <v>63</v>
      </c>
      <c r="B72" s="54"/>
      <c r="C72" s="56"/>
      <c r="D72" s="55"/>
      <c r="E72" s="55"/>
      <c r="F72" s="52"/>
    </row>
    <row r="73" spans="1:6" x14ac:dyDescent="0.2">
      <c r="A73" s="51">
        <f t="shared" si="0"/>
        <v>64</v>
      </c>
      <c r="B73" s="54" t="str">
        <f>B39</f>
        <v>Firm Resale</v>
      </c>
      <c r="C73" s="56">
        <f>C39</f>
        <v>5</v>
      </c>
      <c r="D73" s="55"/>
      <c r="E73" s="55"/>
      <c r="F73" s="52" t="str">
        <f>IFERROR(E73/D73-1, "na")</f>
        <v>na</v>
      </c>
    </row>
    <row r="74" spans="1:6" x14ac:dyDescent="0.2">
      <c r="A74" s="51">
        <f t="shared" si="0"/>
        <v>65</v>
      </c>
      <c r="B74" s="54"/>
      <c r="C74" s="50"/>
      <c r="D74" s="53"/>
      <c r="E74" s="53"/>
      <c r="F74" s="52"/>
    </row>
    <row r="75" spans="1:6" ht="12" thickBot="1" x14ac:dyDescent="0.25">
      <c r="A75" s="51">
        <f t="shared" si="0"/>
        <v>66</v>
      </c>
      <c r="B75" s="50" t="str">
        <f>B41</f>
        <v>Total Sales</v>
      </c>
      <c r="C75" s="49"/>
      <c r="D75" s="48"/>
      <c r="E75" s="48"/>
      <c r="F75" s="47"/>
    </row>
    <row r="76" spans="1:6" ht="12" thickTop="1" x14ac:dyDescent="0.2"/>
  </sheetData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zoomScaleNormal="100" zoomScaleSheetLayoutView="100" workbookViewId="0">
      <pane ySplit="8" topLeftCell="A9" activePane="bottomLeft" state="frozen"/>
      <selection activeCell="D16" sqref="D16"/>
      <selection pane="bottomLeft" activeCell="D16" sqref="D16"/>
    </sheetView>
  </sheetViews>
  <sheetFormatPr defaultColWidth="9.140625" defaultRowHeight="11.25" x14ac:dyDescent="0.2"/>
  <cols>
    <col min="1" max="1" width="6.7109375" style="90" bestFit="1" customWidth="1"/>
    <col min="2" max="2" width="28.42578125" style="90" bestFit="1" customWidth="1"/>
    <col min="3" max="3" width="6.28515625" style="90" customWidth="1"/>
    <col min="4" max="4" width="7.7109375" style="92" customWidth="1"/>
    <col min="5" max="5" width="7.7109375" style="91" customWidth="1"/>
    <col min="6" max="6" width="8.28515625" style="91" customWidth="1"/>
    <col min="7" max="7" width="14" style="91" customWidth="1"/>
    <col min="8" max="8" width="4.28515625" style="91" customWidth="1"/>
    <col min="9" max="9" width="6" style="90" bestFit="1" customWidth="1"/>
    <col min="10" max="10" width="9.42578125" style="90" customWidth="1"/>
    <col min="11" max="11" width="7.5703125" style="91" customWidth="1"/>
    <col min="12" max="12" width="8.42578125" style="91" customWidth="1"/>
    <col min="13" max="13" width="16.7109375" style="91" customWidth="1"/>
    <col min="14" max="14" width="11.5703125" style="90" bestFit="1" customWidth="1"/>
    <col min="15" max="15" width="6.5703125" style="90" customWidth="1"/>
    <col min="16" max="16384" width="9.140625" style="90"/>
  </cols>
  <sheetData>
    <row r="1" spans="1:16" s="165" customFormat="1" x14ac:dyDescent="0.2">
      <c r="A1" s="166" t="s">
        <v>90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6" s="165" customFormat="1" x14ac:dyDescent="0.2">
      <c r="A2" s="167" t="s">
        <v>118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6" s="165" customFormat="1" x14ac:dyDescent="0.2">
      <c r="A3" s="167" t="str">
        <f>Inputs!B4&amp;" Forecasted Rate-Year Ended "&amp;TEXT(Inputs!B2,"mmmm d, yyyy")</f>
        <v>F2024 Forecasted Rate-Year Ended April 30, 2026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40"/>
    </row>
    <row r="4" spans="1:16" s="165" customFormat="1" x14ac:dyDescent="0.2">
      <c r="A4" s="167" t="str">
        <f>"Proposed Rate Effective "&amp;TEXT(Inputs!B1,"mmmm d, yyyy")</f>
        <v>Proposed Rate Effective May 1, 2025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40"/>
    </row>
    <row r="5" spans="1:16" s="165" customFormat="1" x14ac:dyDescent="0.2">
      <c r="A5" s="166" t="s">
        <v>116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6" s="165" customFormat="1" x14ac:dyDescent="0.2">
      <c r="A6" s="136" t="s">
        <v>98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0"/>
    </row>
    <row r="7" spans="1:16" s="157" customFormat="1" ht="45" x14ac:dyDescent="0.2">
      <c r="A7" s="164" t="s">
        <v>0</v>
      </c>
      <c r="B7" s="164" t="s">
        <v>17</v>
      </c>
      <c r="C7" s="163" t="s">
        <v>115</v>
      </c>
      <c r="D7" s="162"/>
      <c r="E7" s="162"/>
      <c r="F7" s="162"/>
      <c r="G7" s="159" t="s">
        <v>131</v>
      </c>
      <c r="H7" s="158" t="s">
        <v>119</v>
      </c>
      <c r="I7" s="162"/>
      <c r="J7" s="161" t="s">
        <v>120</v>
      </c>
      <c r="K7" s="160" t="s">
        <v>121</v>
      </c>
      <c r="L7" s="160"/>
      <c r="M7" s="159" t="s">
        <v>122</v>
      </c>
      <c r="N7" s="158" t="s">
        <v>114</v>
      </c>
      <c r="O7" s="158"/>
      <c r="P7" s="40"/>
    </row>
    <row r="8" spans="1:16" s="153" customFormat="1" x14ac:dyDescent="0.2">
      <c r="A8" s="82"/>
      <c r="B8" s="82"/>
      <c r="C8" s="156" t="s">
        <v>98</v>
      </c>
      <c r="D8" s="156"/>
      <c r="E8" s="156"/>
      <c r="F8" s="156"/>
      <c r="G8" s="154" t="s">
        <v>13</v>
      </c>
      <c r="H8" s="156" t="s">
        <v>14</v>
      </c>
      <c r="I8" s="156"/>
      <c r="J8" s="82" t="s">
        <v>15</v>
      </c>
      <c r="K8" s="155" t="s">
        <v>18</v>
      </c>
      <c r="L8" s="155"/>
      <c r="M8" s="154" t="s">
        <v>113</v>
      </c>
      <c r="N8" s="82" t="s">
        <v>112</v>
      </c>
      <c r="O8" s="82" t="s">
        <v>111</v>
      </c>
      <c r="P8" s="40"/>
    </row>
    <row r="9" spans="1:16" x14ac:dyDescent="0.2">
      <c r="A9" s="152">
        <v>1</v>
      </c>
      <c r="C9" s="131" t="s">
        <v>98</v>
      </c>
      <c r="D9" s="132"/>
      <c r="E9" s="131"/>
      <c r="F9" s="131"/>
      <c r="H9" s="115" t="s">
        <v>98</v>
      </c>
      <c r="I9" s="115"/>
      <c r="K9" s="113" t="s">
        <v>98</v>
      </c>
      <c r="L9" s="113"/>
      <c r="P9" s="40"/>
    </row>
    <row r="10" spans="1:16" x14ac:dyDescent="0.2">
      <c r="A10" s="93">
        <f t="shared" ref="A10:A44" si="0">A9+1</f>
        <v>2</v>
      </c>
      <c r="B10" s="151" t="s">
        <v>1</v>
      </c>
      <c r="C10" s="131" t="s">
        <v>110</v>
      </c>
      <c r="D10" s="132"/>
      <c r="E10" s="131"/>
      <c r="F10" s="131"/>
      <c r="G10" s="135">
        <f>'Rate Spread &amp; Design'!H7</f>
        <v>11360099583.257719</v>
      </c>
      <c r="H10" s="179">
        <v>3.7800000000000003E-4</v>
      </c>
      <c r="I10" s="179"/>
      <c r="J10" s="69">
        <f>'Rate Spread &amp; Design'!I7</f>
        <v>5.9778785632384594E-4</v>
      </c>
      <c r="K10" s="134">
        <v>1835083757.6961253</v>
      </c>
      <c r="L10" s="134"/>
      <c r="M10" s="133">
        <f>K10+G10*(J10-H10)</f>
        <v>1837580569.631155</v>
      </c>
      <c r="N10" s="133">
        <f>+M10-K10</f>
        <v>2496811.9350297451</v>
      </c>
      <c r="O10" s="68">
        <f>IF(K10=0,"n/a",+N10/K10)</f>
        <v>1.3605983511970011E-3</v>
      </c>
      <c r="P10" s="40"/>
    </row>
    <row r="11" spans="1:16" x14ac:dyDescent="0.2">
      <c r="A11" s="93">
        <f t="shared" si="0"/>
        <v>3</v>
      </c>
      <c r="B11" s="141"/>
      <c r="C11" s="131" t="s">
        <v>98</v>
      </c>
      <c r="D11" s="132"/>
      <c r="E11" s="131"/>
      <c r="F11" s="131"/>
      <c r="G11" s="139"/>
      <c r="H11" s="138" t="s">
        <v>98</v>
      </c>
      <c r="I11" s="138"/>
      <c r="J11" s="137"/>
      <c r="K11" s="113" t="s">
        <v>98</v>
      </c>
      <c r="L11" s="113"/>
      <c r="M11" s="128"/>
      <c r="N11" s="128"/>
      <c r="O11" s="127"/>
      <c r="P11" s="40"/>
    </row>
    <row r="12" spans="1:16" x14ac:dyDescent="0.2">
      <c r="A12" s="93">
        <f t="shared" si="0"/>
        <v>4</v>
      </c>
      <c r="B12" s="78" t="s">
        <v>83</v>
      </c>
      <c r="C12" s="131" t="s">
        <v>98</v>
      </c>
      <c r="D12" s="132"/>
      <c r="E12" s="131"/>
      <c r="F12" s="131"/>
      <c r="G12" s="139"/>
      <c r="H12" s="138" t="s">
        <v>98</v>
      </c>
      <c r="I12" s="138"/>
      <c r="J12" s="137"/>
      <c r="K12" s="113" t="s">
        <v>98</v>
      </c>
      <c r="L12" s="113"/>
      <c r="M12" s="128"/>
      <c r="N12" s="128"/>
      <c r="O12" s="127"/>
      <c r="P12" s="40"/>
    </row>
    <row r="13" spans="1:16" x14ac:dyDescent="0.2">
      <c r="A13" s="93">
        <f t="shared" si="0"/>
        <v>5</v>
      </c>
      <c r="B13" s="148" t="s">
        <v>82</v>
      </c>
      <c r="C13" s="131" t="s">
        <v>109</v>
      </c>
      <c r="D13" s="132"/>
      <c r="E13" s="131"/>
      <c r="F13" s="131"/>
      <c r="G13" s="139">
        <f>'Rate Spread &amp; Design'!H9</f>
        <v>2693017787.7097392</v>
      </c>
      <c r="H13" s="138">
        <v>3.39E-4</v>
      </c>
      <c r="I13" s="138"/>
      <c r="J13" s="137">
        <f>'Rate Spread &amp; Design'!I9</f>
        <v>5.603308105445482E-4</v>
      </c>
      <c r="K13" s="146">
        <v>428680974.91747087</v>
      </c>
      <c r="L13" s="146"/>
      <c r="M13" s="128">
        <f>K13+G13*(J13-H13)</f>
        <v>429277022.72723556</v>
      </c>
      <c r="N13" s="128">
        <f>+M13-K13</f>
        <v>596047.80976468325</v>
      </c>
      <c r="O13" s="127">
        <f>IF(K13=0,"n/a",+N13/K13)</f>
        <v>1.3904228193925183E-3</v>
      </c>
      <c r="P13" s="40"/>
    </row>
    <row r="14" spans="1:16" x14ac:dyDescent="0.2">
      <c r="A14" s="93">
        <f t="shared" si="0"/>
        <v>6</v>
      </c>
      <c r="B14" s="148" t="s">
        <v>80</v>
      </c>
      <c r="C14" s="131" t="s">
        <v>108</v>
      </c>
      <c r="D14" s="132"/>
      <c r="E14" s="131"/>
      <c r="F14" s="131"/>
      <c r="G14" s="139">
        <f>'Rate Spread &amp; Design'!H10</f>
        <v>2969093006.541297</v>
      </c>
      <c r="H14" s="138">
        <v>3.4600000000000001E-4</v>
      </c>
      <c r="I14" s="138"/>
      <c r="J14" s="137">
        <f>'Rate Spread &amp; Design'!I10</f>
        <v>5.7159254697221904E-4</v>
      </c>
      <c r="K14" s="146">
        <v>436045201.34652531</v>
      </c>
      <c r="L14" s="146"/>
      <c r="M14" s="128">
        <f>K14+G14*(J14-H14)</f>
        <v>436715006.60006839</v>
      </c>
      <c r="N14" s="128">
        <f>+M14-K14</f>
        <v>669805.2535430789</v>
      </c>
      <c r="O14" s="127">
        <f>IF(K14=0,"n/a",+N14/K14)</f>
        <v>1.5360913306113519E-3</v>
      </c>
      <c r="P14" s="40"/>
    </row>
    <row r="15" spans="1:16" x14ac:dyDescent="0.2">
      <c r="A15" s="93">
        <f t="shared" si="0"/>
        <v>7</v>
      </c>
      <c r="B15" s="148" t="s">
        <v>81</v>
      </c>
      <c r="C15" s="131" t="s">
        <v>107</v>
      </c>
      <c r="D15" s="132"/>
      <c r="E15" s="131"/>
      <c r="F15" s="131"/>
      <c r="G15" s="139">
        <f>'Rate Spread &amp; Design'!H11</f>
        <v>2065352001.3623114</v>
      </c>
      <c r="H15" s="138">
        <v>2.7799999999999998E-4</v>
      </c>
      <c r="I15" s="138"/>
      <c r="J15" s="137">
        <f>'Rate Spread &amp; Design'!I11</f>
        <v>4.5481689099945616E-4</v>
      </c>
      <c r="K15" s="146">
        <v>272120899.7216447</v>
      </c>
      <c r="L15" s="146"/>
      <c r="M15" s="128">
        <f>K15+G15*(J15-H15)</f>
        <v>272486088.84134507</v>
      </c>
      <c r="N15" s="128">
        <f>+M15-K15</f>
        <v>365189.11970037222</v>
      </c>
      <c r="O15" s="127">
        <f>IF(K15=0,"n/a",+N15/K15)</f>
        <v>1.3420105551390136E-3</v>
      </c>
      <c r="P15" s="40"/>
    </row>
    <row r="16" spans="1:16" x14ac:dyDescent="0.2">
      <c r="A16" s="93">
        <f t="shared" si="0"/>
        <v>8</v>
      </c>
      <c r="B16" s="149" t="s">
        <v>105</v>
      </c>
      <c r="C16" s="136">
        <v>29</v>
      </c>
      <c r="D16" s="132"/>
      <c r="E16" s="131"/>
      <c r="F16" s="131"/>
      <c r="G16" s="139">
        <f>'Rate Spread &amp; Design'!H12</f>
        <v>14420837.616554612</v>
      </c>
      <c r="H16" s="138">
        <v>4.5399999999999998E-4</v>
      </c>
      <c r="I16" s="138"/>
      <c r="J16" s="137">
        <f>'Rate Spread &amp; Design'!I12</f>
        <v>5.9891305154687426E-4</v>
      </c>
      <c r="K16" s="146">
        <v>1846135.5797549628</v>
      </c>
      <c r="L16" s="146"/>
      <c r="M16" s="128">
        <f>K16+G16*(J16-H16)</f>
        <v>1848225.3473398397</v>
      </c>
      <c r="N16" s="128">
        <f>+M16-K16</f>
        <v>2089.7675848768558</v>
      </c>
      <c r="O16" s="127">
        <f>IF(K16=0,"n/a",+N16/K16)</f>
        <v>1.1319686418449452E-3</v>
      </c>
      <c r="P16" s="40"/>
    </row>
    <row r="17" spans="1:16" x14ac:dyDescent="0.2">
      <c r="A17" s="93">
        <f t="shared" si="0"/>
        <v>9</v>
      </c>
      <c r="B17" s="140" t="s">
        <v>19</v>
      </c>
      <c r="C17" s="131" t="s">
        <v>98</v>
      </c>
      <c r="D17" s="132"/>
      <c r="E17" s="131"/>
      <c r="F17" s="131"/>
      <c r="G17" s="143">
        <f>SUM(G13:G16)</f>
        <v>7741883633.2299013</v>
      </c>
      <c r="H17" s="180">
        <f>ROUND(SUMPRODUCT($G13:$G16,H13:H16)/$G17,6)</f>
        <v>3.2600000000000001E-4</v>
      </c>
      <c r="I17" s="181"/>
      <c r="J17" s="145">
        <f>ROUND(SUMPRODUCT($G13:$G16,J13:J16)/$G17,6)</f>
        <v>5.3700000000000004E-4</v>
      </c>
      <c r="K17" s="144">
        <f>SUM(K13:K16)</f>
        <v>1138693211.5653958</v>
      </c>
      <c r="L17" s="144"/>
      <c r="M17" s="133">
        <f>SUM(M13:M16)</f>
        <v>1140326343.5159888</v>
      </c>
      <c r="N17" s="133">
        <f>SUM(N13:N16)</f>
        <v>1633131.9505930112</v>
      </c>
      <c r="O17" s="68">
        <f>IF(K17=0,"n/a",+N17/K17)</f>
        <v>1.4342159363081612E-3</v>
      </c>
      <c r="P17" s="40"/>
    </row>
    <row r="18" spans="1:16" x14ac:dyDescent="0.2">
      <c r="A18" s="93">
        <f t="shared" si="0"/>
        <v>10</v>
      </c>
      <c r="B18" s="141"/>
      <c r="C18" s="131" t="s">
        <v>98</v>
      </c>
      <c r="D18" s="132"/>
      <c r="E18" s="131"/>
      <c r="F18" s="131"/>
      <c r="H18" s="130" t="s">
        <v>98</v>
      </c>
      <c r="I18" s="130"/>
      <c r="J18" s="129"/>
      <c r="K18" s="113" t="s">
        <v>98</v>
      </c>
      <c r="L18" s="113"/>
      <c r="M18" s="128"/>
      <c r="N18" s="128"/>
      <c r="O18" s="127"/>
      <c r="P18" s="40"/>
    </row>
    <row r="19" spans="1:16" x14ac:dyDescent="0.2">
      <c r="A19" s="93">
        <f t="shared" si="0"/>
        <v>11</v>
      </c>
      <c r="B19" s="78" t="s">
        <v>79</v>
      </c>
      <c r="C19" s="131" t="s">
        <v>98</v>
      </c>
      <c r="D19" s="132"/>
      <c r="E19" s="131"/>
      <c r="F19" s="131"/>
      <c r="H19" s="130" t="s">
        <v>98</v>
      </c>
      <c r="I19" s="130"/>
      <c r="J19" s="129"/>
      <c r="K19" s="113" t="s">
        <v>98</v>
      </c>
      <c r="L19" s="113"/>
      <c r="M19" s="128"/>
      <c r="N19" s="128"/>
      <c r="O19" s="127"/>
      <c r="P19" s="40"/>
    </row>
    <row r="20" spans="1:16" x14ac:dyDescent="0.2">
      <c r="A20" s="93">
        <f t="shared" si="0"/>
        <v>12</v>
      </c>
      <c r="B20" s="148" t="s">
        <v>74</v>
      </c>
      <c r="C20" s="131" t="s">
        <v>106</v>
      </c>
      <c r="D20" s="132"/>
      <c r="E20" s="131"/>
      <c r="F20" s="131"/>
      <c r="G20" s="139">
        <f>'Rate Spread &amp; Design'!H14</f>
        <v>1378600015.3562117</v>
      </c>
      <c r="H20" s="138">
        <v>2.9100000000000003E-4</v>
      </c>
      <c r="I20" s="138"/>
      <c r="J20" s="137">
        <f>'Rate Spread &amp; Design'!I14</f>
        <v>4.8966240504856855E-4</v>
      </c>
      <c r="K20" s="146">
        <v>176500749.09050682</v>
      </c>
      <c r="L20" s="146"/>
      <c r="M20" s="128">
        <f>K20+G20*(J20-H20)</f>
        <v>176774625.08515748</v>
      </c>
      <c r="N20" s="128">
        <f>+M20-K20</f>
        <v>273875.99465066195</v>
      </c>
      <c r="O20" s="127">
        <f>IF(K20=0,"n/a",+N20/K20)</f>
        <v>1.5516987665033797E-3</v>
      </c>
      <c r="P20" s="40"/>
    </row>
    <row r="21" spans="1:16" x14ac:dyDescent="0.2">
      <c r="A21" s="93">
        <f t="shared" si="0"/>
        <v>13</v>
      </c>
      <c r="B21" s="150" t="s">
        <v>105</v>
      </c>
      <c r="C21" s="136">
        <v>35</v>
      </c>
      <c r="D21" s="132"/>
      <c r="E21" s="136"/>
      <c r="F21" s="136"/>
      <c r="G21" s="139">
        <f>'Rate Spread &amp; Design'!H15</f>
        <v>5934926.6636967957</v>
      </c>
      <c r="H21" s="138">
        <v>7.7099999999999998E-4</v>
      </c>
      <c r="I21" s="138"/>
      <c r="J21" s="137">
        <f>'Rate Spread &amp; Design'!I15</f>
        <v>2.6085722370944174E-3</v>
      </c>
      <c r="K21" s="146">
        <v>665038.13704966067</v>
      </c>
      <c r="L21" s="146"/>
      <c r="M21" s="128">
        <f>K21+G21*(J21-H21)</f>
        <v>675943.99351606134</v>
      </c>
      <c r="N21" s="128">
        <f>+M21-K21</f>
        <v>10905.85646640067</v>
      </c>
      <c r="O21" s="127">
        <f>IF(K21=0,"n/a",+N21/K21)</f>
        <v>1.6398843703584916E-2</v>
      </c>
      <c r="P21" s="40"/>
    </row>
    <row r="22" spans="1:16" x14ac:dyDescent="0.2">
      <c r="A22" s="93">
        <f t="shared" si="0"/>
        <v>14</v>
      </c>
      <c r="B22" s="149" t="s">
        <v>104</v>
      </c>
      <c r="C22" s="136">
        <v>43</v>
      </c>
      <c r="D22" s="132"/>
      <c r="E22" s="136"/>
      <c r="F22" s="136"/>
      <c r="G22" s="139">
        <f>'Rate Spread &amp; Design'!H16</f>
        <v>108844561.70565043</v>
      </c>
      <c r="H22" s="138">
        <v>5.1800000000000001E-4</v>
      </c>
      <c r="I22" s="138"/>
      <c r="J22" s="137">
        <f>'Rate Spread &amp; Design'!I16</f>
        <v>9.7159674865587419E-4</v>
      </c>
      <c r="K22" s="146">
        <v>14465102.129580269</v>
      </c>
      <c r="L22" s="146"/>
      <c r="M22" s="128">
        <f>K22+G22*(J22-H22)</f>
        <v>14514473.668878825</v>
      </c>
      <c r="N22" s="128">
        <f>+M22-K22</f>
        <v>49371.539298556745</v>
      </c>
      <c r="O22" s="127">
        <f>IF(K22=0,"n/a",+N22/K22)</f>
        <v>3.4131483384133806E-3</v>
      </c>
      <c r="P22" s="40"/>
    </row>
    <row r="23" spans="1:16" x14ac:dyDescent="0.2">
      <c r="A23" s="93">
        <f t="shared" si="0"/>
        <v>15</v>
      </c>
      <c r="B23" s="142" t="s">
        <v>20</v>
      </c>
      <c r="C23" s="131" t="s">
        <v>98</v>
      </c>
      <c r="D23" s="132"/>
      <c r="E23" s="131"/>
      <c r="F23" s="131"/>
      <c r="G23" s="143">
        <f>SUM(G20:G22)</f>
        <v>1493379503.7255588</v>
      </c>
      <c r="H23" s="181">
        <f>ROUND(SUMPRODUCT($G20:$G22,H20:H22)/$G23,6)</f>
        <v>3.0899999999999998E-4</v>
      </c>
      <c r="I23" s="181"/>
      <c r="J23" s="145">
        <f>ROUND(SUMPRODUCT($G20:$G22,J20:J22)/$G23,6)</f>
        <v>5.3300000000000005E-4</v>
      </c>
      <c r="K23" s="144">
        <f>SUM(K20:K22)</f>
        <v>191630889.35713676</v>
      </c>
      <c r="L23" s="144"/>
      <c r="M23" s="133">
        <f>SUM(M20:M22)</f>
        <v>191965042.74755237</v>
      </c>
      <c r="N23" s="133">
        <f>SUM(N20:N22)</f>
        <v>334153.39041561936</v>
      </c>
      <c r="O23" s="68">
        <f>IF(K23=0,"n/a",+N23/K23)</f>
        <v>1.7437344863169093E-3</v>
      </c>
      <c r="P23" s="40"/>
    </row>
    <row r="24" spans="1:16" x14ac:dyDescent="0.2">
      <c r="A24" s="93">
        <f t="shared" si="0"/>
        <v>16</v>
      </c>
      <c r="C24" s="131" t="s">
        <v>98</v>
      </c>
      <c r="D24" s="132"/>
      <c r="E24" s="131"/>
      <c r="F24" s="131"/>
      <c r="G24" s="90"/>
      <c r="H24" s="115" t="s">
        <v>98</v>
      </c>
      <c r="I24" s="115"/>
      <c r="K24" s="113" t="s">
        <v>98</v>
      </c>
      <c r="L24" s="113"/>
      <c r="M24" s="90"/>
      <c r="P24" s="40"/>
    </row>
    <row r="25" spans="1:16" x14ac:dyDescent="0.2">
      <c r="A25" s="93">
        <f t="shared" si="0"/>
        <v>17</v>
      </c>
      <c r="B25" s="78" t="s">
        <v>76</v>
      </c>
      <c r="C25" s="131" t="s">
        <v>98</v>
      </c>
      <c r="D25" s="132"/>
      <c r="E25" s="131"/>
      <c r="F25" s="131"/>
      <c r="H25" s="130" t="s">
        <v>98</v>
      </c>
      <c r="I25" s="130"/>
      <c r="J25" s="129"/>
      <c r="K25" s="113" t="s">
        <v>98</v>
      </c>
      <c r="L25" s="113"/>
      <c r="M25" s="128"/>
      <c r="N25" s="128"/>
      <c r="O25" s="127"/>
      <c r="P25" s="40"/>
    </row>
    <row r="26" spans="1:16" x14ac:dyDescent="0.2">
      <c r="A26" s="93">
        <f t="shared" si="0"/>
        <v>18</v>
      </c>
      <c r="B26" s="148" t="s">
        <v>103</v>
      </c>
      <c r="C26" s="136">
        <v>46</v>
      </c>
      <c r="D26" s="132"/>
      <c r="E26" s="136"/>
      <c r="F26" s="136"/>
      <c r="G26" s="139">
        <f>'Rate Spread &amp; Design'!H18</f>
        <v>93572538.659561396</v>
      </c>
      <c r="H26" s="138">
        <v>3.6099999999999999E-4</v>
      </c>
      <c r="I26" s="138"/>
      <c r="J26" s="137">
        <f>'Rate Spread &amp; Design'!I18</f>
        <v>5.3705147037812803E-4</v>
      </c>
      <c r="K26" s="146">
        <v>9256666.0931570865</v>
      </c>
      <c r="L26" s="146"/>
      <c r="M26" s="128">
        <f>K26+G26*(J26-H26)</f>
        <v>9273139.6761751156</v>
      </c>
      <c r="N26" s="128">
        <f>+M26-K26</f>
        <v>16473.583018029109</v>
      </c>
      <c r="O26" s="127">
        <f>IF(K26=0,"n/a",+N26/K26)</f>
        <v>1.7796453768821874E-3</v>
      </c>
      <c r="P26" s="40"/>
    </row>
    <row r="27" spans="1:16" x14ac:dyDescent="0.2">
      <c r="A27" s="93">
        <f t="shared" si="0"/>
        <v>19</v>
      </c>
      <c r="B27" s="147" t="s">
        <v>74</v>
      </c>
      <c r="C27" s="136">
        <v>49</v>
      </c>
      <c r="D27" s="132"/>
      <c r="E27" s="136"/>
      <c r="F27" s="136"/>
      <c r="G27" s="139">
        <f>'Rate Spread &amp; Design'!H19</f>
        <v>530773099.64765275</v>
      </c>
      <c r="H27" s="138">
        <v>2.5500000000000002E-4</v>
      </c>
      <c r="I27" s="138"/>
      <c r="J27" s="137">
        <f>'Rate Spread &amp; Design'!I19</f>
        <v>4.3754735424086287E-4</v>
      </c>
      <c r="K27" s="146">
        <v>54705130.663201883</v>
      </c>
      <c r="L27" s="146"/>
      <c r="M27" s="128">
        <f>K27+G27*(J27-H27)</f>
        <v>54802021.888244785</v>
      </c>
      <c r="N27" s="128">
        <f>+M27-K27</f>
        <v>96891.225042901933</v>
      </c>
      <c r="O27" s="127">
        <f>IF(K27=0,"n/a",+N27/K27)</f>
        <v>1.7711542567994828E-3</v>
      </c>
      <c r="P27" s="40"/>
    </row>
    <row r="28" spans="1:16" x14ac:dyDescent="0.2">
      <c r="A28" s="93">
        <f t="shared" si="0"/>
        <v>20</v>
      </c>
      <c r="B28" s="140" t="s">
        <v>21</v>
      </c>
      <c r="C28" s="136" t="s">
        <v>98</v>
      </c>
      <c r="D28" s="132"/>
      <c r="E28" s="136"/>
      <c r="F28" s="136"/>
      <c r="G28" s="143">
        <f>SUM(G26:G27)</f>
        <v>624345638.30721414</v>
      </c>
      <c r="H28" s="180">
        <f>ROUND(SUMPRODUCT($G26:$G27,H26:H27)/$G28,6)</f>
        <v>2.7099999999999997E-4</v>
      </c>
      <c r="I28" s="181"/>
      <c r="J28" s="145">
        <f>ROUND(SUMPRODUCT($G26:$G27,J26:J27)/$G28,6)</f>
        <v>4.5199999999999998E-4</v>
      </c>
      <c r="K28" s="144">
        <f>SUM(K26:K27)</f>
        <v>63961796.756358966</v>
      </c>
      <c r="L28" s="144"/>
      <c r="M28" s="143">
        <f>SUM(M26:M27)</f>
        <v>64075161.564419903</v>
      </c>
      <c r="N28" s="133">
        <f>SUM(N26:N27)</f>
        <v>113364.80806093104</v>
      </c>
      <c r="O28" s="68">
        <f>IF(K28=0,"n/a",+N28/K28)</f>
        <v>1.772383106946734E-3</v>
      </c>
      <c r="P28" s="40"/>
    </row>
    <row r="29" spans="1:16" x14ac:dyDescent="0.2">
      <c r="A29" s="93">
        <f t="shared" si="0"/>
        <v>21</v>
      </c>
      <c r="B29" s="141"/>
      <c r="C29" s="131" t="s">
        <v>98</v>
      </c>
      <c r="D29" s="132"/>
      <c r="E29" s="131"/>
      <c r="F29" s="131"/>
      <c r="G29" s="90"/>
      <c r="H29" s="115" t="s">
        <v>98</v>
      </c>
      <c r="I29" s="115"/>
      <c r="K29" s="113" t="s">
        <v>98</v>
      </c>
      <c r="L29" s="113"/>
      <c r="M29" s="90"/>
      <c r="P29" s="40"/>
    </row>
    <row r="30" spans="1:16" x14ac:dyDescent="0.2">
      <c r="A30" s="93">
        <f t="shared" si="0"/>
        <v>22</v>
      </c>
      <c r="B30" s="142" t="s">
        <v>102</v>
      </c>
      <c r="C30" s="136" t="s">
        <v>101</v>
      </c>
      <c r="D30" s="132"/>
      <c r="E30" s="136"/>
      <c r="F30" s="136"/>
      <c r="G30" s="135">
        <f>'Rate Spread &amp; Design'!$H$25</f>
        <v>1953924436.0460784</v>
      </c>
      <c r="H30" s="186"/>
      <c r="I30" s="186"/>
      <c r="J30" s="69"/>
      <c r="K30" s="134">
        <v>17415674.448766891</v>
      </c>
      <c r="L30" s="134"/>
      <c r="M30" s="133">
        <f>K30+G30*(J30-H30)</f>
        <v>17415674.448766891</v>
      </c>
      <c r="N30" s="133">
        <f>+M30-K30</f>
        <v>0</v>
      </c>
      <c r="O30" s="68">
        <f>IF(K30=0,"n/a",+N30/K30)</f>
        <v>0</v>
      </c>
      <c r="P30" s="40"/>
    </row>
    <row r="31" spans="1:16" x14ac:dyDescent="0.2">
      <c r="A31" s="93">
        <f t="shared" si="0"/>
        <v>23</v>
      </c>
      <c r="B31" s="141"/>
      <c r="C31" s="131" t="s">
        <v>98</v>
      </c>
      <c r="D31" s="132"/>
      <c r="E31" s="131"/>
      <c r="F31" s="131"/>
      <c r="G31" s="139"/>
      <c r="H31" s="138" t="s">
        <v>98</v>
      </c>
      <c r="I31" s="138"/>
      <c r="J31" s="137"/>
      <c r="K31" s="113" t="s">
        <v>98</v>
      </c>
      <c r="L31" s="113"/>
      <c r="M31" s="128"/>
      <c r="N31" s="128"/>
      <c r="O31" s="127"/>
      <c r="P31" s="40"/>
    </row>
    <row r="32" spans="1:16" x14ac:dyDescent="0.2">
      <c r="A32" s="93">
        <f t="shared" si="0"/>
        <v>24</v>
      </c>
      <c r="B32" s="140" t="s">
        <v>54</v>
      </c>
      <c r="C32" s="136" t="s">
        <v>100</v>
      </c>
      <c r="D32" s="132"/>
      <c r="E32" s="136"/>
      <c r="F32" s="136"/>
      <c r="G32" s="135">
        <f>'Rate Spread &amp; Design'!$H$26</f>
        <v>319873933.30400002</v>
      </c>
      <c r="H32" s="186"/>
      <c r="I32" s="186"/>
      <c r="J32" s="69"/>
      <c r="K32" s="134">
        <v>10118600.190831607</v>
      </c>
      <c r="L32" s="134"/>
      <c r="M32" s="133">
        <f>K32+G32*(J32-H32)</f>
        <v>10118600.190831607</v>
      </c>
      <c r="N32" s="133">
        <f>+M32-K32</f>
        <v>0</v>
      </c>
      <c r="O32" s="68">
        <f>IF(K32=0,"n/a",+N32/K32)</f>
        <v>0</v>
      </c>
      <c r="P32" s="40"/>
    </row>
    <row r="33" spans="1:16" x14ac:dyDescent="0.2">
      <c r="A33" s="93">
        <f t="shared" si="0"/>
        <v>25</v>
      </c>
      <c r="C33" s="131" t="s">
        <v>98</v>
      </c>
      <c r="D33" s="132"/>
      <c r="E33" s="131"/>
      <c r="F33" s="131"/>
      <c r="G33" s="139"/>
      <c r="H33" s="138" t="s">
        <v>98</v>
      </c>
      <c r="I33" s="138"/>
      <c r="J33" s="137"/>
      <c r="K33" s="113" t="s">
        <v>98</v>
      </c>
      <c r="L33" s="113"/>
      <c r="M33" s="128"/>
      <c r="N33" s="128"/>
      <c r="O33" s="127"/>
      <c r="P33" s="40"/>
    </row>
    <row r="34" spans="1:16" x14ac:dyDescent="0.2">
      <c r="A34" s="93">
        <f t="shared" si="0"/>
        <v>26</v>
      </c>
      <c r="B34" s="78" t="s">
        <v>55</v>
      </c>
      <c r="C34" s="136" t="s">
        <v>99</v>
      </c>
      <c r="D34" s="132"/>
      <c r="E34" s="136"/>
      <c r="F34" s="136"/>
      <c r="G34" s="135">
        <f>'Rate Spread &amp; Design'!$H$27</f>
        <v>64341676.6170213</v>
      </c>
      <c r="H34" s="186"/>
      <c r="I34" s="186"/>
      <c r="J34" s="69"/>
      <c r="K34" s="134">
        <v>24186029.742802352</v>
      </c>
      <c r="L34" s="134"/>
      <c r="M34" s="133">
        <f>K34+G34*(J34-H34)</f>
        <v>24186029.742802352</v>
      </c>
      <c r="N34" s="133">
        <f>+M34-K34</f>
        <v>0</v>
      </c>
      <c r="O34" s="68">
        <f>IF(K34=0,"n/a",+N34/K34)</f>
        <v>0</v>
      </c>
      <c r="P34" s="40"/>
    </row>
    <row r="35" spans="1:16" x14ac:dyDescent="0.2">
      <c r="A35" s="93">
        <f t="shared" si="0"/>
        <v>27</v>
      </c>
      <c r="B35" s="78"/>
      <c r="C35" s="183"/>
      <c r="D35" s="183"/>
      <c r="E35" s="183"/>
      <c r="F35" s="183"/>
      <c r="G35" s="139"/>
      <c r="H35" s="184"/>
      <c r="I35" s="184"/>
      <c r="J35" s="137"/>
      <c r="K35" s="185"/>
      <c r="L35" s="185"/>
      <c r="M35" s="128"/>
      <c r="N35" s="128"/>
      <c r="O35" s="127"/>
      <c r="P35" s="40"/>
    </row>
    <row r="36" spans="1:16" x14ac:dyDescent="0.2">
      <c r="A36" s="93">
        <f t="shared" si="0"/>
        <v>28</v>
      </c>
      <c r="B36" s="78" t="s">
        <v>126</v>
      </c>
      <c r="C36" s="224" t="s">
        <v>127</v>
      </c>
      <c r="D36" s="183"/>
      <c r="E36" s="183"/>
      <c r="F36" s="183"/>
      <c r="G36" s="225" t="s">
        <v>128</v>
      </c>
      <c r="H36" s="226">
        <v>0</v>
      </c>
      <c r="I36" s="226"/>
      <c r="J36" s="69">
        <f>'Rate Spread &amp; Design'!I20</f>
        <v>5.3645670763203005E-4</v>
      </c>
      <c r="K36" s="227">
        <v>0</v>
      </c>
      <c r="L36" s="227"/>
      <c r="M36" s="133">
        <v>0</v>
      </c>
      <c r="N36" s="133">
        <v>0</v>
      </c>
      <c r="O36" s="225" t="s">
        <v>128</v>
      </c>
      <c r="P36" s="40"/>
    </row>
    <row r="37" spans="1:16" x14ac:dyDescent="0.2">
      <c r="A37" s="93">
        <f t="shared" si="0"/>
        <v>29</v>
      </c>
      <c r="C37" s="131" t="s">
        <v>98</v>
      </c>
      <c r="D37" s="132"/>
      <c r="E37" s="131"/>
      <c r="F37" s="131"/>
      <c r="H37" s="130" t="s">
        <v>98</v>
      </c>
      <c r="I37" s="130"/>
      <c r="J37" s="129"/>
      <c r="K37" s="113" t="s">
        <v>98</v>
      </c>
      <c r="L37" s="113"/>
      <c r="M37" s="128"/>
      <c r="N37" s="128"/>
      <c r="O37" s="127"/>
      <c r="P37" s="40"/>
    </row>
    <row r="38" spans="1:16" ht="12" thickBot="1" x14ac:dyDescent="0.25">
      <c r="A38" s="93">
        <f t="shared" si="0"/>
        <v>30</v>
      </c>
      <c r="B38" s="126" t="s">
        <v>11</v>
      </c>
      <c r="C38" s="124" t="s">
        <v>98</v>
      </c>
      <c r="D38" s="125"/>
      <c r="E38" s="124"/>
      <c r="F38" s="124"/>
      <c r="G38" s="123">
        <f>SUM(G10,G17,G23,G28,G30,G34,G32)</f>
        <v>23557848404.487492</v>
      </c>
      <c r="H38" s="122"/>
      <c r="I38" s="122"/>
      <c r="J38" s="121"/>
      <c r="K38" s="120">
        <f>SUM(K10,K17,K23,K28,K30,K34,K32)</f>
        <v>3281089959.7574177</v>
      </c>
      <c r="L38" s="120"/>
      <c r="M38" s="119">
        <f>SUM(M10,M17,M23,M28,M30,M34,M32)</f>
        <v>3285667421.8415165</v>
      </c>
      <c r="N38" s="119">
        <f>SUM(N10,N17,N23,N28,N30,N34,N32)</f>
        <v>4577462.0840993067</v>
      </c>
      <c r="O38" s="118">
        <f>IF(K38=0,"n/a",+N38/K38)</f>
        <v>1.3951041087693109E-3</v>
      </c>
      <c r="P38" s="40"/>
    </row>
    <row r="39" spans="1:16" ht="12" thickTop="1" x14ac:dyDescent="0.2">
      <c r="A39" s="93">
        <f t="shared" si="0"/>
        <v>31</v>
      </c>
      <c r="C39" s="115" t="s">
        <v>98</v>
      </c>
      <c r="D39" s="115"/>
      <c r="E39" s="113"/>
      <c r="F39" s="113"/>
      <c r="G39" s="117">
        <v>0</v>
      </c>
      <c r="H39" s="116" t="s">
        <v>98</v>
      </c>
      <c r="I39" s="114"/>
      <c r="K39" s="113" t="s">
        <v>98</v>
      </c>
      <c r="L39" s="113"/>
      <c r="P39" s="40"/>
    </row>
    <row r="40" spans="1:16" x14ac:dyDescent="0.2">
      <c r="A40" s="93">
        <f t="shared" si="0"/>
        <v>32</v>
      </c>
      <c r="C40" s="115" t="s">
        <v>98</v>
      </c>
      <c r="D40" s="115"/>
      <c r="E40" s="113"/>
      <c r="F40" s="113"/>
      <c r="H40" s="113" t="s">
        <v>98</v>
      </c>
      <c r="I40" s="114"/>
      <c r="K40" s="113" t="s">
        <v>98</v>
      </c>
      <c r="L40" s="113"/>
      <c r="P40" s="40"/>
    </row>
    <row r="41" spans="1:16" ht="13.5" x14ac:dyDescent="0.2">
      <c r="A41" s="93">
        <f t="shared" si="0"/>
        <v>33</v>
      </c>
      <c r="B41" s="112" t="s">
        <v>97</v>
      </c>
      <c r="C41" s="111"/>
      <c r="D41" s="108"/>
      <c r="E41" s="109"/>
      <c r="F41" s="109"/>
      <c r="G41" s="110"/>
      <c r="H41" s="110"/>
      <c r="I41" s="108"/>
      <c r="J41" s="108"/>
      <c r="K41" s="109"/>
      <c r="L41" s="109"/>
      <c r="M41" s="109"/>
      <c r="N41" s="108"/>
      <c r="O41" s="108"/>
      <c r="P41" s="40"/>
    </row>
    <row r="42" spans="1:16" ht="13.5" x14ac:dyDescent="0.35">
      <c r="A42" s="93">
        <f t="shared" si="0"/>
        <v>34</v>
      </c>
      <c r="B42" s="107"/>
      <c r="C42" s="105" t="s">
        <v>96</v>
      </c>
      <c r="D42" s="105"/>
      <c r="E42" s="105"/>
      <c r="F42" s="105"/>
      <c r="G42" s="105"/>
      <c r="H42" s="106"/>
      <c r="I42" s="105" t="s">
        <v>94</v>
      </c>
      <c r="J42" s="104"/>
      <c r="K42" s="104"/>
      <c r="L42" s="104"/>
      <c r="M42" s="104"/>
      <c r="N42" s="103"/>
      <c r="O42" s="103"/>
      <c r="P42" s="40"/>
    </row>
    <row r="43" spans="1:16" ht="40.5" x14ac:dyDescent="0.35">
      <c r="A43" s="93">
        <f t="shared" si="0"/>
        <v>35</v>
      </c>
      <c r="C43" s="102" t="s">
        <v>29</v>
      </c>
      <c r="D43" s="102" t="s">
        <v>28</v>
      </c>
      <c r="E43" s="102" t="s">
        <v>27</v>
      </c>
      <c r="F43" s="102" t="s">
        <v>95</v>
      </c>
      <c r="G43" s="102" t="s">
        <v>96</v>
      </c>
      <c r="H43" s="102"/>
      <c r="I43" s="102" t="s">
        <v>29</v>
      </c>
      <c r="J43" s="102" t="s">
        <v>28</v>
      </c>
      <c r="K43" s="102" t="s">
        <v>27</v>
      </c>
      <c r="L43" s="102" t="s">
        <v>95</v>
      </c>
      <c r="M43" s="101" t="s">
        <v>94</v>
      </c>
      <c r="N43" s="101" t="s">
        <v>93</v>
      </c>
      <c r="O43" s="101" t="s">
        <v>92</v>
      </c>
      <c r="P43" s="40"/>
    </row>
    <row r="44" spans="1:16" x14ac:dyDescent="0.2">
      <c r="A44" s="93">
        <f t="shared" si="0"/>
        <v>36</v>
      </c>
      <c r="B44" s="100" t="s">
        <v>91</v>
      </c>
      <c r="C44" s="99">
        <v>7.49</v>
      </c>
      <c r="D44" s="99">
        <v>79.81</v>
      </c>
      <c r="E44" s="99">
        <v>30.49</v>
      </c>
      <c r="F44" s="99">
        <v>8.91</v>
      </c>
      <c r="G44" s="97">
        <f>SUM(C44:F44)</f>
        <v>126.69999999999999</v>
      </c>
      <c r="H44" s="97"/>
      <c r="I44" s="98">
        <f>C44</f>
        <v>7.49</v>
      </c>
      <c r="J44" s="98">
        <f>D44</f>
        <v>79.81</v>
      </c>
      <c r="K44" s="98">
        <f>E44</f>
        <v>30.49</v>
      </c>
      <c r="L44" s="97">
        <f>ROUND(F44+($J$10-$H$10)*800,2)</f>
        <v>9.09</v>
      </c>
      <c r="M44" s="97">
        <f>SUM(I44:L44)</f>
        <v>126.88</v>
      </c>
      <c r="N44" s="96">
        <f>M44-G44</f>
        <v>0.18000000000000682</v>
      </c>
      <c r="O44" s="95">
        <f>N44/G44</f>
        <v>1.420678768745121E-3</v>
      </c>
      <c r="P44" s="40"/>
    </row>
    <row r="45" spans="1:16" x14ac:dyDescent="0.2">
      <c r="A45" s="93"/>
      <c r="E45" s="94"/>
      <c r="F45" s="94"/>
      <c r="G45" s="94"/>
      <c r="H45" s="94"/>
      <c r="I45" s="94"/>
      <c r="J45" s="94"/>
      <c r="M45" s="94"/>
      <c r="N45" s="94"/>
      <c r="O45" s="94"/>
      <c r="P45" s="40"/>
    </row>
    <row r="46" spans="1:16" x14ac:dyDescent="0.2">
      <c r="A46" s="93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40"/>
    </row>
    <row r="47" spans="1:16" x14ac:dyDescent="0.2">
      <c r="A47" s="93"/>
      <c r="D47" s="90"/>
      <c r="E47" s="90"/>
      <c r="F47" s="90"/>
      <c r="G47" s="90"/>
      <c r="H47" s="90"/>
      <c r="K47" s="90"/>
      <c r="L47" s="90"/>
      <c r="M47" s="90"/>
      <c r="P47" s="40"/>
    </row>
    <row r="48" spans="1:16" x14ac:dyDescent="0.2">
      <c r="A48" s="93"/>
      <c r="D48" s="90"/>
      <c r="E48" s="90"/>
      <c r="F48" s="90"/>
      <c r="G48" s="90"/>
      <c r="H48" s="90"/>
      <c r="K48" s="90"/>
      <c r="L48" s="90"/>
      <c r="M48" s="90"/>
      <c r="P48" s="40"/>
    </row>
    <row r="49" spans="1:16" x14ac:dyDescent="0.2">
      <c r="A49" s="93"/>
      <c r="D49" s="90"/>
      <c r="E49" s="90"/>
      <c r="F49" s="90"/>
      <c r="G49" s="90"/>
      <c r="H49" s="90"/>
      <c r="K49" s="90"/>
      <c r="L49" s="90"/>
      <c r="M49" s="90"/>
      <c r="P49" s="40"/>
    </row>
    <row r="50" spans="1:16" x14ac:dyDescent="0.2">
      <c r="A50" s="93"/>
      <c r="D50" s="90"/>
      <c r="E50" s="90"/>
      <c r="F50" s="90"/>
      <c r="G50" s="90"/>
      <c r="H50" s="90"/>
      <c r="K50" s="90"/>
      <c r="L50" s="90"/>
      <c r="M50" s="90"/>
      <c r="P50" s="40"/>
    </row>
    <row r="51" spans="1:16" x14ac:dyDescent="0.2">
      <c r="A51" s="93"/>
      <c r="D51" s="90"/>
      <c r="E51" s="90"/>
      <c r="F51" s="90"/>
      <c r="G51" s="90"/>
      <c r="H51" s="90"/>
      <c r="K51" s="90"/>
      <c r="L51" s="90"/>
      <c r="M51" s="90"/>
      <c r="P51" s="40"/>
    </row>
    <row r="52" spans="1:16" x14ac:dyDescent="0.2">
      <c r="A52" s="93"/>
      <c r="D52" s="90"/>
      <c r="E52" s="90"/>
      <c r="F52" s="90"/>
      <c r="G52" s="90"/>
      <c r="H52" s="90"/>
      <c r="K52" s="90"/>
      <c r="L52" s="90"/>
      <c r="M52" s="90"/>
      <c r="P52" s="40"/>
    </row>
    <row r="53" spans="1:16" x14ac:dyDescent="0.2">
      <c r="A53" s="93"/>
      <c r="D53" s="90"/>
      <c r="E53" s="90"/>
      <c r="F53" s="90"/>
      <c r="G53" s="90"/>
      <c r="H53" s="90"/>
      <c r="K53" s="90"/>
      <c r="L53" s="90"/>
      <c r="M53" s="90"/>
      <c r="P53" s="40"/>
    </row>
    <row r="54" spans="1:16" x14ac:dyDescent="0.2">
      <c r="A54" s="93"/>
      <c r="D54" s="90"/>
      <c r="E54" s="90"/>
      <c r="F54" s="90"/>
      <c r="G54" s="90"/>
      <c r="H54" s="90"/>
      <c r="K54" s="90"/>
      <c r="L54" s="90"/>
      <c r="M54" s="90"/>
      <c r="P54" s="40"/>
    </row>
    <row r="55" spans="1:16" x14ac:dyDescent="0.2">
      <c r="A55" s="93"/>
      <c r="D55" s="90"/>
      <c r="E55" s="90"/>
      <c r="F55" s="90"/>
      <c r="G55" s="90"/>
      <c r="H55" s="90"/>
      <c r="K55" s="90"/>
      <c r="L55" s="90"/>
      <c r="M55" s="90"/>
      <c r="P55" s="40"/>
    </row>
    <row r="56" spans="1:16" x14ac:dyDescent="0.2">
      <c r="A56" s="93"/>
      <c r="D56" s="90"/>
      <c r="E56" s="90"/>
      <c r="F56" s="90"/>
      <c r="G56" s="90"/>
      <c r="H56" s="90"/>
      <c r="K56" s="90"/>
      <c r="L56" s="90"/>
      <c r="M56" s="90"/>
      <c r="P56" s="40"/>
    </row>
    <row r="57" spans="1:16" x14ac:dyDescent="0.2">
      <c r="A57" s="93"/>
      <c r="D57" s="90"/>
      <c r="E57" s="90"/>
      <c r="F57" s="90"/>
      <c r="G57" s="90"/>
      <c r="H57" s="90"/>
      <c r="K57" s="90"/>
      <c r="L57" s="90"/>
      <c r="M57" s="90"/>
      <c r="P57" s="40"/>
    </row>
    <row r="58" spans="1:16" x14ac:dyDescent="0.2">
      <c r="A58" s="93"/>
      <c r="D58" s="90"/>
      <c r="E58" s="90"/>
      <c r="F58" s="90"/>
      <c r="G58" s="90"/>
      <c r="H58" s="90"/>
      <c r="K58" s="90"/>
      <c r="L58" s="90"/>
      <c r="M58" s="90"/>
      <c r="P58" s="40"/>
    </row>
    <row r="59" spans="1:16" x14ac:dyDescent="0.2">
      <c r="A59" s="93"/>
      <c r="D59" s="90"/>
      <c r="E59" s="90"/>
      <c r="F59" s="90"/>
      <c r="G59" s="90"/>
      <c r="H59" s="90"/>
      <c r="K59" s="90"/>
      <c r="L59" s="90"/>
      <c r="M59" s="90"/>
      <c r="P59" s="40"/>
    </row>
    <row r="60" spans="1:16" x14ac:dyDescent="0.2">
      <c r="A60" s="93"/>
      <c r="D60" s="90"/>
      <c r="E60" s="90"/>
      <c r="F60" s="90"/>
      <c r="G60" s="90"/>
      <c r="H60" s="90"/>
      <c r="K60" s="90"/>
      <c r="L60" s="90"/>
      <c r="M60" s="90"/>
      <c r="P60" s="40"/>
    </row>
    <row r="61" spans="1:16" x14ac:dyDescent="0.2">
      <c r="A61" s="93"/>
      <c r="D61" s="90"/>
      <c r="E61" s="90"/>
      <c r="F61" s="90"/>
      <c r="G61" s="90"/>
      <c r="H61" s="90"/>
      <c r="K61" s="90"/>
      <c r="L61" s="90"/>
      <c r="M61" s="90"/>
      <c r="P61" s="40"/>
    </row>
    <row r="62" spans="1:16" x14ac:dyDescent="0.2">
      <c r="A62" s="93"/>
      <c r="D62" s="90"/>
      <c r="E62" s="90"/>
      <c r="F62" s="90"/>
      <c r="G62" s="90"/>
      <c r="H62" s="90"/>
      <c r="K62" s="90"/>
      <c r="L62" s="90"/>
      <c r="M62" s="90"/>
      <c r="P62" s="40"/>
    </row>
    <row r="63" spans="1:16" x14ac:dyDescent="0.2">
      <c r="A63" s="93"/>
      <c r="D63" s="90"/>
      <c r="E63" s="90"/>
      <c r="F63" s="90"/>
      <c r="G63" s="90"/>
      <c r="H63" s="90"/>
      <c r="K63" s="90"/>
      <c r="L63" s="90"/>
      <c r="M63" s="90"/>
      <c r="P63" s="40"/>
    </row>
    <row r="64" spans="1:16" x14ac:dyDescent="0.2">
      <c r="A64" s="93"/>
      <c r="D64" s="90"/>
      <c r="E64" s="90"/>
      <c r="F64" s="90"/>
      <c r="G64" s="90"/>
      <c r="H64" s="90"/>
      <c r="K64" s="90"/>
      <c r="L64" s="90"/>
      <c r="M64" s="90"/>
      <c r="P64" s="40"/>
    </row>
    <row r="65" spans="1:16" x14ac:dyDescent="0.2">
      <c r="A65" s="93"/>
      <c r="D65" s="90"/>
      <c r="E65" s="90"/>
      <c r="F65" s="90"/>
      <c r="G65" s="90"/>
      <c r="H65" s="90"/>
      <c r="K65" s="90"/>
      <c r="L65" s="90"/>
      <c r="M65" s="90"/>
      <c r="P65" s="40"/>
    </row>
    <row r="66" spans="1:16" x14ac:dyDescent="0.2">
      <c r="A66" s="93"/>
      <c r="D66" s="90"/>
      <c r="E66" s="90"/>
      <c r="F66" s="90"/>
      <c r="G66" s="90"/>
      <c r="H66" s="90"/>
      <c r="K66" s="90"/>
      <c r="L66" s="90"/>
      <c r="M66" s="90"/>
      <c r="P66" s="40"/>
    </row>
    <row r="67" spans="1:16" x14ac:dyDescent="0.2">
      <c r="A67" s="93"/>
      <c r="D67" s="90"/>
      <c r="E67" s="90"/>
      <c r="F67" s="90"/>
      <c r="G67" s="90"/>
      <c r="H67" s="90"/>
      <c r="K67" s="90"/>
      <c r="L67" s="90"/>
      <c r="M67" s="90"/>
      <c r="P67" s="40"/>
    </row>
    <row r="68" spans="1:16" x14ac:dyDescent="0.2">
      <c r="A68" s="93"/>
      <c r="D68" s="90"/>
      <c r="E68" s="90"/>
      <c r="F68" s="90"/>
      <c r="G68" s="90"/>
      <c r="H68" s="90"/>
      <c r="K68" s="90"/>
      <c r="L68" s="90"/>
      <c r="M68" s="90"/>
      <c r="P68" s="40"/>
    </row>
    <row r="69" spans="1:16" x14ac:dyDescent="0.2">
      <c r="A69" s="93"/>
      <c r="D69" s="90"/>
      <c r="E69" s="90"/>
      <c r="F69" s="90"/>
      <c r="G69" s="90"/>
      <c r="H69" s="90"/>
      <c r="K69" s="90"/>
      <c r="L69" s="90"/>
      <c r="M69" s="90"/>
      <c r="P69" s="40"/>
    </row>
    <row r="70" spans="1:16" x14ac:dyDescent="0.2">
      <c r="A70" s="93"/>
      <c r="D70" s="90"/>
      <c r="E70" s="90"/>
      <c r="F70" s="90"/>
      <c r="G70" s="90"/>
      <c r="H70" s="90"/>
      <c r="K70" s="90"/>
      <c r="L70" s="90"/>
      <c r="M70" s="90"/>
      <c r="P70" s="40"/>
    </row>
    <row r="71" spans="1:16" x14ac:dyDescent="0.2">
      <c r="A71" s="93"/>
      <c r="D71" s="90"/>
      <c r="E71" s="90"/>
      <c r="F71" s="90"/>
      <c r="G71" s="90"/>
      <c r="H71" s="90"/>
      <c r="K71" s="90"/>
      <c r="L71" s="90"/>
      <c r="M71" s="90"/>
      <c r="P71" s="40"/>
    </row>
    <row r="72" spans="1:16" x14ac:dyDescent="0.2">
      <c r="A72" s="93"/>
      <c r="D72" s="90"/>
      <c r="E72" s="90"/>
      <c r="F72" s="90"/>
      <c r="G72" s="90"/>
      <c r="H72" s="90"/>
      <c r="K72" s="90"/>
      <c r="L72" s="90"/>
      <c r="M72" s="90"/>
      <c r="P72" s="40"/>
    </row>
    <row r="73" spans="1:16" x14ac:dyDescent="0.2">
      <c r="A73" s="93"/>
      <c r="D73" s="90"/>
      <c r="E73" s="90"/>
      <c r="F73" s="90"/>
      <c r="G73" s="90"/>
      <c r="H73" s="90"/>
      <c r="K73" s="90"/>
      <c r="L73" s="90"/>
      <c r="M73" s="90"/>
      <c r="P73" s="40"/>
    </row>
    <row r="74" spans="1:16" x14ac:dyDescent="0.2">
      <c r="A74" s="93"/>
      <c r="D74" s="90"/>
      <c r="E74" s="90"/>
      <c r="F74" s="90"/>
      <c r="G74" s="90"/>
      <c r="H74" s="90"/>
      <c r="K74" s="90"/>
      <c r="L74" s="90"/>
      <c r="M74" s="90"/>
      <c r="P74" s="40"/>
    </row>
    <row r="75" spans="1:16" x14ac:dyDescent="0.2">
      <c r="A75" s="93"/>
      <c r="D75" s="90"/>
      <c r="E75" s="90"/>
      <c r="F75" s="90"/>
      <c r="G75" s="90"/>
      <c r="H75" s="90"/>
      <c r="K75" s="90"/>
      <c r="L75" s="90"/>
      <c r="M75" s="90"/>
      <c r="P75" s="40"/>
    </row>
    <row r="76" spans="1:16" x14ac:dyDescent="0.2">
      <c r="A76" s="93"/>
      <c r="D76" s="90"/>
      <c r="E76" s="90"/>
      <c r="F76" s="90"/>
      <c r="G76" s="90"/>
      <c r="H76" s="90"/>
      <c r="K76" s="90"/>
      <c r="L76" s="90"/>
      <c r="M76" s="90"/>
      <c r="P76" s="40"/>
    </row>
    <row r="77" spans="1:16" x14ac:dyDescent="0.2">
      <c r="A77" s="93"/>
      <c r="D77" s="90"/>
      <c r="E77" s="90"/>
      <c r="F77" s="90"/>
      <c r="G77" s="90"/>
      <c r="H77" s="90"/>
      <c r="K77" s="90"/>
      <c r="L77" s="90"/>
      <c r="M77" s="90"/>
      <c r="P77" s="40"/>
    </row>
    <row r="78" spans="1:16" x14ac:dyDescent="0.2">
      <c r="A78" s="93"/>
      <c r="D78" s="90"/>
      <c r="E78" s="90"/>
      <c r="F78" s="90"/>
      <c r="G78" s="90"/>
      <c r="H78" s="90"/>
      <c r="K78" s="90"/>
      <c r="L78" s="90"/>
      <c r="M78" s="90"/>
      <c r="P78" s="40"/>
    </row>
    <row r="79" spans="1:16" x14ac:dyDescent="0.2">
      <c r="A79" s="93"/>
      <c r="D79" s="90"/>
      <c r="E79" s="90"/>
      <c r="F79" s="90"/>
      <c r="G79" s="90"/>
      <c r="H79" s="90"/>
      <c r="K79" s="90"/>
      <c r="L79" s="90"/>
      <c r="M79" s="90"/>
      <c r="P79" s="40"/>
    </row>
    <row r="80" spans="1:16" x14ac:dyDescent="0.2">
      <c r="A80" s="93"/>
      <c r="D80" s="90"/>
      <c r="E80" s="90"/>
      <c r="F80" s="90"/>
      <c r="G80" s="90"/>
      <c r="H80" s="90"/>
      <c r="K80" s="90"/>
      <c r="L80" s="90"/>
      <c r="M80" s="90"/>
      <c r="P80" s="40"/>
    </row>
    <row r="81" spans="1:16" x14ac:dyDescent="0.2">
      <c r="A81" s="93"/>
      <c r="D81" s="90"/>
      <c r="E81" s="90"/>
      <c r="F81" s="90"/>
      <c r="G81" s="90"/>
      <c r="H81" s="90"/>
      <c r="K81" s="90"/>
      <c r="L81" s="90"/>
      <c r="M81" s="90"/>
      <c r="P81" s="40"/>
    </row>
    <row r="82" spans="1:16" x14ac:dyDescent="0.2">
      <c r="A82" s="93"/>
      <c r="D82" s="90"/>
      <c r="E82" s="90"/>
      <c r="F82" s="90"/>
      <c r="G82" s="90"/>
      <c r="H82" s="90"/>
      <c r="K82" s="90"/>
      <c r="L82" s="90"/>
      <c r="M82" s="90"/>
      <c r="P82" s="40"/>
    </row>
    <row r="83" spans="1:16" x14ac:dyDescent="0.2">
      <c r="A83" s="93"/>
      <c r="D83" s="90"/>
      <c r="E83" s="90"/>
      <c r="F83" s="90"/>
      <c r="G83" s="90"/>
      <c r="H83" s="90"/>
      <c r="K83" s="90"/>
      <c r="L83" s="90"/>
      <c r="M83" s="90"/>
      <c r="P83" s="40"/>
    </row>
    <row r="84" spans="1:16" x14ac:dyDescent="0.2">
      <c r="A84" s="93"/>
      <c r="D84" s="90"/>
      <c r="E84" s="90"/>
      <c r="F84" s="90"/>
      <c r="G84" s="90"/>
      <c r="H84" s="90"/>
      <c r="K84" s="90"/>
      <c r="L84" s="90"/>
      <c r="M84" s="90"/>
      <c r="P84" s="40"/>
    </row>
    <row r="85" spans="1:16" x14ac:dyDescent="0.2">
      <c r="A85" s="93"/>
      <c r="D85" s="90"/>
      <c r="E85" s="90"/>
      <c r="F85" s="90"/>
      <c r="G85" s="90"/>
      <c r="H85" s="90"/>
      <c r="K85" s="90"/>
      <c r="L85" s="90"/>
      <c r="M85" s="90"/>
      <c r="P85" s="40"/>
    </row>
    <row r="86" spans="1:16" x14ac:dyDescent="0.2">
      <c r="A86" s="93"/>
      <c r="D86" s="90"/>
      <c r="E86" s="90"/>
      <c r="F86" s="90"/>
      <c r="G86" s="90"/>
      <c r="H86" s="90"/>
      <c r="K86" s="90"/>
      <c r="L86" s="90"/>
      <c r="M86" s="90"/>
      <c r="P86" s="40"/>
    </row>
    <row r="87" spans="1:16" x14ac:dyDescent="0.2">
      <c r="A87" s="93"/>
      <c r="D87" s="90"/>
      <c r="E87" s="90"/>
      <c r="F87" s="90"/>
      <c r="G87" s="90"/>
      <c r="H87" s="90"/>
      <c r="K87" s="90"/>
      <c r="L87" s="90"/>
      <c r="M87" s="90"/>
      <c r="P87" s="40"/>
    </row>
    <row r="88" spans="1:16" x14ac:dyDescent="0.2">
      <c r="A88" s="93"/>
      <c r="D88" s="90"/>
      <c r="E88" s="90"/>
      <c r="F88" s="90"/>
      <c r="G88" s="90"/>
      <c r="H88" s="90"/>
      <c r="K88" s="90"/>
      <c r="L88" s="90"/>
      <c r="M88" s="90"/>
      <c r="P88" s="40"/>
    </row>
    <row r="89" spans="1:16" x14ac:dyDescent="0.2">
      <c r="A89" s="93"/>
      <c r="D89" s="90"/>
      <c r="E89" s="90"/>
      <c r="F89" s="90"/>
      <c r="G89" s="90"/>
      <c r="H89" s="90"/>
      <c r="K89" s="90"/>
      <c r="L89" s="90"/>
      <c r="M89" s="90"/>
      <c r="P89" s="40"/>
    </row>
    <row r="90" spans="1:16" x14ac:dyDescent="0.2">
      <c r="A90" s="93"/>
      <c r="D90" s="90"/>
      <c r="E90" s="90"/>
      <c r="F90" s="90"/>
      <c r="G90" s="90"/>
      <c r="H90" s="90"/>
      <c r="K90" s="90"/>
      <c r="L90" s="90"/>
      <c r="M90" s="90"/>
      <c r="P90" s="40"/>
    </row>
    <row r="91" spans="1:16" x14ac:dyDescent="0.2">
      <c r="A91" s="93"/>
      <c r="D91" s="90"/>
      <c r="E91" s="90"/>
      <c r="F91" s="90"/>
      <c r="G91" s="90"/>
      <c r="H91" s="90"/>
      <c r="K91" s="90"/>
      <c r="L91" s="90"/>
      <c r="M91" s="90"/>
      <c r="P91" s="40"/>
    </row>
    <row r="92" spans="1:16" x14ac:dyDescent="0.2">
      <c r="A92" s="93"/>
      <c r="D92" s="90"/>
      <c r="E92" s="90"/>
      <c r="F92" s="90"/>
      <c r="G92" s="90"/>
      <c r="H92" s="90"/>
      <c r="K92" s="90"/>
      <c r="L92" s="90"/>
      <c r="M92" s="90"/>
      <c r="P92" s="40"/>
    </row>
    <row r="93" spans="1:16" x14ac:dyDescent="0.2">
      <c r="A93" s="93"/>
      <c r="D93" s="90"/>
      <c r="E93" s="90"/>
      <c r="F93" s="90"/>
      <c r="G93" s="90"/>
      <c r="H93" s="90"/>
      <c r="K93" s="90"/>
      <c r="L93" s="90"/>
      <c r="M93" s="90"/>
      <c r="P93" s="40"/>
    </row>
    <row r="94" spans="1:16" x14ac:dyDescent="0.2">
      <c r="A94" s="93"/>
      <c r="D94" s="90"/>
      <c r="E94" s="90"/>
      <c r="F94" s="90"/>
      <c r="G94" s="90"/>
      <c r="H94" s="90"/>
      <c r="K94" s="90"/>
      <c r="L94" s="90"/>
      <c r="M94" s="90"/>
      <c r="P94" s="40"/>
    </row>
    <row r="95" spans="1:16" x14ac:dyDescent="0.2">
      <c r="A95" s="93"/>
      <c r="D95" s="90"/>
      <c r="E95" s="90"/>
      <c r="F95" s="90"/>
      <c r="G95" s="90"/>
      <c r="H95" s="90"/>
      <c r="K95" s="90"/>
      <c r="L95" s="90"/>
      <c r="M95" s="90"/>
      <c r="P95" s="40"/>
    </row>
    <row r="96" spans="1:16" x14ac:dyDescent="0.2">
      <c r="A96" s="93"/>
      <c r="D96" s="90"/>
      <c r="E96" s="90"/>
      <c r="F96" s="90"/>
      <c r="G96" s="90"/>
      <c r="H96" s="90"/>
      <c r="K96" s="90"/>
      <c r="L96" s="90"/>
      <c r="M96" s="90"/>
      <c r="P96" s="40"/>
    </row>
    <row r="97" spans="1:16" x14ac:dyDescent="0.2">
      <c r="A97" s="93"/>
      <c r="D97" s="90"/>
      <c r="E97" s="90"/>
      <c r="F97" s="90"/>
      <c r="G97" s="90"/>
      <c r="H97" s="90"/>
      <c r="K97" s="90"/>
      <c r="L97" s="90"/>
      <c r="M97" s="90"/>
      <c r="P97" s="40"/>
    </row>
    <row r="98" spans="1:16" x14ac:dyDescent="0.2">
      <c r="A98" s="93"/>
      <c r="D98" s="90"/>
      <c r="E98" s="90"/>
      <c r="F98" s="90"/>
      <c r="G98" s="90"/>
      <c r="H98" s="90"/>
      <c r="K98" s="90"/>
      <c r="L98" s="90"/>
      <c r="M98" s="90"/>
      <c r="P98" s="40"/>
    </row>
    <row r="99" spans="1:16" x14ac:dyDescent="0.2">
      <c r="A99" s="93"/>
      <c r="D99" s="90"/>
      <c r="E99" s="90"/>
      <c r="F99" s="90"/>
      <c r="G99" s="90"/>
      <c r="H99" s="90"/>
      <c r="K99" s="90"/>
      <c r="L99" s="90"/>
      <c r="M99" s="90"/>
      <c r="P99" s="40"/>
    </row>
    <row r="100" spans="1:16" x14ac:dyDescent="0.2">
      <c r="A100" s="93"/>
      <c r="D100" s="90"/>
      <c r="E100" s="90"/>
      <c r="F100" s="90"/>
      <c r="G100" s="90"/>
      <c r="H100" s="90"/>
      <c r="K100" s="90"/>
      <c r="L100" s="90"/>
      <c r="M100" s="90"/>
      <c r="P100" s="40"/>
    </row>
    <row r="101" spans="1:16" x14ac:dyDescent="0.2">
      <c r="A101" s="93"/>
      <c r="D101" s="90"/>
      <c r="E101" s="90"/>
      <c r="F101" s="90"/>
      <c r="G101" s="90"/>
      <c r="H101" s="90"/>
      <c r="K101" s="90"/>
      <c r="L101" s="90"/>
      <c r="M101" s="90"/>
      <c r="P101" s="40"/>
    </row>
    <row r="102" spans="1:16" x14ac:dyDescent="0.2">
      <c r="A102" s="93"/>
      <c r="D102" s="90"/>
      <c r="E102" s="90"/>
      <c r="F102" s="90"/>
      <c r="G102" s="90"/>
      <c r="H102" s="90"/>
      <c r="K102" s="90"/>
      <c r="L102" s="90"/>
      <c r="M102" s="90"/>
      <c r="P102" s="40"/>
    </row>
    <row r="103" spans="1:16" x14ac:dyDescent="0.2">
      <c r="A103" s="93"/>
      <c r="D103" s="90"/>
      <c r="E103" s="90"/>
      <c r="F103" s="90"/>
      <c r="G103" s="90"/>
      <c r="H103" s="90"/>
      <c r="K103" s="90"/>
      <c r="L103" s="90"/>
      <c r="M103" s="90"/>
      <c r="P103" s="40"/>
    </row>
    <row r="104" spans="1:16" x14ac:dyDescent="0.2">
      <c r="A104" s="93"/>
      <c r="D104" s="90"/>
      <c r="E104" s="90"/>
      <c r="F104" s="90"/>
      <c r="G104" s="90"/>
      <c r="H104" s="90"/>
      <c r="K104" s="90"/>
      <c r="L104" s="90"/>
      <c r="M104" s="90"/>
      <c r="P104" s="40"/>
    </row>
    <row r="105" spans="1:16" x14ac:dyDescent="0.2">
      <c r="A105" s="93"/>
      <c r="D105" s="90"/>
      <c r="E105" s="90"/>
      <c r="F105" s="90"/>
      <c r="G105" s="90"/>
      <c r="H105" s="90"/>
      <c r="K105" s="90"/>
      <c r="L105" s="90"/>
      <c r="M105" s="90"/>
      <c r="P105" s="40"/>
    </row>
    <row r="106" spans="1:16" x14ac:dyDescent="0.2">
      <c r="A106" s="93"/>
      <c r="D106" s="90"/>
      <c r="E106" s="90"/>
      <c r="F106" s="90"/>
      <c r="G106" s="90"/>
      <c r="H106" s="90"/>
      <c r="K106" s="90"/>
      <c r="L106" s="90"/>
      <c r="M106" s="90"/>
      <c r="P106" s="40"/>
    </row>
    <row r="107" spans="1:16" x14ac:dyDescent="0.2">
      <c r="A107" s="93"/>
      <c r="D107" s="90"/>
      <c r="E107" s="90"/>
      <c r="F107" s="90"/>
      <c r="G107" s="90"/>
      <c r="H107" s="90"/>
      <c r="K107" s="90"/>
      <c r="L107" s="90"/>
      <c r="M107" s="90"/>
      <c r="P107" s="40"/>
    </row>
    <row r="108" spans="1:16" x14ac:dyDescent="0.2">
      <c r="A108" s="93"/>
      <c r="D108" s="90"/>
      <c r="E108" s="90"/>
      <c r="F108" s="90"/>
      <c r="G108" s="90"/>
      <c r="H108" s="90"/>
      <c r="K108" s="90"/>
      <c r="L108" s="90"/>
      <c r="M108" s="90"/>
      <c r="P108" s="40"/>
    </row>
    <row r="109" spans="1:16" x14ac:dyDescent="0.2">
      <c r="A109" s="93"/>
      <c r="D109" s="90"/>
      <c r="E109" s="90"/>
      <c r="F109" s="90"/>
      <c r="G109" s="90"/>
      <c r="H109" s="90"/>
      <c r="K109" s="90"/>
      <c r="L109" s="90"/>
      <c r="M109" s="90"/>
      <c r="P109" s="40"/>
    </row>
    <row r="110" spans="1:16" x14ac:dyDescent="0.2">
      <c r="A110" s="93"/>
      <c r="D110" s="90"/>
      <c r="E110" s="90"/>
      <c r="F110" s="90"/>
      <c r="G110" s="90"/>
      <c r="H110" s="90"/>
      <c r="K110" s="90"/>
      <c r="L110" s="90"/>
      <c r="M110" s="90"/>
      <c r="P110" s="40"/>
    </row>
    <row r="111" spans="1:16" x14ac:dyDescent="0.2">
      <c r="A111" s="93"/>
      <c r="D111" s="90"/>
      <c r="E111" s="90"/>
      <c r="F111" s="90"/>
      <c r="G111" s="90"/>
      <c r="H111" s="90"/>
      <c r="K111" s="90"/>
      <c r="L111" s="90"/>
      <c r="M111" s="90"/>
      <c r="P111" s="40"/>
    </row>
    <row r="112" spans="1:16" x14ac:dyDescent="0.2">
      <c r="A112" s="93"/>
      <c r="D112" s="90"/>
      <c r="E112" s="90"/>
      <c r="F112" s="90"/>
      <c r="G112" s="90"/>
      <c r="H112" s="90"/>
      <c r="K112" s="90"/>
      <c r="L112" s="90"/>
      <c r="M112" s="90"/>
      <c r="P112" s="40"/>
    </row>
    <row r="113" spans="1:16" x14ac:dyDescent="0.2">
      <c r="A113" s="93"/>
      <c r="D113" s="90"/>
      <c r="E113" s="90"/>
      <c r="F113" s="90"/>
      <c r="G113" s="90"/>
      <c r="H113" s="90"/>
      <c r="K113" s="90"/>
      <c r="L113" s="90"/>
      <c r="M113" s="90"/>
      <c r="P113" s="40"/>
    </row>
    <row r="114" spans="1:16" x14ac:dyDescent="0.2">
      <c r="A114" s="93"/>
      <c r="D114" s="90"/>
      <c r="E114" s="90"/>
      <c r="F114" s="90"/>
      <c r="G114" s="90"/>
      <c r="H114" s="90"/>
      <c r="K114" s="90"/>
      <c r="L114" s="90"/>
      <c r="M114" s="90"/>
      <c r="P114" s="40"/>
    </row>
    <row r="115" spans="1:16" x14ac:dyDescent="0.2">
      <c r="A115" s="93"/>
      <c r="D115" s="90"/>
      <c r="E115" s="90"/>
      <c r="F115" s="90"/>
      <c r="G115" s="90"/>
      <c r="H115" s="90"/>
      <c r="K115" s="90"/>
      <c r="L115" s="90"/>
      <c r="M115" s="90"/>
      <c r="P115" s="40"/>
    </row>
    <row r="116" spans="1:16" x14ac:dyDescent="0.2">
      <c r="A116" s="93"/>
      <c r="D116" s="90"/>
      <c r="E116" s="90"/>
      <c r="F116" s="90"/>
      <c r="G116" s="90"/>
      <c r="H116" s="90"/>
      <c r="K116" s="90"/>
      <c r="L116" s="90"/>
      <c r="M116" s="90"/>
      <c r="P116" s="40"/>
    </row>
    <row r="117" spans="1:16" x14ac:dyDescent="0.2">
      <c r="A117" s="93"/>
      <c r="D117" s="90"/>
      <c r="E117" s="90"/>
      <c r="F117" s="90"/>
      <c r="G117" s="90"/>
      <c r="H117" s="90"/>
      <c r="K117" s="90"/>
      <c r="L117" s="90"/>
      <c r="M117" s="90"/>
      <c r="P117" s="40"/>
    </row>
    <row r="118" spans="1:16" x14ac:dyDescent="0.2">
      <c r="A118" s="93"/>
      <c r="D118" s="90"/>
      <c r="E118" s="90"/>
      <c r="F118" s="90"/>
      <c r="G118" s="90"/>
      <c r="H118" s="90"/>
      <c r="K118" s="90"/>
      <c r="L118" s="90"/>
      <c r="M118" s="90"/>
      <c r="P118" s="40"/>
    </row>
    <row r="119" spans="1:16" x14ac:dyDescent="0.2">
      <c r="A119" s="93"/>
      <c r="D119" s="90"/>
      <c r="E119" s="90"/>
      <c r="F119" s="90"/>
      <c r="G119" s="90"/>
      <c r="H119" s="90"/>
      <c r="K119" s="90"/>
      <c r="L119" s="90"/>
      <c r="M119" s="90"/>
      <c r="P119" s="40"/>
    </row>
    <row r="120" spans="1:16" x14ac:dyDescent="0.2">
      <c r="A120" s="93"/>
      <c r="D120" s="90"/>
      <c r="E120" s="90"/>
      <c r="F120" s="90"/>
      <c r="G120" s="90"/>
      <c r="H120" s="90"/>
      <c r="K120" s="90"/>
      <c r="L120" s="90"/>
      <c r="M120" s="90"/>
      <c r="P120" s="40"/>
    </row>
    <row r="121" spans="1:16" x14ac:dyDescent="0.2">
      <c r="A121" s="93"/>
      <c r="D121" s="90"/>
      <c r="E121" s="90"/>
      <c r="F121" s="90"/>
      <c r="G121" s="90"/>
      <c r="H121" s="90"/>
      <c r="K121" s="90"/>
      <c r="L121" s="90"/>
      <c r="M121" s="90"/>
      <c r="P121" s="40"/>
    </row>
    <row r="122" spans="1:16" x14ac:dyDescent="0.2">
      <c r="A122" s="93"/>
      <c r="D122" s="90"/>
      <c r="E122" s="90"/>
      <c r="F122" s="90"/>
      <c r="G122" s="90"/>
      <c r="H122" s="90"/>
      <c r="K122" s="90"/>
      <c r="L122" s="90"/>
      <c r="M122" s="90"/>
      <c r="P122" s="40"/>
    </row>
    <row r="123" spans="1:16" x14ac:dyDescent="0.2">
      <c r="A123" s="93"/>
      <c r="D123" s="90"/>
      <c r="E123" s="90"/>
      <c r="F123" s="90"/>
      <c r="G123" s="90"/>
      <c r="H123" s="90"/>
      <c r="K123" s="90"/>
      <c r="L123" s="90"/>
      <c r="M123" s="90"/>
      <c r="P123" s="40"/>
    </row>
    <row r="124" spans="1:16" x14ac:dyDescent="0.2">
      <c r="A124" s="93"/>
      <c r="D124" s="90"/>
      <c r="E124" s="90"/>
      <c r="F124" s="90"/>
      <c r="G124" s="90"/>
      <c r="H124" s="90"/>
      <c r="K124" s="90"/>
      <c r="L124" s="90"/>
      <c r="M124" s="90"/>
      <c r="P124" s="40"/>
    </row>
    <row r="125" spans="1:16" x14ac:dyDescent="0.2">
      <c r="A125" s="93"/>
      <c r="D125" s="90"/>
      <c r="E125" s="90"/>
      <c r="F125" s="90"/>
      <c r="G125" s="90"/>
      <c r="H125" s="90"/>
      <c r="K125" s="90"/>
      <c r="L125" s="90"/>
      <c r="M125" s="90"/>
      <c r="P125" s="40"/>
    </row>
    <row r="126" spans="1:16" x14ac:dyDescent="0.2">
      <c r="A126" s="93"/>
      <c r="D126" s="90"/>
      <c r="E126" s="90"/>
      <c r="F126" s="90"/>
      <c r="G126" s="90"/>
      <c r="H126" s="90"/>
      <c r="K126" s="90"/>
      <c r="L126" s="90"/>
      <c r="M126" s="90"/>
      <c r="P126" s="40"/>
    </row>
    <row r="127" spans="1:16" x14ac:dyDescent="0.2">
      <c r="A127" s="93"/>
      <c r="D127" s="90"/>
      <c r="E127" s="90"/>
      <c r="F127" s="90"/>
      <c r="G127" s="90"/>
      <c r="H127" s="90"/>
      <c r="K127" s="90"/>
      <c r="L127" s="90"/>
      <c r="M127" s="90"/>
      <c r="P127" s="40"/>
    </row>
    <row r="128" spans="1:16" x14ac:dyDescent="0.2">
      <c r="A128" s="93"/>
      <c r="D128" s="90"/>
      <c r="E128" s="90"/>
      <c r="F128" s="90"/>
      <c r="G128" s="90"/>
      <c r="H128" s="90"/>
      <c r="K128" s="90"/>
      <c r="L128" s="90"/>
      <c r="M128" s="90"/>
      <c r="P128" s="40"/>
    </row>
    <row r="129" spans="1:16" x14ac:dyDescent="0.2">
      <c r="A129" s="93"/>
      <c r="D129" s="90"/>
      <c r="E129" s="90"/>
      <c r="F129" s="90"/>
      <c r="G129" s="90"/>
      <c r="H129" s="90"/>
      <c r="K129" s="90"/>
      <c r="L129" s="90"/>
      <c r="M129" s="90"/>
      <c r="P129" s="40"/>
    </row>
    <row r="130" spans="1:16" x14ac:dyDescent="0.2">
      <c r="A130" s="93"/>
      <c r="D130" s="90"/>
      <c r="E130" s="90"/>
      <c r="F130" s="90"/>
      <c r="G130" s="90"/>
      <c r="H130" s="90"/>
      <c r="K130" s="90"/>
      <c r="L130" s="90"/>
      <c r="M130" s="90"/>
      <c r="P130" s="40"/>
    </row>
    <row r="131" spans="1:16" x14ac:dyDescent="0.2">
      <c r="A131" s="93"/>
      <c r="D131" s="90"/>
      <c r="E131" s="90"/>
      <c r="F131" s="90"/>
      <c r="G131" s="90"/>
      <c r="H131" s="90"/>
      <c r="K131" s="90"/>
      <c r="L131" s="90"/>
      <c r="M131" s="90"/>
      <c r="P131" s="40"/>
    </row>
    <row r="132" spans="1:16" x14ac:dyDescent="0.2">
      <c r="A132" s="93"/>
      <c r="D132" s="90"/>
      <c r="E132" s="90"/>
      <c r="F132" s="90"/>
      <c r="G132" s="90"/>
      <c r="H132" s="90"/>
      <c r="K132" s="90"/>
      <c r="L132" s="90"/>
      <c r="M132" s="90"/>
      <c r="P132" s="40"/>
    </row>
    <row r="133" spans="1:16" x14ac:dyDescent="0.2">
      <c r="A133" s="93"/>
      <c r="D133" s="90"/>
      <c r="E133" s="90"/>
      <c r="F133" s="90"/>
      <c r="G133" s="90"/>
      <c r="H133" s="90"/>
      <c r="K133" s="90"/>
      <c r="L133" s="90"/>
      <c r="M133" s="90"/>
      <c r="P133" s="40"/>
    </row>
    <row r="134" spans="1:16" x14ac:dyDescent="0.2">
      <c r="A134" s="93"/>
      <c r="D134" s="90"/>
      <c r="E134" s="90"/>
      <c r="F134" s="90"/>
      <c r="G134" s="90"/>
      <c r="H134" s="90"/>
      <c r="K134" s="90"/>
      <c r="L134" s="90"/>
      <c r="M134" s="90"/>
      <c r="P134" s="40"/>
    </row>
    <row r="135" spans="1:16" x14ac:dyDescent="0.2">
      <c r="A135" s="93"/>
      <c r="D135" s="90"/>
      <c r="E135" s="90"/>
      <c r="F135" s="90"/>
      <c r="G135" s="90"/>
      <c r="H135" s="90"/>
      <c r="K135" s="90"/>
      <c r="L135" s="90"/>
      <c r="M135" s="90"/>
      <c r="P135" s="40"/>
    </row>
    <row r="136" spans="1:16" x14ac:dyDescent="0.2">
      <c r="A136" s="93"/>
      <c r="D136" s="90"/>
      <c r="E136" s="90"/>
      <c r="F136" s="90"/>
      <c r="G136" s="90"/>
      <c r="H136" s="90"/>
      <c r="K136" s="90"/>
      <c r="L136" s="90"/>
      <c r="M136" s="90"/>
      <c r="P136" s="40"/>
    </row>
    <row r="137" spans="1:16" x14ac:dyDescent="0.2">
      <c r="A137" s="93"/>
      <c r="D137" s="90"/>
      <c r="E137" s="90"/>
      <c r="F137" s="90"/>
      <c r="G137" s="90"/>
      <c r="H137" s="90"/>
      <c r="K137" s="90"/>
      <c r="L137" s="90"/>
      <c r="M137" s="90"/>
      <c r="P137" s="40"/>
    </row>
    <row r="138" spans="1:16" x14ac:dyDescent="0.2">
      <c r="A138" s="93"/>
      <c r="D138" s="90"/>
      <c r="E138" s="90"/>
      <c r="F138" s="90"/>
      <c r="G138" s="90"/>
      <c r="H138" s="90"/>
      <c r="K138" s="90"/>
      <c r="L138" s="90"/>
      <c r="M138" s="90"/>
      <c r="P138" s="40"/>
    </row>
    <row r="139" spans="1:16" x14ac:dyDescent="0.2">
      <c r="A139" s="93"/>
      <c r="D139" s="90"/>
      <c r="E139" s="90"/>
      <c r="F139" s="90"/>
      <c r="G139" s="90"/>
      <c r="H139" s="90"/>
      <c r="K139" s="90"/>
      <c r="L139" s="90"/>
      <c r="M139" s="90"/>
      <c r="P139" s="40"/>
    </row>
    <row r="140" spans="1:16" x14ac:dyDescent="0.2">
      <c r="A140" s="93"/>
      <c r="D140" s="90"/>
      <c r="E140" s="90"/>
      <c r="F140" s="90"/>
      <c r="G140" s="90"/>
      <c r="H140" s="90"/>
      <c r="K140" s="90"/>
      <c r="L140" s="90"/>
      <c r="M140" s="90"/>
      <c r="P140" s="40"/>
    </row>
    <row r="141" spans="1:16" x14ac:dyDescent="0.2">
      <c r="A141" s="93"/>
      <c r="D141" s="90"/>
      <c r="E141" s="90"/>
      <c r="F141" s="90"/>
      <c r="G141" s="90"/>
      <c r="H141" s="90"/>
      <c r="K141" s="90"/>
      <c r="L141" s="90"/>
      <c r="M141" s="90"/>
      <c r="P141" s="40"/>
    </row>
    <row r="142" spans="1:16" x14ac:dyDescent="0.2">
      <c r="A142" s="93"/>
      <c r="D142" s="90"/>
      <c r="E142" s="90"/>
      <c r="F142" s="90"/>
      <c r="G142" s="90"/>
      <c r="H142" s="90"/>
      <c r="K142" s="90"/>
      <c r="L142" s="90"/>
      <c r="M142" s="90"/>
      <c r="P142" s="40"/>
    </row>
    <row r="143" spans="1:16" x14ac:dyDescent="0.2">
      <c r="A143" s="93"/>
      <c r="D143" s="90"/>
      <c r="E143" s="90"/>
      <c r="F143" s="90"/>
      <c r="G143" s="90"/>
      <c r="H143" s="90"/>
      <c r="K143" s="90"/>
      <c r="L143" s="90"/>
      <c r="M143" s="90"/>
      <c r="P143" s="40"/>
    </row>
    <row r="144" spans="1:16" x14ac:dyDescent="0.2">
      <c r="A144" s="93"/>
      <c r="D144" s="90"/>
      <c r="E144" s="90"/>
      <c r="F144" s="90"/>
      <c r="G144" s="90"/>
      <c r="H144" s="90"/>
      <c r="K144" s="90"/>
      <c r="L144" s="90"/>
      <c r="M144" s="90"/>
      <c r="P144" s="40"/>
    </row>
    <row r="145" spans="1:16" x14ac:dyDescent="0.2">
      <c r="A145" s="93"/>
      <c r="D145" s="90"/>
      <c r="E145" s="90"/>
      <c r="F145" s="90"/>
      <c r="G145" s="90"/>
      <c r="H145" s="90"/>
      <c r="K145" s="90"/>
      <c r="L145" s="90"/>
      <c r="M145" s="90"/>
      <c r="P145" s="40"/>
    </row>
    <row r="146" spans="1:16" x14ac:dyDescent="0.2">
      <c r="A146" s="93"/>
      <c r="D146" s="90"/>
      <c r="E146" s="90"/>
      <c r="F146" s="90"/>
      <c r="G146" s="90"/>
      <c r="H146" s="90"/>
      <c r="K146" s="90"/>
      <c r="L146" s="90"/>
      <c r="M146" s="90"/>
      <c r="P146" s="40"/>
    </row>
    <row r="147" spans="1:16" x14ac:dyDescent="0.2">
      <c r="A147" s="93"/>
      <c r="D147" s="90"/>
      <c r="E147" s="90"/>
      <c r="F147" s="90"/>
      <c r="G147" s="90"/>
      <c r="H147" s="90"/>
      <c r="K147" s="90"/>
      <c r="L147" s="90"/>
      <c r="M147" s="90"/>
      <c r="P147" s="40"/>
    </row>
    <row r="148" spans="1:16" x14ac:dyDescent="0.2">
      <c r="A148" s="93"/>
      <c r="D148" s="90"/>
      <c r="E148" s="90"/>
      <c r="F148" s="90"/>
      <c r="G148" s="90"/>
      <c r="H148" s="90"/>
      <c r="K148" s="90"/>
      <c r="L148" s="90"/>
      <c r="M148" s="90"/>
      <c r="P148" s="40"/>
    </row>
    <row r="149" spans="1:16" x14ac:dyDescent="0.2">
      <c r="A149" s="93"/>
      <c r="D149" s="90"/>
      <c r="E149" s="90"/>
      <c r="F149" s="90"/>
      <c r="G149" s="90"/>
      <c r="H149" s="90"/>
      <c r="K149" s="90"/>
      <c r="L149" s="90"/>
      <c r="M149" s="90"/>
      <c r="P149" s="40"/>
    </row>
    <row r="150" spans="1:16" x14ac:dyDescent="0.2">
      <c r="A150" s="93"/>
      <c r="D150" s="90"/>
      <c r="E150" s="90"/>
      <c r="F150" s="90"/>
      <c r="G150" s="90"/>
      <c r="H150" s="90"/>
      <c r="K150" s="90"/>
      <c r="L150" s="90"/>
      <c r="M150" s="90"/>
      <c r="P150" s="40"/>
    </row>
    <row r="151" spans="1:16" x14ac:dyDescent="0.2">
      <c r="A151" s="93"/>
      <c r="D151" s="90"/>
      <c r="E151" s="90"/>
      <c r="F151" s="90"/>
      <c r="G151" s="90"/>
      <c r="H151" s="90"/>
      <c r="K151" s="90"/>
      <c r="L151" s="90"/>
      <c r="M151" s="90"/>
      <c r="P151" s="40"/>
    </row>
    <row r="152" spans="1:16" x14ac:dyDescent="0.2">
      <c r="A152" s="93"/>
      <c r="D152" s="90"/>
      <c r="E152" s="90"/>
      <c r="F152" s="90"/>
      <c r="G152" s="90"/>
      <c r="H152" s="90"/>
      <c r="K152" s="90"/>
      <c r="L152" s="90"/>
      <c r="M152" s="90"/>
      <c r="P152" s="40"/>
    </row>
    <row r="153" spans="1:16" x14ac:dyDescent="0.2">
      <c r="A153" s="93"/>
      <c r="D153" s="90"/>
      <c r="E153" s="90"/>
      <c r="F153" s="90"/>
      <c r="G153" s="90"/>
      <c r="H153" s="90"/>
      <c r="K153" s="90"/>
      <c r="L153" s="90"/>
      <c r="M153" s="90"/>
      <c r="P153" s="40"/>
    </row>
    <row r="154" spans="1:16" x14ac:dyDescent="0.2">
      <c r="A154" s="93"/>
      <c r="D154" s="90"/>
      <c r="E154" s="90"/>
      <c r="F154" s="90"/>
      <c r="G154" s="90"/>
      <c r="H154" s="90"/>
      <c r="K154" s="90"/>
      <c r="L154" s="90"/>
      <c r="M154" s="90"/>
      <c r="P154" s="40"/>
    </row>
    <row r="155" spans="1:16" x14ac:dyDescent="0.2">
      <c r="A155" s="93"/>
      <c r="D155" s="90"/>
      <c r="E155" s="90"/>
      <c r="F155" s="90"/>
      <c r="G155" s="90"/>
      <c r="H155" s="90"/>
      <c r="K155" s="90"/>
      <c r="L155" s="90"/>
      <c r="M155" s="90"/>
      <c r="P155" s="40"/>
    </row>
    <row r="156" spans="1:16" x14ac:dyDescent="0.2">
      <c r="A156" s="93"/>
      <c r="D156" s="90"/>
      <c r="E156" s="90"/>
      <c r="F156" s="90"/>
      <c r="G156" s="90"/>
      <c r="H156" s="90"/>
      <c r="K156" s="90"/>
      <c r="L156" s="90"/>
      <c r="M156" s="90"/>
      <c r="P156" s="40"/>
    </row>
    <row r="157" spans="1:16" x14ac:dyDescent="0.2">
      <c r="A157" s="93"/>
      <c r="D157" s="90"/>
      <c r="E157" s="90"/>
      <c r="F157" s="90"/>
      <c r="G157" s="90"/>
      <c r="H157" s="90"/>
      <c r="K157" s="90"/>
      <c r="L157" s="90"/>
      <c r="M157" s="90"/>
      <c r="P157" s="40"/>
    </row>
    <row r="158" spans="1:16" x14ac:dyDescent="0.2">
      <c r="A158" s="93"/>
      <c r="D158" s="90"/>
      <c r="E158" s="90"/>
      <c r="F158" s="90"/>
      <c r="G158" s="90"/>
      <c r="H158" s="90"/>
      <c r="K158" s="90"/>
      <c r="L158" s="90"/>
      <c r="M158" s="90"/>
      <c r="P158" s="40"/>
    </row>
    <row r="159" spans="1:16" x14ac:dyDescent="0.2">
      <c r="A159" s="93"/>
      <c r="D159" s="90"/>
      <c r="E159" s="90"/>
      <c r="F159" s="90"/>
      <c r="G159" s="90"/>
      <c r="H159" s="90"/>
      <c r="K159" s="90"/>
      <c r="L159" s="90"/>
      <c r="M159" s="90"/>
      <c r="P159" s="40"/>
    </row>
    <row r="160" spans="1:16" x14ac:dyDescent="0.2">
      <c r="A160" s="93"/>
      <c r="D160" s="90"/>
      <c r="E160" s="90"/>
      <c r="F160" s="90"/>
      <c r="G160" s="90"/>
      <c r="H160" s="90"/>
      <c r="K160" s="90"/>
      <c r="L160" s="90"/>
      <c r="M160" s="90"/>
      <c r="P160" s="40"/>
    </row>
    <row r="161" spans="1:16" x14ac:dyDescent="0.2">
      <c r="A161" s="93"/>
      <c r="D161" s="90"/>
      <c r="E161" s="90"/>
      <c r="F161" s="90"/>
      <c r="G161" s="90"/>
      <c r="H161" s="90"/>
      <c r="K161" s="90"/>
      <c r="L161" s="90"/>
      <c r="M161" s="90"/>
      <c r="P161" s="40"/>
    </row>
    <row r="162" spans="1:16" x14ac:dyDescent="0.2">
      <c r="A162" s="93"/>
      <c r="D162" s="90"/>
      <c r="E162" s="90"/>
      <c r="F162" s="90"/>
      <c r="G162" s="90"/>
      <c r="H162" s="90"/>
      <c r="K162" s="90"/>
      <c r="L162" s="90"/>
      <c r="M162" s="90"/>
      <c r="P162" s="40"/>
    </row>
    <row r="163" spans="1:16" x14ac:dyDescent="0.2">
      <c r="A163" s="93"/>
      <c r="D163" s="90"/>
      <c r="E163" s="90"/>
      <c r="F163" s="90"/>
      <c r="G163" s="90"/>
      <c r="H163" s="90"/>
      <c r="K163" s="90"/>
      <c r="L163" s="90"/>
      <c r="M163" s="90"/>
      <c r="P163" s="40"/>
    </row>
    <row r="164" spans="1:16" x14ac:dyDescent="0.2">
      <c r="A164" s="93"/>
      <c r="D164" s="90"/>
      <c r="E164" s="90"/>
      <c r="F164" s="90"/>
      <c r="G164" s="90"/>
      <c r="H164" s="90"/>
      <c r="K164" s="90"/>
      <c r="L164" s="90"/>
      <c r="M164" s="90"/>
      <c r="P164" s="40"/>
    </row>
    <row r="165" spans="1:16" x14ac:dyDescent="0.2">
      <c r="A165" s="93"/>
      <c r="D165" s="90"/>
      <c r="E165" s="90"/>
      <c r="F165" s="90"/>
      <c r="G165" s="90"/>
      <c r="H165" s="90"/>
      <c r="K165" s="90"/>
      <c r="L165" s="90"/>
      <c r="M165" s="90"/>
      <c r="P165" s="40"/>
    </row>
    <row r="166" spans="1:16" x14ac:dyDescent="0.2">
      <c r="A166" s="93"/>
      <c r="D166" s="90"/>
      <c r="E166" s="90"/>
      <c r="F166" s="90"/>
      <c r="G166" s="90"/>
      <c r="H166" s="90"/>
      <c r="K166" s="90"/>
      <c r="L166" s="90"/>
      <c r="M166" s="90"/>
      <c r="P166" s="40"/>
    </row>
    <row r="167" spans="1:16" x14ac:dyDescent="0.2">
      <c r="A167" s="93"/>
      <c r="D167" s="90"/>
      <c r="E167" s="90"/>
      <c r="F167" s="90"/>
      <c r="G167" s="90"/>
      <c r="H167" s="90"/>
      <c r="K167" s="90"/>
      <c r="L167" s="90"/>
      <c r="M167" s="90"/>
      <c r="P167" s="40"/>
    </row>
    <row r="168" spans="1:16" x14ac:dyDescent="0.2">
      <c r="A168" s="93"/>
      <c r="D168" s="90"/>
      <c r="E168" s="90"/>
      <c r="F168" s="90"/>
      <c r="G168" s="90"/>
      <c r="H168" s="90"/>
      <c r="K168" s="90"/>
      <c r="L168" s="90"/>
      <c r="M168" s="90"/>
      <c r="P168" s="40"/>
    </row>
    <row r="169" spans="1:16" x14ac:dyDescent="0.2">
      <c r="A169" s="93"/>
      <c r="D169" s="90"/>
      <c r="E169" s="90"/>
      <c r="F169" s="90"/>
      <c r="G169" s="90"/>
      <c r="H169" s="90"/>
      <c r="K169" s="90"/>
      <c r="L169" s="90"/>
      <c r="M169" s="90"/>
      <c r="P169" s="40"/>
    </row>
    <row r="170" spans="1:16" x14ac:dyDescent="0.2">
      <c r="A170" s="93"/>
      <c r="D170" s="90"/>
      <c r="E170" s="90"/>
      <c r="F170" s="90"/>
      <c r="G170" s="90"/>
      <c r="H170" s="90"/>
      <c r="K170" s="90"/>
      <c r="L170" s="90"/>
      <c r="M170" s="90"/>
      <c r="P170" s="40"/>
    </row>
    <row r="171" spans="1:16" x14ac:dyDescent="0.2">
      <c r="A171" s="93"/>
      <c r="D171" s="90"/>
      <c r="E171" s="90"/>
      <c r="F171" s="90"/>
      <c r="G171" s="90"/>
      <c r="H171" s="90"/>
      <c r="K171" s="90"/>
      <c r="L171" s="90"/>
      <c r="M171" s="90"/>
      <c r="P171" s="40"/>
    </row>
    <row r="172" spans="1:16" x14ac:dyDescent="0.2">
      <c r="A172" s="93"/>
      <c r="D172" s="90"/>
      <c r="E172" s="90"/>
      <c r="F172" s="90"/>
      <c r="G172" s="90"/>
      <c r="H172" s="90"/>
      <c r="K172" s="90"/>
      <c r="L172" s="90"/>
      <c r="M172" s="90"/>
      <c r="P172" s="40"/>
    </row>
    <row r="173" spans="1:16" x14ac:dyDescent="0.2">
      <c r="A173" s="93"/>
      <c r="D173" s="90"/>
      <c r="E173" s="90"/>
      <c r="F173" s="90"/>
      <c r="G173" s="90"/>
      <c r="H173" s="90"/>
      <c r="K173" s="90"/>
      <c r="L173" s="90"/>
      <c r="M173" s="90"/>
      <c r="P173" s="40"/>
    </row>
    <row r="174" spans="1:16" x14ac:dyDescent="0.2">
      <c r="A174" s="93"/>
      <c r="D174" s="90"/>
      <c r="E174" s="90"/>
      <c r="F174" s="90"/>
      <c r="G174" s="90"/>
      <c r="H174" s="90"/>
      <c r="K174" s="90"/>
      <c r="L174" s="90"/>
      <c r="M174" s="90"/>
      <c r="P174" s="40"/>
    </row>
    <row r="175" spans="1:16" x14ac:dyDescent="0.2">
      <c r="A175" s="93"/>
      <c r="D175" s="90"/>
      <c r="E175" s="90"/>
      <c r="F175" s="90"/>
      <c r="G175" s="90"/>
      <c r="H175" s="90"/>
      <c r="K175" s="90"/>
      <c r="L175" s="90"/>
      <c r="M175" s="90"/>
      <c r="P175" s="40"/>
    </row>
    <row r="176" spans="1:16" x14ac:dyDescent="0.2">
      <c r="A176" s="93"/>
      <c r="D176" s="90"/>
      <c r="E176" s="90"/>
      <c r="F176" s="90"/>
      <c r="G176" s="90"/>
      <c r="H176" s="90"/>
      <c r="K176" s="90"/>
      <c r="L176" s="90"/>
      <c r="M176" s="90"/>
      <c r="P176" s="40"/>
    </row>
    <row r="177" spans="1:16" x14ac:dyDescent="0.2">
      <c r="A177" s="93"/>
      <c r="D177" s="90"/>
      <c r="E177" s="90"/>
      <c r="F177" s="90"/>
      <c r="G177" s="90"/>
      <c r="H177" s="90"/>
      <c r="K177" s="90"/>
      <c r="L177" s="90"/>
      <c r="M177" s="90"/>
      <c r="P177" s="40"/>
    </row>
    <row r="178" spans="1:16" x14ac:dyDescent="0.2">
      <c r="A178" s="93"/>
      <c r="D178" s="90"/>
      <c r="E178" s="90"/>
      <c r="F178" s="90"/>
      <c r="G178" s="90"/>
      <c r="H178" s="90"/>
      <c r="K178" s="90"/>
      <c r="L178" s="90"/>
      <c r="M178" s="90"/>
      <c r="P178" s="40"/>
    </row>
    <row r="179" spans="1:16" x14ac:dyDescent="0.2">
      <c r="A179" s="93"/>
      <c r="D179" s="90"/>
      <c r="E179" s="90"/>
      <c r="F179" s="90"/>
      <c r="G179" s="90"/>
      <c r="H179" s="90"/>
      <c r="K179" s="90"/>
      <c r="L179" s="90"/>
      <c r="M179" s="90"/>
      <c r="P179" s="40"/>
    </row>
    <row r="180" spans="1:16" x14ac:dyDescent="0.2">
      <c r="A180" s="93"/>
      <c r="D180" s="90"/>
      <c r="E180" s="90"/>
      <c r="F180" s="90"/>
      <c r="G180" s="90"/>
      <c r="H180" s="90"/>
      <c r="K180" s="90"/>
      <c r="L180" s="90"/>
      <c r="M180" s="90"/>
      <c r="P180" s="40"/>
    </row>
    <row r="181" spans="1:16" x14ac:dyDescent="0.2">
      <c r="A181" s="93"/>
      <c r="D181" s="90"/>
      <c r="E181" s="90"/>
      <c r="F181" s="90"/>
      <c r="G181" s="90"/>
      <c r="H181" s="90"/>
      <c r="K181" s="90"/>
      <c r="L181" s="90"/>
      <c r="M181" s="90"/>
      <c r="P181" s="40"/>
    </row>
    <row r="182" spans="1:16" x14ac:dyDescent="0.2">
      <c r="A182" s="93"/>
      <c r="D182" s="90"/>
      <c r="E182" s="90"/>
      <c r="F182" s="90"/>
      <c r="G182" s="90"/>
      <c r="H182" s="90"/>
      <c r="K182" s="90"/>
      <c r="L182" s="90"/>
      <c r="M182" s="90"/>
      <c r="P182" s="40"/>
    </row>
    <row r="183" spans="1:16" x14ac:dyDescent="0.2">
      <c r="A183" s="93"/>
      <c r="D183" s="90"/>
      <c r="E183" s="90"/>
      <c r="F183" s="90"/>
      <c r="G183" s="90"/>
      <c r="H183" s="90"/>
      <c r="K183" s="90"/>
      <c r="L183" s="90"/>
      <c r="M183" s="90"/>
      <c r="P183" s="40"/>
    </row>
    <row r="184" spans="1:16" x14ac:dyDescent="0.2">
      <c r="A184" s="93"/>
      <c r="D184" s="90"/>
      <c r="E184" s="90"/>
      <c r="F184" s="90"/>
      <c r="G184" s="90"/>
      <c r="H184" s="90"/>
      <c r="K184" s="90"/>
      <c r="L184" s="90"/>
      <c r="M184" s="90"/>
      <c r="P184" s="40"/>
    </row>
    <row r="185" spans="1:16" x14ac:dyDescent="0.2">
      <c r="A185" s="93"/>
      <c r="D185" s="90"/>
      <c r="E185" s="90"/>
      <c r="F185" s="90"/>
      <c r="G185" s="90"/>
      <c r="H185" s="90"/>
      <c r="K185" s="90"/>
      <c r="L185" s="90"/>
      <c r="M185" s="90"/>
      <c r="P185" s="40"/>
    </row>
    <row r="186" spans="1:16" x14ac:dyDescent="0.2">
      <c r="A186" s="93"/>
      <c r="D186" s="90"/>
      <c r="E186" s="90"/>
      <c r="F186" s="90"/>
      <c r="G186" s="90"/>
      <c r="H186" s="90"/>
      <c r="K186" s="90"/>
      <c r="L186" s="90"/>
      <c r="M186" s="90"/>
      <c r="P186" s="40"/>
    </row>
    <row r="187" spans="1:16" x14ac:dyDescent="0.2">
      <c r="A187" s="93"/>
      <c r="D187" s="90"/>
      <c r="E187" s="90"/>
      <c r="F187" s="90"/>
      <c r="G187" s="90"/>
      <c r="H187" s="90"/>
      <c r="K187" s="90"/>
      <c r="L187" s="90"/>
      <c r="M187" s="90"/>
      <c r="P187" s="40"/>
    </row>
    <row r="188" spans="1:16" x14ac:dyDescent="0.2">
      <c r="A188" s="93"/>
      <c r="D188" s="90"/>
      <c r="E188" s="90"/>
      <c r="F188" s="90"/>
      <c r="G188" s="90"/>
      <c r="H188" s="90"/>
      <c r="K188" s="90"/>
      <c r="L188" s="90"/>
      <c r="M188" s="90"/>
      <c r="P188" s="40"/>
    </row>
    <row r="189" spans="1:16" x14ac:dyDescent="0.2">
      <c r="A189" s="93"/>
      <c r="D189" s="90"/>
      <c r="E189" s="90"/>
      <c r="F189" s="90"/>
      <c r="G189" s="90"/>
      <c r="H189" s="90"/>
      <c r="K189" s="90"/>
      <c r="L189" s="90"/>
      <c r="M189" s="90"/>
      <c r="P189" s="40"/>
    </row>
    <row r="190" spans="1:16" x14ac:dyDescent="0.2">
      <c r="A190" s="93"/>
      <c r="D190" s="90"/>
      <c r="E190" s="90"/>
      <c r="F190" s="90"/>
      <c r="G190" s="90"/>
      <c r="H190" s="90"/>
      <c r="K190" s="90"/>
      <c r="L190" s="90"/>
      <c r="M190" s="90"/>
      <c r="P190" s="40"/>
    </row>
    <row r="191" spans="1:16" x14ac:dyDescent="0.2">
      <c r="A191" s="93"/>
      <c r="D191" s="90"/>
      <c r="E191" s="90"/>
      <c r="F191" s="90"/>
      <c r="G191" s="90"/>
      <c r="H191" s="90"/>
      <c r="K191" s="90"/>
      <c r="L191" s="90"/>
      <c r="M191" s="90"/>
      <c r="P191" s="40"/>
    </row>
    <row r="192" spans="1:16" x14ac:dyDescent="0.2">
      <c r="A192" s="93"/>
      <c r="D192" s="90"/>
      <c r="E192" s="90"/>
      <c r="F192" s="90"/>
      <c r="G192" s="90"/>
      <c r="H192" s="90"/>
      <c r="K192" s="90"/>
      <c r="L192" s="90"/>
      <c r="M192" s="90"/>
      <c r="P192" s="40"/>
    </row>
    <row r="193" spans="1:16" x14ac:dyDescent="0.2">
      <c r="A193" s="93"/>
      <c r="D193" s="90"/>
      <c r="E193" s="90"/>
      <c r="F193" s="90"/>
      <c r="G193" s="90"/>
      <c r="H193" s="90"/>
      <c r="K193" s="90"/>
      <c r="L193" s="90"/>
      <c r="M193" s="90"/>
      <c r="P193" s="40"/>
    </row>
    <row r="194" spans="1:16" x14ac:dyDescent="0.2">
      <c r="A194" s="93"/>
      <c r="D194" s="90"/>
      <c r="E194" s="90"/>
      <c r="F194" s="90"/>
      <c r="G194" s="90"/>
      <c r="H194" s="90"/>
      <c r="K194" s="90"/>
      <c r="L194" s="90"/>
      <c r="M194" s="90"/>
      <c r="P194" s="40"/>
    </row>
    <row r="195" spans="1:16" x14ac:dyDescent="0.2">
      <c r="A195" s="93"/>
      <c r="D195" s="90"/>
      <c r="E195" s="90"/>
      <c r="F195" s="90"/>
      <c r="G195" s="90"/>
      <c r="H195" s="90"/>
      <c r="K195" s="90"/>
      <c r="L195" s="90"/>
      <c r="M195" s="90"/>
      <c r="P195" s="40"/>
    </row>
    <row r="196" spans="1:16" x14ac:dyDescent="0.2">
      <c r="A196" s="93"/>
      <c r="D196" s="90"/>
      <c r="E196" s="90"/>
      <c r="F196" s="90"/>
      <c r="G196" s="90"/>
      <c r="H196" s="90"/>
      <c r="K196" s="90"/>
      <c r="L196" s="90"/>
      <c r="M196" s="90"/>
      <c r="P196" s="40"/>
    </row>
    <row r="197" spans="1:16" x14ac:dyDescent="0.2">
      <c r="A197" s="93"/>
      <c r="D197" s="90"/>
      <c r="E197" s="90"/>
      <c r="F197" s="90"/>
      <c r="G197" s="90"/>
      <c r="H197" s="90"/>
      <c r="K197" s="90"/>
      <c r="L197" s="90"/>
      <c r="M197" s="90"/>
      <c r="P197" s="40"/>
    </row>
    <row r="198" spans="1:16" x14ac:dyDescent="0.2">
      <c r="A198" s="93"/>
      <c r="D198" s="90"/>
      <c r="E198" s="90"/>
      <c r="F198" s="90"/>
      <c r="G198" s="90"/>
      <c r="H198" s="90"/>
      <c r="K198" s="90"/>
      <c r="L198" s="90"/>
      <c r="M198" s="90"/>
      <c r="P198" s="40"/>
    </row>
    <row r="199" spans="1:16" x14ac:dyDescent="0.2">
      <c r="A199" s="93"/>
      <c r="D199" s="90"/>
      <c r="E199" s="90"/>
      <c r="F199" s="90"/>
      <c r="G199" s="90"/>
      <c r="H199" s="90"/>
      <c r="K199" s="90"/>
      <c r="L199" s="90"/>
      <c r="M199" s="90"/>
      <c r="P199" s="40"/>
    </row>
    <row r="200" spans="1:16" x14ac:dyDescent="0.2"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</row>
  </sheetData>
  <mergeCells count="9">
    <mergeCell ref="H30:I30"/>
    <mergeCell ref="H32:I32"/>
    <mergeCell ref="H34:I34"/>
    <mergeCell ref="C35:F35"/>
    <mergeCell ref="C36:F36"/>
    <mergeCell ref="H35:I35"/>
    <mergeCell ref="H36:I36"/>
    <mergeCell ref="K35:L35"/>
    <mergeCell ref="K36:L36"/>
  </mergeCells>
  <printOptions horizontalCentered="1"/>
  <pageMargins left="0.7" right="0.7" top="0.75" bottom="0.75" header="0.3" footer="0.3"/>
  <pageSetup scale="82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8"/>
  <sheetViews>
    <sheetView workbookViewId="0">
      <selection activeCell="D16" sqref="D16"/>
    </sheetView>
  </sheetViews>
  <sheetFormatPr defaultRowHeight="12.75" x14ac:dyDescent="0.2"/>
  <cols>
    <col min="1" max="16384" width="9.140625" style="43"/>
  </cols>
  <sheetData>
    <row r="48" spans="6:6" x14ac:dyDescent="0.2">
      <c r="F48" s="2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4"/>
  <sheetViews>
    <sheetView zoomScaleNormal="100" workbookViewId="0">
      <pane ySplit="5" topLeftCell="A6" activePane="bottomLeft" state="frozen"/>
      <selection activeCell="D16" sqref="D16"/>
      <selection pane="bottomLeft" activeCell="D16" sqref="D16"/>
    </sheetView>
  </sheetViews>
  <sheetFormatPr defaultColWidth="9.140625" defaultRowHeight="11.25" x14ac:dyDescent="0.2"/>
  <cols>
    <col min="1" max="1" width="8.28515625" style="30" bestFit="1" customWidth="1"/>
    <col min="2" max="2" width="24.42578125" style="28" customWidth="1"/>
    <col min="3" max="3" width="19.28515625" style="28" customWidth="1"/>
    <col min="4" max="4" width="13.28515625" style="33" bestFit="1" customWidth="1"/>
    <col min="5" max="5" width="17.42578125" style="28" bestFit="1" customWidth="1"/>
    <col min="6" max="6" width="12" style="28" customWidth="1"/>
    <col min="7" max="7" width="1" style="28" customWidth="1"/>
    <col min="8" max="8" width="13.140625" style="28" bestFit="1" customWidth="1"/>
    <col min="9" max="9" width="10.5703125" style="28" customWidth="1"/>
    <col min="10" max="10" width="8.42578125" style="28" customWidth="1"/>
    <col min="11" max="16384" width="9.140625" style="28"/>
  </cols>
  <sheetData>
    <row r="1" spans="1:14" s="4" customFormat="1" x14ac:dyDescent="0.2">
      <c r="A1" s="187" t="s">
        <v>12</v>
      </c>
      <c r="B1" s="188"/>
      <c r="C1" s="188"/>
      <c r="D1" s="188"/>
      <c r="E1" s="188"/>
      <c r="F1" s="188"/>
      <c r="G1" s="188"/>
      <c r="H1" s="188"/>
      <c r="I1" s="189"/>
    </row>
    <row r="2" spans="1:14" s="4" customFormat="1" x14ac:dyDescent="0.2">
      <c r="A2" s="190" t="s">
        <v>30</v>
      </c>
      <c r="B2" s="191"/>
      <c r="C2" s="191"/>
      <c r="D2" s="191"/>
      <c r="E2" s="191"/>
      <c r="F2" s="191"/>
      <c r="G2" s="191"/>
      <c r="H2" s="191"/>
      <c r="I2" s="192"/>
    </row>
    <row r="3" spans="1:14" s="4" customFormat="1" x14ac:dyDescent="0.2">
      <c r="A3" s="170"/>
      <c r="D3" s="18"/>
      <c r="I3" s="5"/>
    </row>
    <row r="4" spans="1:14" s="4" customFormat="1" ht="12.75" customHeight="1" x14ac:dyDescent="0.2">
      <c r="A4" s="170"/>
      <c r="D4" s="18"/>
      <c r="I4" s="5"/>
    </row>
    <row r="5" spans="1:14" s="13" customFormat="1" ht="51" customHeight="1" thickBot="1" x14ac:dyDescent="0.25">
      <c r="A5" s="11" t="s">
        <v>0</v>
      </c>
      <c r="B5" s="12" t="s">
        <v>17</v>
      </c>
      <c r="C5" s="12" t="s">
        <v>25</v>
      </c>
      <c r="D5" s="3" t="s">
        <v>132</v>
      </c>
      <c r="E5" s="19" t="s">
        <v>124</v>
      </c>
      <c r="F5" s="19" t="s">
        <v>123</v>
      </c>
      <c r="G5" s="19"/>
      <c r="H5" s="173" t="str">
        <f>Inputs!B4&amp;" Forecasted Rate-Year Energy (kWh)"</f>
        <v>F2024 Forecasted Rate-Year Energy (kWh)</v>
      </c>
      <c r="I5" s="38"/>
    </row>
    <row r="6" spans="1:14" s="2" customFormat="1" ht="39" customHeight="1" x14ac:dyDescent="0.2">
      <c r="A6" s="1"/>
      <c r="D6" s="14" t="s">
        <v>13</v>
      </c>
      <c r="E6" s="15" t="s">
        <v>14</v>
      </c>
      <c r="F6" s="16" t="s">
        <v>64</v>
      </c>
      <c r="G6" s="16"/>
      <c r="H6" s="15" t="s">
        <v>18</v>
      </c>
      <c r="I6" s="39" t="s">
        <v>65</v>
      </c>
      <c r="J6" s="28"/>
      <c r="K6" s="28"/>
      <c r="L6" s="28"/>
      <c r="M6" s="28"/>
      <c r="N6" s="28"/>
    </row>
    <row r="7" spans="1:14" x14ac:dyDescent="0.2">
      <c r="A7" s="29">
        <v>1</v>
      </c>
      <c r="B7" s="28" t="s">
        <v>1</v>
      </c>
      <c r="C7" s="30" t="s">
        <v>110</v>
      </c>
      <c r="D7" s="26">
        <f>'TEP 12NCP-2024 GRC'!C19</f>
        <v>0.5647910717608402</v>
      </c>
      <c r="E7" s="37"/>
      <c r="F7" s="17">
        <f>D7*$E$22</f>
        <v>6790929.5775010474</v>
      </c>
      <c r="G7" s="17"/>
      <c r="H7" s="174">
        <v>11360099583.257719</v>
      </c>
      <c r="I7" s="21">
        <f>(F7/H7)</f>
        <v>5.9778785632384594E-4</v>
      </c>
    </row>
    <row r="8" spans="1:14" x14ac:dyDescent="0.2">
      <c r="A8" s="29">
        <f t="shared" ref="A8:A29" si="0">+A7+1</f>
        <v>2</v>
      </c>
      <c r="C8" s="22"/>
      <c r="D8" s="26"/>
      <c r="E8" s="37"/>
      <c r="F8" s="17"/>
      <c r="G8" s="17"/>
      <c r="H8" s="33"/>
      <c r="I8" s="23"/>
    </row>
    <row r="9" spans="1:14" x14ac:dyDescent="0.2">
      <c r="A9" s="29">
        <f t="shared" si="0"/>
        <v>3</v>
      </c>
      <c r="B9" s="7" t="s">
        <v>2</v>
      </c>
      <c r="C9" s="45" t="s">
        <v>109</v>
      </c>
      <c r="D9" s="26">
        <f>'TEP 12NCP-2024 GRC'!D19</f>
        <v>0.12549959413507322</v>
      </c>
      <c r="E9" s="37"/>
      <c r="F9" s="17">
        <f>D9*$E$22</f>
        <v>1508980.8397982842</v>
      </c>
      <c r="G9" s="17"/>
      <c r="H9" s="174">
        <v>2693017787.7097392</v>
      </c>
      <c r="I9" s="21">
        <f>(F9/H9)</f>
        <v>5.603308105445482E-4</v>
      </c>
    </row>
    <row r="10" spans="1:14" x14ac:dyDescent="0.2">
      <c r="A10" s="29">
        <f t="shared" si="0"/>
        <v>4</v>
      </c>
      <c r="B10" s="28" t="s">
        <v>3</v>
      </c>
      <c r="C10" s="45" t="s">
        <v>108</v>
      </c>
      <c r="D10" s="26">
        <f>'TEP 12NCP-2024 GRC'!E19</f>
        <v>0.14114612361357726</v>
      </c>
      <c r="E10" s="37"/>
      <c r="F10" s="17">
        <f t="shared" ref="F10:F19" si="1">D10*$E$22</f>
        <v>1697111.4338063432</v>
      </c>
      <c r="G10" s="17"/>
      <c r="H10" s="174">
        <v>2969093006.541297</v>
      </c>
      <c r="I10" s="21">
        <f>(F10/H10)</f>
        <v>5.7159254697221904E-4</v>
      </c>
    </row>
    <row r="11" spans="1:14" x14ac:dyDescent="0.2">
      <c r="A11" s="29">
        <f t="shared" si="0"/>
        <v>5</v>
      </c>
      <c r="B11" s="28" t="s">
        <v>4</v>
      </c>
      <c r="C11" s="45" t="s">
        <v>107</v>
      </c>
      <c r="D11" s="26">
        <f>'TEP 12NCP-2024 GRC'!F19</f>
        <v>7.812486158647125E-2</v>
      </c>
      <c r="E11" s="37"/>
      <c r="F11" s="17">
        <f t="shared" si="1"/>
        <v>939356.97607911099</v>
      </c>
      <c r="G11" s="17"/>
      <c r="H11" s="174">
        <v>2065352001.3623114</v>
      </c>
      <c r="I11" s="21">
        <f>(F11/H11)</f>
        <v>4.5481689099945616E-4</v>
      </c>
    </row>
    <row r="12" spans="1:14" x14ac:dyDescent="0.2">
      <c r="A12" s="29">
        <f t="shared" si="0"/>
        <v>6</v>
      </c>
      <c r="B12" s="28" t="s">
        <v>5</v>
      </c>
      <c r="C12" s="35">
        <v>29</v>
      </c>
      <c r="D12" s="26">
        <f>'TEP 12NCP-2024 GRC'!G19</f>
        <v>7.1831156685850785E-4</v>
      </c>
      <c r="E12" s="37"/>
      <c r="F12" s="17">
        <f t="shared" si="1"/>
        <v>8636.8278627926757</v>
      </c>
      <c r="G12" s="17"/>
      <c r="H12" s="174">
        <v>14420837.616554612</v>
      </c>
      <c r="I12" s="21">
        <f>(F12/H12)</f>
        <v>5.9891305154687426E-4</v>
      </c>
    </row>
    <row r="13" spans="1:14" x14ac:dyDescent="0.2">
      <c r="A13" s="29">
        <f t="shared" si="0"/>
        <v>7</v>
      </c>
      <c r="C13" s="6"/>
      <c r="D13" s="26"/>
      <c r="E13" s="37"/>
      <c r="F13" s="17"/>
      <c r="G13" s="17"/>
      <c r="H13" s="33"/>
      <c r="I13" s="23"/>
    </row>
    <row r="14" spans="1:14" x14ac:dyDescent="0.2">
      <c r="A14" s="29">
        <f t="shared" si="0"/>
        <v>8</v>
      </c>
      <c r="B14" s="28" t="s">
        <v>6</v>
      </c>
      <c r="C14" s="45" t="s">
        <v>106</v>
      </c>
      <c r="D14" s="26">
        <f>'TEP 12NCP-2024 GRC'!H19</f>
        <v>5.6142744146604792E-2</v>
      </c>
      <c r="E14" s="37"/>
      <c r="F14" s="17">
        <f t="shared" si="1"/>
        <v>675048.59911931609</v>
      </c>
      <c r="G14" s="17"/>
      <c r="H14" s="174">
        <v>1378600015.3562117</v>
      </c>
      <c r="I14" s="21">
        <f>(F14/H14)</f>
        <v>4.8966240504856855E-4</v>
      </c>
    </row>
    <row r="15" spans="1:14" x14ac:dyDescent="0.2">
      <c r="A15" s="29">
        <f t="shared" si="0"/>
        <v>9</v>
      </c>
      <c r="B15" s="28" t="s">
        <v>7</v>
      </c>
      <c r="C15" s="35">
        <v>35</v>
      </c>
      <c r="D15" s="26">
        <f>'TEP 12NCP-2024 GRC'!I19</f>
        <v>1.2875877037396453E-3</v>
      </c>
      <c r="E15" s="37"/>
      <c r="F15" s="17">
        <f t="shared" si="1"/>
        <v>15481.684924110858</v>
      </c>
      <c r="G15" s="17"/>
      <c r="H15" s="174">
        <v>5934926.6636967957</v>
      </c>
      <c r="I15" s="21">
        <f>(F15/H15)</f>
        <v>2.6085722370944174E-3</v>
      </c>
    </row>
    <row r="16" spans="1:14" x14ac:dyDescent="0.2">
      <c r="A16" s="29">
        <f t="shared" si="0"/>
        <v>10</v>
      </c>
      <c r="B16" s="28" t="s">
        <v>8</v>
      </c>
      <c r="C16" s="35">
        <v>43</v>
      </c>
      <c r="D16" s="26">
        <f>'TEP 12NCP-2024 GRC'!J19</f>
        <v>8.7953147067281589E-3</v>
      </c>
      <c r="E16" s="37"/>
      <c r="F16" s="17">
        <f t="shared" si="1"/>
        <v>105753.02226208363</v>
      </c>
      <c r="G16" s="17"/>
      <c r="H16" s="174">
        <v>108844561.70565043</v>
      </c>
      <c r="I16" s="21">
        <f>(F16/H16)</f>
        <v>9.7159674865587419E-4</v>
      </c>
    </row>
    <row r="17" spans="1:9" x14ac:dyDescent="0.2">
      <c r="A17" s="29">
        <f t="shared" si="0"/>
        <v>11</v>
      </c>
      <c r="C17" s="6"/>
      <c r="D17" s="26"/>
      <c r="E17" s="37"/>
      <c r="F17" s="17"/>
      <c r="G17" s="17"/>
      <c r="I17" s="23"/>
    </row>
    <row r="18" spans="1:9" x14ac:dyDescent="0.2">
      <c r="A18" s="29">
        <f t="shared" si="0"/>
        <v>12</v>
      </c>
      <c r="B18" s="7" t="s">
        <v>22</v>
      </c>
      <c r="C18" s="35">
        <v>46</v>
      </c>
      <c r="D18" s="26">
        <f>'TEP 12NCP-2024 GRC'!K19</f>
        <v>4.1794864166778004E-3</v>
      </c>
      <c r="E18" s="37"/>
      <c r="F18" s="17">
        <f t="shared" si="1"/>
        <v>50253.269474131674</v>
      </c>
      <c r="G18" s="17"/>
      <c r="H18" s="174">
        <v>93572538.659561396</v>
      </c>
      <c r="I18" s="21">
        <f>(F18/H18)</f>
        <v>5.3705147037812803E-4</v>
      </c>
    </row>
    <row r="19" spans="1:9" x14ac:dyDescent="0.2">
      <c r="A19" s="29">
        <f t="shared" si="0"/>
        <v>13</v>
      </c>
      <c r="B19" s="7" t="s">
        <v>23</v>
      </c>
      <c r="C19" s="35">
        <v>49</v>
      </c>
      <c r="D19" s="26">
        <f>'TEP 12NCP-2024 GRC'!L19</f>
        <v>1.9314904363429159E-2</v>
      </c>
      <c r="E19" s="37"/>
      <c r="F19" s="17">
        <f t="shared" si="1"/>
        <v>232238.36545305233</v>
      </c>
      <c r="G19" s="17"/>
      <c r="H19" s="174">
        <v>530773099.64765275</v>
      </c>
      <c r="I19" s="21">
        <f>(F19/H19)</f>
        <v>4.3754735424086287E-4</v>
      </c>
    </row>
    <row r="20" spans="1:9" x14ac:dyDescent="0.2">
      <c r="A20" s="29">
        <f t="shared" si="0"/>
        <v>14</v>
      </c>
      <c r="B20" s="7" t="s">
        <v>130</v>
      </c>
      <c r="C20" s="168">
        <v>558</v>
      </c>
      <c r="D20" s="222" t="s">
        <v>128</v>
      </c>
      <c r="E20" s="20"/>
      <c r="F20" s="222" t="s">
        <v>128</v>
      </c>
      <c r="G20" s="17"/>
      <c r="H20" s="222" t="s">
        <v>128</v>
      </c>
      <c r="I20" s="21">
        <f>SUM(F9:F11)/SUM(H9:H11)</f>
        <v>5.3645670763203005E-4</v>
      </c>
    </row>
    <row r="21" spans="1:9" x14ac:dyDescent="0.2">
      <c r="A21" s="29">
        <f t="shared" si="0"/>
        <v>15</v>
      </c>
      <c r="C21" s="6"/>
      <c r="D21" s="27"/>
      <c r="F21" s="17"/>
      <c r="G21" s="17"/>
      <c r="I21" s="23"/>
    </row>
    <row r="22" spans="1:9" ht="13.5" x14ac:dyDescent="0.35">
      <c r="A22" s="29">
        <f t="shared" si="0"/>
        <v>16</v>
      </c>
      <c r="B22" s="28" t="s">
        <v>9</v>
      </c>
      <c r="C22" s="6"/>
      <c r="D22" s="27">
        <f>SUM(D7:D19)</f>
        <v>0.99999999999999989</v>
      </c>
      <c r="E22" s="223">
        <v>12023790.596280273</v>
      </c>
      <c r="F22" s="17">
        <f>SUM(F7:F19)</f>
        <v>12023790.596280273</v>
      </c>
      <c r="G22" s="17"/>
      <c r="H22" s="175">
        <f>SUM(H7:H19)</f>
        <v>21219708358.520393</v>
      </c>
      <c r="I22" s="21"/>
    </row>
    <row r="23" spans="1:9" x14ac:dyDescent="0.2">
      <c r="A23" s="29">
        <f t="shared" si="0"/>
        <v>17</v>
      </c>
      <c r="C23" s="6"/>
      <c r="E23" s="171"/>
      <c r="F23" s="17"/>
      <c r="G23" s="17"/>
      <c r="I23" s="31"/>
    </row>
    <row r="24" spans="1:9" x14ac:dyDescent="0.2">
      <c r="A24" s="29">
        <f t="shared" si="0"/>
        <v>18</v>
      </c>
      <c r="B24" s="36" t="s">
        <v>58</v>
      </c>
      <c r="C24" s="6"/>
      <c r="F24" s="17"/>
      <c r="G24" s="17"/>
      <c r="I24" s="31"/>
    </row>
    <row r="25" spans="1:9" x14ac:dyDescent="0.2">
      <c r="A25" s="29">
        <f t="shared" si="0"/>
        <v>19</v>
      </c>
      <c r="B25" s="28" t="s">
        <v>10</v>
      </c>
      <c r="C25" s="168" t="s">
        <v>125</v>
      </c>
      <c r="D25" s="26"/>
      <c r="E25" s="20"/>
      <c r="F25" s="17"/>
      <c r="G25" s="17"/>
      <c r="H25" s="174">
        <v>1953924436.0460784</v>
      </c>
      <c r="I25" s="21"/>
    </row>
    <row r="26" spans="1:9" x14ac:dyDescent="0.2">
      <c r="A26" s="29">
        <f t="shared" si="0"/>
        <v>20</v>
      </c>
      <c r="B26" s="28" t="s">
        <v>54</v>
      </c>
      <c r="C26" s="171" t="s">
        <v>100</v>
      </c>
      <c r="D26" s="26"/>
      <c r="E26" s="20"/>
      <c r="F26" s="17"/>
      <c r="G26" s="17"/>
      <c r="H26" s="174">
        <v>319873933.30400002</v>
      </c>
      <c r="I26" s="21"/>
    </row>
    <row r="27" spans="1:9" x14ac:dyDescent="0.2">
      <c r="A27" s="29">
        <f t="shared" si="0"/>
        <v>21</v>
      </c>
      <c r="B27" s="28" t="s">
        <v>55</v>
      </c>
      <c r="C27" s="168" t="s">
        <v>16</v>
      </c>
      <c r="E27" s="33"/>
      <c r="F27" s="17"/>
      <c r="G27" s="17"/>
      <c r="H27" s="174">
        <v>64341676.6170213</v>
      </c>
      <c r="I27" s="24"/>
    </row>
    <row r="28" spans="1:9" x14ac:dyDescent="0.2">
      <c r="A28" s="29">
        <f>+A27+1</f>
        <v>22</v>
      </c>
      <c r="I28" s="32"/>
    </row>
    <row r="29" spans="1:9" x14ac:dyDescent="0.2">
      <c r="A29" s="29">
        <f t="shared" si="0"/>
        <v>23</v>
      </c>
      <c r="B29" s="28" t="s">
        <v>11</v>
      </c>
      <c r="F29" s="17"/>
      <c r="G29" s="17"/>
      <c r="H29" s="33">
        <f>SUM(H25:H27)+H22</f>
        <v>23557848404.487492</v>
      </c>
      <c r="I29" s="23"/>
    </row>
    <row r="30" spans="1:9" x14ac:dyDescent="0.2">
      <c r="A30" s="29"/>
      <c r="F30" s="17"/>
      <c r="G30" s="17"/>
      <c r="H30" s="33"/>
      <c r="I30" s="32"/>
    </row>
    <row r="31" spans="1:9" ht="12" thickBot="1" x14ac:dyDescent="0.25">
      <c r="A31" s="8"/>
      <c r="B31" s="34"/>
      <c r="C31" s="34"/>
      <c r="D31" s="9"/>
      <c r="E31" s="34"/>
      <c r="F31" s="34"/>
      <c r="G31" s="34"/>
      <c r="H31" s="34"/>
      <c r="I31" s="10"/>
    </row>
    <row r="33" spans="2:9" x14ac:dyDescent="0.2">
      <c r="B33" s="178" t="s">
        <v>129</v>
      </c>
      <c r="D33" s="174"/>
      <c r="H33" s="176">
        <v>23557848404.487492</v>
      </c>
    </row>
    <row r="34" spans="2:9" x14ac:dyDescent="0.2">
      <c r="C34" s="25"/>
      <c r="D34" s="46"/>
      <c r="E34" s="25"/>
      <c r="F34" s="25"/>
      <c r="G34" s="25"/>
      <c r="H34" s="177">
        <f>+H29-H33</f>
        <v>0</v>
      </c>
      <c r="I34" s="25" t="s">
        <v>133</v>
      </c>
    </row>
  </sheetData>
  <mergeCells count="2">
    <mergeCell ref="A1:I1"/>
    <mergeCell ref="A2:I2"/>
  </mergeCells>
  <phoneticPr fontId="4" type="noConversion"/>
  <printOptions horizontalCentered="1"/>
  <pageMargins left="0.7" right="0.7" top="0.75" bottom="0.75" header="0.3" footer="0.3"/>
  <pageSetup fitToHeight="6" orientation="landscape" r:id="rId1"/>
  <headerFooter alignWithMargins="0">
    <oddFooter>&amp;L&amp;F
&amp;A&amp;RSchedule 95A Filing Eff 1-1-21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pane ySplit="2" topLeftCell="A3" activePane="bottomLeft" state="frozen"/>
      <selection activeCell="D16" sqref="D16"/>
      <selection pane="bottomLeft" activeCell="D16" sqref="D16"/>
    </sheetView>
  </sheetViews>
  <sheetFormatPr defaultColWidth="9.140625" defaultRowHeight="11.25" x14ac:dyDescent="0.2"/>
  <cols>
    <col min="1" max="1" width="45" style="42" customWidth="1"/>
    <col min="2" max="2" width="8.42578125" style="42" bestFit="1" customWidth="1"/>
    <col min="3" max="3" width="10.140625" style="42" bestFit="1" customWidth="1"/>
    <col min="4" max="6" width="8.85546875" style="42" bestFit="1" customWidth="1"/>
    <col min="7" max="7" width="7.140625" style="42" bestFit="1" customWidth="1"/>
    <col min="8" max="8" width="8.85546875" style="42" bestFit="1" customWidth="1"/>
    <col min="9" max="9" width="7.85546875" style="42" bestFit="1" customWidth="1"/>
    <col min="10" max="10" width="10.85546875" style="42" customWidth="1"/>
    <col min="11" max="11" width="10.7109375" style="42" customWidth="1"/>
    <col min="12" max="13" width="8" style="42" bestFit="1" customWidth="1"/>
    <col min="14" max="15" width="7.140625" style="42" bestFit="1" customWidth="1"/>
    <col min="16" max="16" width="9.7109375" style="42" bestFit="1" customWidth="1"/>
    <col min="17" max="17" width="9.5703125" style="42" bestFit="1" customWidth="1"/>
    <col min="18" max="18" width="9.7109375" style="42" bestFit="1" customWidth="1"/>
    <col min="19" max="19" width="8" style="42" bestFit="1" customWidth="1"/>
    <col min="20" max="20" width="10.140625" style="42" bestFit="1" customWidth="1"/>
    <col min="21" max="16384" width="9.140625" style="42"/>
  </cols>
  <sheetData>
    <row r="1" spans="1:20" ht="22.5" x14ac:dyDescent="0.2">
      <c r="J1" s="44"/>
      <c r="K1" s="44"/>
      <c r="M1" s="193" t="s">
        <v>55</v>
      </c>
      <c r="N1" s="194"/>
      <c r="O1" s="172" t="s">
        <v>57</v>
      </c>
      <c r="P1" s="194" t="s">
        <v>56</v>
      </c>
      <c r="Q1" s="194"/>
      <c r="R1" s="194"/>
      <c r="S1" s="197" t="s">
        <v>54</v>
      </c>
    </row>
    <row r="2" spans="1:20" s="198" customFormat="1" x14ac:dyDescent="0.2">
      <c r="A2" s="198" t="s">
        <v>31</v>
      </c>
      <c r="B2" s="198" t="s">
        <v>32</v>
      </c>
      <c r="C2" s="198" t="s">
        <v>33</v>
      </c>
      <c r="D2" s="198" t="s">
        <v>34</v>
      </c>
      <c r="E2" s="198" t="s">
        <v>35</v>
      </c>
      <c r="F2" s="198" t="s">
        <v>36</v>
      </c>
      <c r="G2" s="198" t="s">
        <v>37</v>
      </c>
      <c r="H2" s="198" t="s">
        <v>38</v>
      </c>
      <c r="I2" s="198" t="s">
        <v>39</v>
      </c>
      <c r="J2" s="199" t="s">
        <v>40</v>
      </c>
      <c r="K2" s="199" t="s">
        <v>41</v>
      </c>
      <c r="L2" s="198" t="s">
        <v>42</v>
      </c>
      <c r="M2" s="200" t="s">
        <v>43</v>
      </c>
      <c r="N2" s="199" t="s">
        <v>44</v>
      </c>
      <c r="O2" s="199" t="s">
        <v>45</v>
      </c>
      <c r="P2" s="199" t="s">
        <v>46</v>
      </c>
      <c r="Q2" s="199" t="s">
        <v>47</v>
      </c>
      <c r="R2" s="199" t="s">
        <v>48</v>
      </c>
      <c r="S2" s="201" t="s">
        <v>49</v>
      </c>
      <c r="T2" s="198" t="s">
        <v>50</v>
      </c>
    </row>
    <row r="3" spans="1:20" x14ac:dyDescent="0.2">
      <c r="A3" s="202" t="s">
        <v>135</v>
      </c>
      <c r="B3" s="42" t="s">
        <v>51</v>
      </c>
      <c r="C3" s="203">
        <v>2380722.756982605</v>
      </c>
      <c r="D3" s="203">
        <v>525105.88053273014</v>
      </c>
      <c r="E3" s="203">
        <v>604143.7372905938</v>
      </c>
      <c r="F3" s="203">
        <v>334154.10895197955</v>
      </c>
      <c r="G3" s="203">
        <v>6060.4828574445937</v>
      </c>
      <c r="H3" s="203">
        <v>221570.984135248</v>
      </c>
      <c r="I3" s="203">
        <v>12606.283161165866</v>
      </c>
      <c r="J3" s="203">
        <v>13840.468558660448</v>
      </c>
      <c r="K3" s="203">
        <v>20965.764994726502</v>
      </c>
      <c r="L3" s="203">
        <v>76517.572043898224</v>
      </c>
      <c r="M3" s="204">
        <v>15724.002437107627</v>
      </c>
      <c r="N3" s="205">
        <v>1522.3138700089121</v>
      </c>
      <c r="O3" s="205">
        <v>736.75218155490313</v>
      </c>
      <c r="P3" s="205">
        <v>216017.33356621349</v>
      </c>
      <c r="Q3" s="205">
        <v>2195.2116853547045</v>
      </c>
      <c r="R3" s="205">
        <v>40838.635734974283</v>
      </c>
      <c r="S3" s="206">
        <v>57294.154549501436</v>
      </c>
      <c r="T3" s="203">
        <v>3819000</v>
      </c>
    </row>
    <row r="4" spans="1:20" x14ac:dyDescent="0.2">
      <c r="A4" s="202" t="s">
        <v>136</v>
      </c>
      <c r="B4" s="42" t="s">
        <v>51</v>
      </c>
      <c r="C4" s="203">
        <v>2155596.4499268313</v>
      </c>
      <c r="D4" s="203">
        <v>510557.50280231441</v>
      </c>
      <c r="E4" s="203">
        <v>592358.11223211908</v>
      </c>
      <c r="F4" s="203">
        <v>347641.22131606832</v>
      </c>
      <c r="G4" s="203">
        <v>5712.5544887520582</v>
      </c>
      <c r="H4" s="203">
        <v>233831.67618719529</v>
      </c>
      <c r="I4" s="203">
        <v>13416.993355747254</v>
      </c>
      <c r="J4" s="203">
        <v>17681.035255533166</v>
      </c>
      <c r="K4" s="203">
        <v>19995.023399845795</v>
      </c>
      <c r="L4" s="203">
        <v>78059.221117281195</v>
      </c>
      <c r="M4" s="204">
        <v>15724.002437107627</v>
      </c>
      <c r="N4" s="205">
        <v>1522.3138700089121</v>
      </c>
      <c r="O4" s="205">
        <v>578.74061223203375</v>
      </c>
      <c r="P4" s="205">
        <v>217402.11662310065</v>
      </c>
      <c r="Q4" s="205">
        <v>2288.7379356503757</v>
      </c>
      <c r="R4" s="205">
        <v>41672.299431014799</v>
      </c>
      <c r="S4" s="206">
        <v>55317.470364924404</v>
      </c>
      <c r="T4" s="203">
        <v>3597000</v>
      </c>
    </row>
    <row r="5" spans="1:20" x14ac:dyDescent="0.2">
      <c r="A5" s="202" t="s">
        <v>137</v>
      </c>
      <c r="B5" s="42" t="s">
        <v>51</v>
      </c>
      <c r="C5" s="203">
        <v>1632464.5390139406</v>
      </c>
      <c r="D5" s="203">
        <v>452918.01348769636</v>
      </c>
      <c r="E5" s="203">
        <v>542633.03349840094</v>
      </c>
      <c r="F5" s="203">
        <v>320729.1997472822</v>
      </c>
      <c r="G5" s="203">
        <v>4581.3165605932945</v>
      </c>
      <c r="H5" s="203">
        <v>226960.12285680388</v>
      </c>
      <c r="I5" s="203">
        <v>8946.1267878977178</v>
      </c>
      <c r="J5" s="203">
        <v>21342.360403129995</v>
      </c>
      <c r="K5" s="203">
        <v>19391.010263129905</v>
      </c>
      <c r="L5" s="203">
        <v>74417.012855840861</v>
      </c>
      <c r="M5" s="204">
        <v>15724.002437107627</v>
      </c>
      <c r="N5" s="205">
        <v>1522.3138700089121</v>
      </c>
      <c r="O5" s="205">
        <v>705.94375841669932</v>
      </c>
      <c r="P5" s="205">
        <v>212525.20985869784</v>
      </c>
      <c r="Q5" s="205">
        <v>2144.5994335712335</v>
      </c>
      <c r="R5" s="205">
        <v>41236.054065774966</v>
      </c>
      <c r="S5" s="206">
        <v>50796.39352394508</v>
      </c>
      <c r="T5" s="203">
        <v>3044000</v>
      </c>
    </row>
    <row r="6" spans="1:20" x14ac:dyDescent="0.2">
      <c r="A6" s="202" t="s">
        <v>138</v>
      </c>
      <c r="B6" s="42" t="s">
        <v>51</v>
      </c>
      <c r="C6" s="203">
        <v>1831932.6655168564</v>
      </c>
      <c r="D6" s="203">
        <v>408892.51884098921</v>
      </c>
      <c r="E6" s="203">
        <v>523445.38855120703</v>
      </c>
      <c r="F6" s="203">
        <v>299806.67857510602</v>
      </c>
      <c r="G6" s="203">
        <v>3373.1102198411604</v>
      </c>
      <c r="H6" s="203">
        <v>209845.65469796222</v>
      </c>
      <c r="I6" s="203">
        <v>10285.377069191343</v>
      </c>
      <c r="J6" s="203">
        <v>31879.3157150714</v>
      </c>
      <c r="K6" s="203">
        <v>17119.411207658457</v>
      </c>
      <c r="L6" s="203">
        <v>74933.752980660152</v>
      </c>
      <c r="M6" s="204">
        <v>15724.002437107627</v>
      </c>
      <c r="N6" s="205">
        <v>1522.3138700089121</v>
      </c>
      <c r="O6" s="205">
        <v>877.90568836692819</v>
      </c>
      <c r="P6" s="205">
        <v>209646.69232613209</v>
      </c>
      <c r="Q6" s="205">
        <v>1859.287528717434</v>
      </c>
      <c r="R6" s="205">
        <v>39958.392421886805</v>
      </c>
      <c r="S6" s="206">
        <v>48522.238151840444</v>
      </c>
      <c r="T6" s="203">
        <v>3071000</v>
      </c>
    </row>
    <row r="7" spans="1:20" x14ac:dyDescent="0.2">
      <c r="A7" s="202" t="s">
        <v>139</v>
      </c>
      <c r="B7" s="42" t="s">
        <v>51</v>
      </c>
      <c r="C7" s="203">
        <v>2585396.8408402754</v>
      </c>
      <c r="D7" s="203">
        <v>538674.06782019581</v>
      </c>
      <c r="E7" s="203">
        <v>558610.17489918694</v>
      </c>
      <c r="F7" s="203">
        <v>302796.24447951716</v>
      </c>
      <c r="G7" s="203">
        <v>687.3279519103454</v>
      </c>
      <c r="H7" s="203">
        <v>222490.4522930914</v>
      </c>
      <c r="I7" s="203">
        <v>116.10632754592959</v>
      </c>
      <c r="J7" s="203">
        <v>47836.125725671249</v>
      </c>
      <c r="K7" s="203">
        <v>14181.463600435236</v>
      </c>
      <c r="L7" s="203">
        <v>76458.602175815206</v>
      </c>
      <c r="M7" s="204">
        <v>15724.002437107627</v>
      </c>
      <c r="N7" s="205">
        <v>1522.3138700089121</v>
      </c>
      <c r="O7" s="205">
        <v>2630.4789425487211</v>
      </c>
      <c r="P7" s="205">
        <v>210360.47139487398</v>
      </c>
      <c r="Q7" s="205">
        <v>1901.9959636223907</v>
      </c>
      <c r="R7" s="205">
        <v>39526.963286251827</v>
      </c>
      <c r="S7" s="206">
        <v>57441.220449930064</v>
      </c>
      <c r="T7" s="203">
        <v>4114000</v>
      </c>
    </row>
    <row r="8" spans="1:20" x14ac:dyDescent="0.2">
      <c r="A8" s="202" t="s">
        <v>140</v>
      </c>
      <c r="B8" s="42" t="s">
        <v>51</v>
      </c>
      <c r="C8" s="203">
        <v>3130090.1007401813</v>
      </c>
      <c r="D8" s="203">
        <v>616694.27801634744</v>
      </c>
      <c r="E8" s="203">
        <v>605009.67551401851</v>
      </c>
      <c r="F8" s="203">
        <v>318401.17957452557</v>
      </c>
      <c r="G8" s="203">
        <v>554.85816022417282</v>
      </c>
      <c r="H8" s="203">
        <v>225278.5247955205</v>
      </c>
      <c r="I8" s="203">
        <v>229.9344650629271</v>
      </c>
      <c r="J8" s="203">
        <v>47640.73502737243</v>
      </c>
      <c r="K8" s="203">
        <v>16492.601689995154</v>
      </c>
      <c r="L8" s="203">
        <v>76667.953108310554</v>
      </c>
      <c r="M8" s="204">
        <v>15724.002437107627</v>
      </c>
      <c r="N8" s="205">
        <v>1522.3138700089121</v>
      </c>
      <c r="O8" s="205">
        <v>3095.6539709905287</v>
      </c>
      <c r="P8" s="205">
        <v>211161.87083000885</v>
      </c>
      <c r="Q8" s="205">
        <v>2199.8970821198091</v>
      </c>
      <c r="R8" s="205">
        <v>36549.443326649831</v>
      </c>
      <c r="S8" s="206">
        <v>63174.040908777315</v>
      </c>
      <c r="T8" s="203">
        <v>4807000</v>
      </c>
    </row>
    <row r="9" spans="1:20" x14ac:dyDescent="0.2">
      <c r="A9" s="202" t="s">
        <v>141</v>
      </c>
      <c r="B9" s="42" t="s">
        <v>51</v>
      </c>
      <c r="C9" s="203">
        <v>2591082.7772736493</v>
      </c>
      <c r="D9" s="203">
        <v>545316.86458367843</v>
      </c>
      <c r="E9" s="203">
        <v>582367.20907463471</v>
      </c>
      <c r="F9" s="203">
        <v>309339.08130697929</v>
      </c>
      <c r="G9" s="203">
        <v>624.0947173299478</v>
      </c>
      <c r="H9" s="203">
        <v>225148.08048421866</v>
      </c>
      <c r="I9" s="203">
        <v>70.786618756102826</v>
      </c>
      <c r="J9" s="203">
        <v>52733.545500720669</v>
      </c>
      <c r="K9" s="203">
        <v>18219.86893155396</v>
      </c>
      <c r="L9" s="203">
        <v>75239.926090283014</v>
      </c>
      <c r="M9" s="204">
        <v>15724.002437107627</v>
      </c>
      <c r="N9" s="205">
        <v>1522.3138700089121</v>
      </c>
      <c r="O9" s="205">
        <v>2092.7215072426338</v>
      </c>
      <c r="P9" s="205">
        <v>210009.77008450258</v>
      </c>
      <c r="Q9" s="205">
        <v>2100.6420440222664</v>
      </c>
      <c r="R9" s="205">
        <v>40892.023416228098</v>
      </c>
      <c r="S9" s="206">
        <v>62849.871841220302</v>
      </c>
      <c r="T9" s="203">
        <v>4329000</v>
      </c>
    </row>
    <row r="10" spans="1:20" x14ac:dyDescent="0.2">
      <c r="A10" s="202" t="s">
        <v>142</v>
      </c>
      <c r="B10" s="42" t="s">
        <v>51</v>
      </c>
      <c r="C10" s="203">
        <v>2611543.1898487071</v>
      </c>
      <c r="D10" s="203">
        <v>538322.46575711016</v>
      </c>
      <c r="E10" s="203">
        <v>569525.96530260623</v>
      </c>
      <c r="F10" s="203">
        <v>305742.22191385704</v>
      </c>
      <c r="G10" s="203">
        <v>620.27573266210288</v>
      </c>
      <c r="H10" s="203">
        <v>232445.85652849221</v>
      </c>
      <c r="I10" s="203">
        <v>63.21977330286424</v>
      </c>
      <c r="J10" s="203">
        <v>51331.239487550418</v>
      </c>
      <c r="K10" s="203">
        <v>14077.070708007737</v>
      </c>
      <c r="L10" s="203">
        <v>77634.823202061962</v>
      </c>
      <c r="M10" s="204">
        <v>15724.002437107627</v>
      </c>
      <c r="N10" s="205">
        <v>1522.3138700089121</v>
      </c>
      <c r="O10" s="205">
        <v>2355.9808707253965</v>
      </c>
      <c r="P10" s="205">
        <v>209519.02356534256</v>
      </c>
      <c r="Q10" s="205">
        <v>1879.9819700466639</v>
      </c>
      <c r="R10" s="205">
        <v>38417.650851533399</v>
      </c>
      <c r="S10" s="206">
        <v>61585.709147827991</v>
      </c>
      <c r="T10" s="203">
        <v>4308000</v>
      </c>
    </row>
    <row r="11" spans="1:20" x14ac:dyDescent="0.2">
      <c r="A11" s="202" t="s">
        <v>143</v>
      </c>
      <c r="B11" s="42" t="s">
        <v>51</v>
      </c>
      <c r="C11" s="203">
        <v>2289724.1457708883</v>
      </c>
      <c r="D11" s="203">
        <v>513583.72889096919</v>
      </c>
      <c r="E11" s="203">
        <v>552811.95409818413</v>
      </c>
      <c r="F11" s="203">
        <v>301282.04801595834</v>
      </c>
      <c r="G11" s="203">
        <v>975.49513619770698</v>
      </c>
      <c r="H11" s="203">
        <v>230539.47751019328</v>
      </c>
      <c r="I11" s="203">
        <v>48.574265974015383</v>
      </c>
      <c r="J11" s="203">
        <v>47296.035269320055</v>
      </c>
      <c r="K11" s="203">
        <v>15544.554476479232</v>
      </c>
      <c r="L11" s="203">
        <v>76817.761898510624</v>
      </c>
      <c r="M11" s="204">
        <v>15724.002437107627</v>
      </c>
      <c r="N11" s="205">
        <v>1522.3138700089121</v>
      </c>
      <c r="O11" s="205">
        <v>1923.2179070666245</v>
      </c>
      <c r="P11" s="205">
        <v>202647.67052630195</v>
      </c>
      <c r="Q11" s="205">
        <v>1718.4754195555076</v>
      </c>
      <c r="R11" s="205">
        <v>38309.000701423851</v>
      </c>
      <c r="S11" s="206">
        <v>60277.744373587469</v>
      </c>
      <c r="T11" s="203">
        <v>3925000</v>
      </c>
    </row>
    <row r="12" spans="1:20" x14ac:dyDescent="0.2">
      <c r="A12" s="202" t="s">
        <v>144</v>
      </c>
      <c r="B12" s="42" t="s">
        <v>51</v>
      </c>
      <c r="C12" s="203">
        <v>2091932.0236430925</v>
      </c>
      <c r="D12" s="203">
        <v>456057.2775334178</v>
      </c>
      <c r="E12" s="203">
        <v>507418.5419143755</v>
      </c>
      <c r="F12" s="203">
        <v>281463.62498737709</v>
      </c>
      <c r="G12" s="203">
        <v>1967.499843412189</v>
      </c>
      <c r="H12" s="203">
        <v>218366.38098646887</v>
      </c>
      <c r="I12" s="203">
        <v>6342.8878601948363</v>
      </c>
      <c r="J12" s="203">
        <v>41408.113263094936</v>
      </c>
      <c r="K12" s="203">
        <v>11629.899876104415</v>
      </c>
      <c r="L12" s="203">
        <v>76955.330853692896</v>
      </c>
      <c r="M12" s="204">
        <v>15724.002437107627</v>
      </c>
      <c r="N12" s="205">
        <v>1522.3138700089121</v>
      </c>
      <c r="O12" s="205">
        <v>1243.0711916480311</v>
      </c>
      <c r="P12" s="205">
        <v>191221.64314943217</v>
      </c>
      <c r="Q12" s="205">
        <v>1487.0595932008944</v>
      </c>
      <c r="R12" s="205">
        <v>16901.32422464023</v>
      </c>
      <c r="S12" s="206">
        <v>56284.607007589555</v>
      </c>
      <c r="T12" s="203">
        <v>3411000</v>
      </c>
    </row>
    <row r="13" spans="1:20" x14ac:dyDescent="0.2">
      <c r="A13" s="202" t="s">
        <v>145</v>
      </c>
      <c r="B13" s="42" t="s">
        <v>51</v>
      </c>
      <c r="C13" s="203">
        <v>1931321.9307504187</v>
      </c>
      <c r="D13" s="203">
        <v>440380.47791076032</v>
      </c>
      <c r="E13" s="203">
        <v>559212.82029538625</v>
      </c>
      <c r="F13" s="203">
        <v>306441.45589192252</v>
      </c>
      <c r="G13" s="203">
        <v>4112.250073017367</v>
      </c>
      <c r="H13" s="203">
        <v>216653.12100032828</v>
      </c>
      <c r="I13" s="203">
        <v>5050.0150187759</v>
      </c>
      <c r="J13" s="203">
        <v>26273.911285228747</v>
      </c>
      <c r="K13" s="203">
        <v>17549.539241453225</v>
      </c>
      <c r="L13" s="203">
        <v>77767.765918136429</v>
      </c>
      <c r="M13" s="204">
        <v>15724.002437107627</v>
      </c>
      <c r="N13" s="205">
        <v>1522.3138700089121</v>
      </c>
      <c r="O13" s="205">
        <v>1035.245402330356</v>
      </c>
      <c r="P13" s="205">
        <v>204331.86998716474</v>
      </c>
      <c r="Q13" s="205">
        <v>1024.1023182872405</v>
      </c>
      <c r="R13" s="205">
        <v>37528.24937403667</v>
      </c>
      <c r="S13" s="206">
        <v>51818.889279471201</v>
      </c>
      <c r="T13" s="203">
        <v>3276000</v>
      </c>
    </row>
    <row r="14" spans="1:20" x14ac:dyDescent="0.2">
      <c r="A14" s="202" t="s">
        <v>146</v>
      </c>
      <c r="B14" s="42" t="s">
        <v>51</v>
      </c>
      <c r="C14" s="203">
        <v>1727836.3146268702</v>
      </c>
      <c r="D14" s="203">
        <v>444073.82195353223</v>
      </c>
      <c r="E14" s="203">
        <v>539909.13930528425</v>
      </c>
      <c r="F14" s="203">
        <v>301402.17460735253</v>
      </c>
      <c r="G14" s="203">
        <v>5018.4999501167822</v>
      </c>
      <c r="H14" s="203">
        <v>216778.14472461233</v>
      </c>
      <c r="I14" s="203">
        <v>4285.1940804915712</v>
      </c>
      <c r="J14" s="203">
        <v>20571.214029304061</v>
      </c>
      <c r="K14" s="203">
        <v>14336.705913660495</v>
      </c>
      <c r="L14" s="203">
        <v>80504.73246657358</v>
      </c>
      <c r="M14" s="204">
        <v>15724.002437107627</v>
      </c>
      <c r="N14" s="205">
        <v>1522.3138700089121</v>
      </c>
      <c r="O14" s="205">
        <v>544.46277207376158</v>
      </c>
      <c r="P14" s="205">
        <v>215086.31526548922</v>
      </c>
      <c r="Q14" s="205">
        <v>868.1978951934924</v>
      </c>
      <c r="R14" s="205">
        <v>38816.568401735589</v>
      </c>
      <c r="S14" s="206">
        <v>49051.632842023493</v>
      </c>
      <c r="T14" s="203">
        <v>3090000</v>
      </c>
    </row>
    <row r="15" spans="1:20" x14ac:dyDescent="0.2">
      <c r="J15" s="207"/>
      <c r="K15" s="207"/>
      <c r="M15" s="208"/>
      <c r="N15" s="207"/>
      <c r="O15" s="207"/>
      <c r="P15" s="207"/>
      <c r="Q15" s="207"/>
      <c r="R15" s="207"/>
      <c r="S15" s="209"/>
    </row>
    <row r="16" spans="1:20" x14ac:dyDescent="0.2">
      <c r="J16" s="207"/>
      <c r="K16" s="207"/>
      <c r="M16" s="208"/>
      <c r="N16" s="207"/>
      <c r="O16" s="207"/>
      <c r="P16" s="207"/>
      <c r="Q16" s="207"/>
      <c r="R16" s="207"/>
      <c r="S16" s="209"/>
    </row>
    <row r="17" spans="1:20" x14ac:dyDescent="0.2">
      <c r="A17" s="210" t="s">
        <v>52</v>
      </c>
      <c r="B17" s="211"/>
      <c r="C17" s="211">
        <f>SUM(C3:C14)/12</f>
        <v>2246636.9779111929</v>
      </c>
      <c r="D17" s="211">
        <f t="shared" ref="D17:S17" si="0">SUM(D3:D14)/12</f>
        <v>499214.74151081179</v>
      </c>
      <c r="E17" s="211">
        <f t="shared" si="0"/>
        <v>561453.81266466633</v>
      </c>
      <c r="F17" s="211">
        <f t="shared" si="0"/>
        <v>310766.60328066041</v>
      </c>
      <c r="G17" s="211">
        <f t="shared" si="0"/>
        <v>2857.3138076251435</v>
      </c>
      <c r="H17" s="211">
        <f t="shared" si="0"/>
        <v>223325.7063500112</v>
      </c>
      <c r="I17" s="211">
        <f t="shared" si="0"/>
        <v>5121.7915653421942</v>
      </c>
      <c r="J17" s="212">
        <f>SUM(J3:J14)/12</f>
        <v>34986.174960054799</v>
      </c>
      <c r="K17" s="212">
        <f t="shared" si="0"/>
        <v>16625.24285858751</v>
      </c>
      <c r="L17" s="211">
        <f t="shared" si="0"/>
        <v>76831.204559255377</v>
      </c>
      <c r="M17" s="213">
        <f t="shared" si="0"/>
        <v>15724.002437107623</v>
      </c>
      <c r="N17" s="212">
        <f t="shared" si="0"/>
        <v>1522.3138700089119</v>
      </c>
      <c r="O17" s="212">
        <f t="shared" si="0"/>
        <v>1485.0145670997181</v>
      </c>
      <c r="P17" s="212">
        <f t="shared" si="0"/>
        <v>209160.83226477169</v>
      </c>
      <c r="Q17" s="212">
        <f t="shared" si="0"/>
        <v>1805.6824057785009</v>
      </c>
      <c r="R17" s="212">
        <f t="shared" si="0"/>
        <v>37553.883769679196</v>
      </c>
      <c r="S17" s="214">
        <f t="shared" si="0"/>
        <v>56201.164370053237</v>
      </c>
      <c r="T17" s="211">
        <f>SUM(C17:S17)</f>
        <v>4301272.4631527057</v>
      </c>
    </row>
    <row r="18" spans="1:20" x14ac:dyDescent="0.2">
      <c r="A18" s="210" t="s">
        <v>53</v>
      </c>
      <c r="B18" s="215"/>
      <c r="C18" s="211">
        <f>+C17</f>
        <v>2246636.9779111929</v>
      </c>
      <c r="D18" s="211">
        <f t="shared" ref="D18:L18" si="1">+D17</f>
        <v>499214.74151081179</v>
      </c>
      <c r="E18" s="211">
        <f t="shared" si="1"/>
        <v>561453.81266466633</v>
      </c>
      <c r="F18" s="211">
        <f t="shared" si="1"/>
        <v>310766.60328066041</v>
      </c>
      <c r="G18" s="211">
        <f t="shared" si="1"/>
        <v>2857.3138076251435</v>
      </c>
      <c r="H18" s="211">
        <f t="shared" si="1"/>
        <v>223325.7063500112</v>
      </c>
      <c r="I18" s="211">
        <f t="shared" si="1"/>
        <v>5121.7915653421942</v>
      </c>
      <c r="J18" s="211">
        <f t="shared" si="1"/>
        <v>34986.174960054799</v>
      </c>
      <c r="K18" s="211">
        <f t="shared" si="1"/>
        <v>16625.24285858751</v>
      </c>
      <c r="L18" s="211">
        <f t="shared" si="1"/>
        <v>76831.204559255377</v>
      </c>
      <c r="M18" s="213">
        <v>0</v>
      </c>
      <c r="N18" s="212">
        <v>0</v>
      </c>
      <c r="O18" s="212">
        <v>0</v>
      </c>
      <c r="P18" s="212">
        <v>0</v>
      </c>
      <c r="Q18" s="212">
        <v>0</v>
      </c>
      <c r="R18" s="212">
        <v>0</v>
      </c>
      <c r="S18" s="214">
        <v>0</v>
      </c>
      <c r="T18" s="211">
        <f t="shared" ref="T18:T19" si="2">SUM(C18:S18)</f>
        <v>3977819.5694682077</v>
      </c>
    </row>
    <row r="19" spans="1:20" x14ac:dyDescent="0.2">
      <c r="A19" s="210" t="s">
        <v>63</v>
      </c>
      <c r="B19" s="215"/>
      <c r="C19" s="216">
        <f>+C18/$T$18</f>
        <v>0.5647910717608402</v>
      </c>
      <c r="D19" s="216">
        <f t="shared" ref="D19:S19" si="3">+D18/$T$18</f>
        <v>0.12549959413507322</v>
      </c>
      <c r="E19" s="216">
        <f t="shared" si="3"/>
        <v>0.14114612361357726</v>
      </c>
      <c r="F19" s="216">
        <f t="shared" si="3"/>
        <v>7.812486158647125E-2</v>
      </c>
      <c r="G19" s="216">
        <f t="shared" si="3"/>
        <v>7.1831156685850785E-4</v>
      </c>
      <c r="H19" s="216">
        <f t="shared" si="3"/>
        <v>5.6142744146604792E-2</v>
      </c>
      <c r="I19" s="216">
        <f>+I18/$T$18</f>
        <v>1.2875877037396453E-3</v>
      </c>
      <c r="J19" s="217">
        <f>+J18/$T$18</f>
        <v>8.7953147067281589E-3</v>
      </c>
      <c r="K19" s="217">
        <f t="shared" si="3"/>
        <v>4.1794864166778004E-3</v>
      </c>
      <c r="L19" s="216">
        <f t="shared" si="3"/>
        <v>1.9314904363429159E-2</v>
      </c>
      <c r="M19" s="218">
        <f t="shared" si="3"/>
        <v>0</v>
      </c>
      <c r="N19" s="219">
        <f t="shared" si="3"/>
        <v>0</v>
      </c>
      <c r="O19" s="219">
        <f t="shared" si="3"/>
        <v>0</v>
      </c>
      <c r="P19" s="219">
        <f t="shared" si="3"/>
        <v>0</v>
      </c>
      <c r="Q19" s="219">
        <f t="shared" si="3"/>
        <v>0</v>
      </c>
      <c r="R19" s="219">
        <f t="shared" si="3"/>
        <v>0</v>
      </c>
      <c r="S19" s="220">
        <f t="shared" si="3"/>
        <v>0</v>
      </c>
      <c r="T19" s="216">
        <f t="shared" si="2"/>
        <v>0.99999999999999989</v>
      </c>
    </row>
    <row r="48" spans="6:6" x14ac:dyDescent="0.2">
      <c r="F48" s="221"/>
    </row>
  </sheetData>
  <mergeCells count="2">
    <mergeCell ref="P1:R1"/>
    <mergeCell ref="M1:N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pane ySplit="4" topLeftCell="A5" activePane="bottomLeft" state="frozen"/>
      <selection activeCell="E23" sqref="E23"/>
      <selection pane="bottomLeft" activeCell="D16" sqref="D16"/>
    </sheetView>
  </sheetViews>
  <sheetFormatPr defaultColWidth="9.140625" defaultRowHeight="11.25" x14ac:dyDescent="0.2"/>
  <cols>
    <col min="1" max="1" width="29.7109375" style="40" bestFit="1" customWidth="1"/>
    <col min="2" max="2" width="8.7109375" style="41" bestFit="1" customWidth="1"/>
    <col min="3" max="16384" width="9.140625" style="40"/>
  </cols>
  <sheetData>
    <row r="1" spans="1:2" x14ac:dyDescent="0.2">
      <c r="A1" s="74" t="s">
        <v>59</v>
      </c>
      <c r="B1" s="195">
        <v>45778</v>
      </c>
    </row>
    <row r="2" spans="1:2" x14ac:dyDescent="0.2">
      <c r="A2" s="74" t="s">
        <v>60</v>
      </c>
      <c r="B2" s="196">
        <v>46142</v>
      </c>
    </row>
    <row r="3" spans="1:2" x14ac:dyDescent="0.2">
      <c r="A3" s="74" t="s">
        <v>61</v>
      </c>
      <c r="B3" s="195">
        <v>45352</v>
      </c>
    </row>
    <row r="4" spans="1:2" x14ac:dyDescent="0.2">
      <c r="A4" s="40" t="s">
        <v>62</v>
      </c>
      <c r="B4" s="41" t="s">
        <v>117</v>
      </c>
    </row>
    <row r="17" spans="1:1" ht="12.75" x14ac:dyDescent="0.2">
      <c r="A17" s="43"/>
    </row>
  </sheetData>
  <printOptions horizontalCentered="1"/>
  <pageMargins left="0.7" right="0.7" top="0.75" bottom="0.75" header="0.3" footer="0.3"/>
  <pageSetup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CCC7584238044FA8D67604C46912DF" ma:contentTypeVersion="19" ma:contentTypeDescription="" ma:contentTypeScope="" ma:versionID="32829954c260654b73d73713a6ed076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250197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C204D6-E85C-432B-9A90-D6C665573FE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7372554-19AF-4C5C-BDB7-848710206ECC}"/>
</file>

<file path=customXml/itemProps3.xml><?xml version="1.0" encoding="utf-8"?>
<ds:datastoreItem xmlns:ds="http://schemas.openxmlformats.org/officeDocument/2006/customXml" ds:itemID="{E2F61332-0523-43F7-9383-E50404508992}"/>
</file>

<file path=customXml/itemProps4.xml><?xml version="1.0" encoding="utf-8"?>
<ds:datastoreItem xmlns:ds="http://schemas.openxmlformats.org/officeDocument/2006/customXml" ds:itemID="{E9ABD2F3-1B11-4325-B7A0-0FDBEDED17FB}"/>
</file>

<file path=customXml/itemProps5.xml><?xml version="1.0" encoding="utf-8"?>
<ds:datastoreItem xmlns:ds="http://schemas.openxmlformats.org/officeDocument/2006/customXml" ds:itemID="{06A485AE-D8FE-4820-B96D-A8369D21A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Tariff Use&gt;</vt:lpstr>
      <vt:lpstr>Sch 141 TEP Rates</vt:lpstr>
      <vt:lpstr>Rate Impacts</vt:lpstr>
      <vt:lpstr>Workpapers&gt;</vt:lpstr>
      <vt:lpstr>Rate Spread &amp; Design</vt:lpstr>
      <vt:lpstr>TEP 12NCP-2024 GRC</vt:lpstr>
      <vt:lpstr>Inputs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Myhrum, Isaac</cp:lastModifiedBy>
  <cp:lastPrinted>2019-10-28T17:03:02Z</cp:lastPrinted>
  <dcterms:created xsi:type="dcterms:W3CDTF">2006-05-11T20:49:14Z</dcterms:created>
  <dcterms:modified xsi:type="dcterms:W3CDTF">2025-03-08T00:57:01Z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2025-03-07T16:51:18Z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50d6f63e-5d03-4a04-90eb-ceddbc6beddb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0x0101006E56B4D1795A2E4DB2F0B01679ED314A00E2CCC7584238044FA8D67604C46912DF</vt:lpwstr>
  </property>
</Properties>
</file>