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3F69AB96-79E1-4C71-8FB7-9207EE1DDB94}" xr6:coauthVersionLast="47" xr6:coauthVersionMax="47" xr10:uidLastSave="{00000000-0000-0000-0000-000000000000}"/>
  <bookViews>
    <workbookView xWindow="-120" yWindow="-120" windowWidth="20730" windowHeight="11160" tabRatio="886" activeTab="1" xr2:uid="{00000000-000D-0000-FFFF-FFFF00000000}"/>
  </bookViews>
  <sheets>
    <sheet name="References" sheetId="5" r:id="rId1"/>
    <sheet name="Calc. and priceout" sheetId="6" r:id="rId2"/>
    <sheet name="Co. Pro Tonnage" sheetId="2" r:id="rId3"/>
  </sheets>
  <definedNames>
    <definedName name="_xlnm.Print_Area" localSheetId="1">'Calc. and priceout'!$A$1:$T$66</definedName>
    <definedName name="_xlnm.Print_Area" localSheetId="2">'Co. Pro Tonnage'!$A$1:$P$16</definedName>
    <definedName name="_xlnm.Print_Area" localSheetId="0">References!$A$1:$H$64</definedName>
    <definedName name="_xlnm.Print_Titles" localSheetId="1">'Calc. and priceout'!$1:$1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4" i="6" l="1"/>
  <c r="Q63" i="6"/>
  <c r="Q62" i="6"/>
  <c r="H62" i="6"/>
  <c r="Q61" i="6"/>
  <c r="G64" i="6"/>
  <c r="H64" i="6" s="1"/>
  <c r="G63" i="6"/>
  <c r="H63" i="6" s="1"/>
  <c r="G62" i="6"/>
  <c r="G61" i="6"/>
  <c r="H61" i="6" s="1"/>
  <c r="F34" i="6"/>
  <c r="Q34" i="6" s="1"/>
  <c r="F33" i="6"/>
  <c r="Q33" i="6" s="1"/>
  <c r="F32" i="6"/>
  <c r="Q32" i="6"/>
  <c r="F31" i="6"/>
  <c r="Q31" i="6"/>
  <c r="G34" i="6"/>
  <c r="G33" i="6"/>
  <c r="G32" i="6"/>
  <c r="Q60" i="6"/>
  <c r="Q51" i="6"/>
  <c r="G51" i="6"/>
  <c r="H51" i="6" s="1"/>
  <c r="Q56" i="6"/>
  <c r="Q55" i="6"/>
  <c r="Q54" i="6"/>
  <c r="Q53" i="6"/>
  <c r="Q52" i="6"/>
  <c r="Q50" i="6"/>
  <c r="G56" i="6"/>
  <c r="H56" i="6" s="1"/>
  <c r="G55" i="6"/>
  <c r="H55" i="6" s="1"/>
  <c r="G54" i="6"/>
  <c r="H54" i="6" s="1"/>
  <c r="G53" i="6"/>
  <c r="H53" i="6"/>
  <c r="G52" i="6"/>
  <c r="H52" i="6" s="1"/>
  <c r="G50" i="6"/>
  <c r="H50" i="6" s="1"/>
  <c r="Q59" i="6"/>
  <c r="Q58" i="6"/>
  <c r="Q57" i="6"/>
  <c r="G58" i="6"/>
  <c r="H58" i="6"/>
  <c r="G57" i="6"/>
  <c r="H57" i="6"/>
  <c r="K80" i="6"/>
  <c r="G9" i="6"/>
  <c r="G10" i="6"/>
  <c r="G11" i="6"/>
  <c r="G8" i="6"/>
  <c r="G7" i="6"/>
  <c r="H7" i="6" s="1"/>
  <c r="F10" i="6"/>
  <c r="Q10" i="6"/>
  <c r="F11" i="6"/>
  <c r="Q11" i="6"/>
  <c r="Q22" i="6"/>
  <c r="Q20" i="6"/>
  <c r="Q18" i="6"/>
  <c r="G46" i="6"/>
  <c r="G44" i="6"/>
  <c r="G40" i="6"/>
  <c r="G41" i="6"/>
  <c r="I12" i="2"/>
  <c r="I13" i="2"/>
  <c r="J13" i="2" s="1"/>
  <c r="G12" i="2"/>
  <c r="J12" i="2" s="1"/>
  <c r="G13" i="2"/>
  <c r="E11" i="2"/>
  <c r="E14" i="2"/>
  <c r="G23" i="6"/>
  <c r="G21" i="6"/>
  <c r="G22" i="6"/>
  <c r="H22" i="6" s="1"/>
  <c r="G19" i="6"/>
  <c r="G20" i="6"/>
  <c r="H20" i="6" s="1"/>
  <c r="G14" i="6"/>
  <c r="G5" i="6"/>
  <c r="G6" i="6"/>
  <c r="G3" i="6"/>
  <c r="F4" i="6"/>
  <c r="H4" i="6"/>
  <c r="Q4" i="6"/>
  <c r="F5" i="6"/>
  <c r="Q5" i="6"/>
  <c r="F6" i="6"/>
  <c r="Q6" i="6"/>
  <c r="F7" i="6"/>
  <c r="Q7" i="6"/>
  <c r="F8" i="6"/>
  <c r="Q8" i="6"/>
  <c r="F9" i="6"/>
  <c r="H9" i="6" s="1"/>
  <c r="Q9" i="6"/>
  <c r="F12" i="6"/>
  <c r="H12" i="6" s="1"/>
  <c r="Q12" i="6"/>
  <c r="F13" i="6"/>
  <c r="Q13" i="6"/>
  <c r="F14" i="6"/>
  <c r="Q14" i="6"/>
  <c r="F15" i="6"/>
  <c r="Q15" i="6"/>
  <c r="F16" i="6"/>
  <c r="Q16" i="6"/>
  <c r="F17" i="6"/>
  <c r="Q17" i="6"/>
  <c r="F18" i="6"/>
  <c r="F19" i="6"/>
  <c r="H19" i="6" s="1"/>
  <c r="Q19" i="6"/>
  <c r="F20" i="6"/>
  <c r="F21" i="6"/>
  <c r="Q21" i="6"/>
  <c r="F22" i="6"/>
  <c r="F23" i="6"/>
  <c r="H23" i="6" s="1"/>
  <c r="Q23" i="6"/>
  <c r="G48" i="6"/>
  <c r="G49" i="6" s="1"/>
  <c r="G42" i="6"/>
  <c r="G43" i="6"/>
  <c r="G37" i="6"/>
  <c r="G35" i="6"/>
  <c r="G36" i="6"/>
  <c r="H36" i="6" s="1"/>
  <c r="F26" i="6"/>
  <c r="Q26" i="6"/>
  <c r="F27" i="6"/>
  <c r="H27" i="6" s="1"/>
  <c r="F28" i="6"/>
  <c r="H28" i="6" s="1"/>
  <c r="F29" i="6"/>
  <c r="H29" i="6"/>
  <c r="F30" i="6"/>
  <c r="Q30" i="6"/>
  <c r="F35" i="6"/>
  <c r="Q35" i="6" s="1"/>
  <c r="F36" i="6"/>
  <c r="Q36" i="6"/>
  <c r="F37" i="6"/>
  <c r="Q37" i="6"/>
  <c r="F38" i="6"/>
  <c r="Q38" i="6"/>
  <c r="F39" i="6"/>
  <c r="Q39" i="6" s="1"/>
  <c r="F40" i="6"/>
  <c r="F41" i="6"/>
  <c r="F42" i="6"/>
  <c r="Q42" i="6"/>
  <c r="F43" i="6"/>
  <c r="Q43" i="6"/>
  <c r="F44" i="6"/>
  <c r="Q44" i="6" s="1"/>
  <c r="F45" i="6"/>
  <c r="Q45" i="6"/>
  <c r="F46" i="6"/>
  <c r="Q46" i="6"/>
  <c r="F47" i="6"/>
  <c r="Q47" i="6"/>
  <c r="F48" i="6"/>
  <c r="Q48" i="6" s="1"/>
  <c r="F49" i="6"/>
  <c r="Q49" i="6" s="1"/>
  <c r="F25" i="6"/>
  <c r="Q25" i="6"/>
  <c r="F3" i="6"/>
  <c r="E6" i="2"/>
  <c r="D65" i="6"/>
  <c r="G25" i="6"/>
  <c r="G26" i="6"/>
  <c r="G31" i="6"/>
  <c r="H31" i="6" s="1"/>
  <c r="B49" i="5"/>
  <c r="C52" i="5" s="1"/>
  <c r="C53" i="5" s="1"/>
  <c r="C48" i="5"/>
  <c r="C47" i="5"/>
  <c r="B9" i="5"/>
  <c r="B8" i="5"/>
  <c r="F8" i="5" s="1"/>
  <c r="B7" i="5"/>
  <c r="B6" i="5"/>
  <c r="G6" i="5"/>
  <c r="B5" i="5"/>
  <c r="B4" i="5"/>
  <c r="G4" i="5"/>
  <c r="B3" i="5"/>
  <c r="E3" i="5" s="1"/>
  <c r="G3" i="5"/>
  <c r="F8" i="2"/>
  <c r="F11" i="2"/>
  <c r="G11" i="2"/>
  <c r="H8" i="2"/>
  <c r="D4" i="5"/>
  <c r="F4" i="5"/>
  <c r="H4" i="5"/>
  <c r="D6" i="5"/>
  <c r="D3" i="5"/>
  <c r="F3" i="5"/>
  <c r="C4" i="5"/>
  <c r="E4" i="5"/>
  <c r="D7" i="5"/>
  <c r="F7" i="5"/>
  <c r="D9" i="5"/>
  <c r="Q3" i="6"/>
  <c r="C7" i="5"/>
  <c r="E7" i="5"/>
  <c r="H7" i="5"/>
  <c r="G7" i="5"/>
  <c r="F9" i="5"/>
  <c r="E9" i="5"/>
  <c r="H9" i="5"/>
  <c r="C9" i="5"/>
  <c r="G9" i="5"/>
  <c r="E6" i="5"/>
  <c r="H6" i="5"/>
  <c r="C3" i="5"/>
  <c r="C9" i="2"/>
  <c r="E8" i="2"/>
  <c r="G8" i="2" s="1"/>
  <c r="G50" i="5"/>
  <c r="G53" i="5" s="1"/>
  <c r="G57" i="5" s="1"/>
  <c r="D24" i="6"/>
  <c r="G5" i="5"/>
  <c r="F5" i="5"/>
  <c r="E5" i="5"/>
  <c r="C5" i="5"/>
  <c r="D5" i="5"/>
  <c r="H5" i="5"/>
  <c r="F6" i="5"/>
  <c r="C6" i="5"/>
  <c r="H32" i="6"/>
  <c r="H34" i="6"/>
  <c r="H33" i="6"/>
  <c r="G59" i="6"/>
  <c r="H40" i="6"/>
  <c r="D66" i="6"/>
  <c r="H21" i="6"/>
  <c r="H37" i="6"/>
  <c r="H25" i="6"/>
  <c r="H8" i="6"/>
  <c r="F65" i="6"/>
  <c r="H26" i="6"/>
  <c r="H6" i="6"/>
  <c r="G38" i="6"/>
  <c r="G39" i="6" s="1"/>
  <c r="H39" i="6"/>
  <c r="H14" i="6"/>
  <c r="H11" i="6"/>
  <c r="Q40" i="6"/>
  <c r="H42" i="6"/>
  <c r="Q27" i="6"/>
  <c r="H41" i="6"/>
  <c r="H10" i="6"/>
  <c r="H30" i="6"/>
  <c r="H3" i="6"/>
  <c r="G15" i="6"/>
  <c r="H49" i="6"/>
  <c r="G13" i="6"/>
  <c r="H13" i="6" s="1"/>
  <c r="Q28" i="6"/>
  <c r="Q41" i="6"/>
  <c r="H48" i="6"/>
  <c r="H43" i="6"/>
  <c r="H35" i="6"/>
  <c r="Q29" i="6"/>
  <c r="H38" i="6"/>
  <c r="H15" i="6"/>
  <c r="G16" i="6"/>
  <c r="H16" i="6" s="1"/>
  <c r="G17" i="6"/>
  <c r="H8" i="5" l="1"/>
  <c r="G6" i="2"/>
  <c r="G9" i="2" s="1"/>
  <c r="I6" i="2"/>
  <c r="J6" i="2" s="1"/>
  <c r="E9" i="2"/>
  <c r="H46" i="6"/>
  <c r="H65" i="6" s="1"/>
  <c r="H68" i="6" s="1"/>
  <c r="G47" i="6"/>
  <c r="H47" i="6" s="1"/>
  <c r="H17" i="6"/>
  <c r="G18" i="6"/>
  <c r="H18" i="6" s="1"/>
  <c r="F24" i="6"/>
  <c r="H5" i="6"/>
  <c r="C49" i="5"/>
  <c r="H24" i="6"/>
  <c r="H59" i="6"/>
  <c r="G60" i="6"/>
  <c r="H60" i="6" s="1"/>
  <c r="H11" i="2"/>
  <c r="I11" i="2" s="1"/>
  <c r="I8" i="2"/>
  <c r="Q65" i="6"/>
  <c r="G14" i="2"/>
  <c r="Q24" i="6"/>
  <c r="Q66" i="6" s="1"/>
  <c r="E8" i="5"/>
  <c r="G8" i="5"/>
  <c r="D8" i="5"/>
  <c r="C8" i="5"/>
  <c r="G45" i="6"/>
  <c r="H45" i="6" s="1"/>
  <c r="H44" i="6"/>
  <c r="H3" i="5"/>
  <c r="G16" i="2" l="1"/>
  <c r="E16" i="2"/>
  <c r="C73" i="6"/>
  <c r="H66" i="6"/>
  <c r="C75" i="6"/>
  <c r="F66" i="6"/>
  <c r="J8" i="2"/>
  <c r="J9" i="2" s="1"/>
  <c r="I9" i="2"/>
  <c r="J11" i="2"/>
  <c r="J14" i="2" s="1"/>
  <c r="I14" i="2"/>
  <c r="I16" i="2" s="1"/>
  <c r="C57" i="5" l="1"/>
  <c r="J16" i="2"/>
  <c r="C54" i="5"/>
  <c r="C55" i="5" s="1"/>
  <c r="C74" i="6"/>
  <c r="C76" i="6" s="1"/>
  <c r="I62" i="6" l="1"/>
  <c r="J62" i="6" s="1"/>
  <c r="K62" i="6" s="1"/>
  <c r="M62" i="6" s="1"/>
  <c r="N62" i="6" s="1"/>
  <c r="O62" i="6" s="1"/>
  <c r="P62" i="6" s="1"/>
  <c r="R62" i="6" s="1"/>
  <c r="S62" i="6" s="1"/>
  <c r="T62" i="6" s="1"/>
  <c r="I51" i="6"/>
  <c r="J51" i="6" s="1"/>
  <c r="K51" i="6" s="1"/>
  <c r="M51" i="6" s="1"/>
  <c r="N51" i="6" s="1"/>
  <c r="O51" i="6" s="1"/>
  <c r="P51" i="6" s="1"/>
  <c r="R51" i="6" s="1"/>
  <c r="S51" i="6" s="1"/>
  <c r="T51" i="6" s="1"/>
  <c r="I5" i="6"/>
  <c r="J5" i="6" s="1"/>
  <c r="K5" i="6" s="1"/>
  <c r="M5" i="6" s="1"/>
  <c r="N5" i="6" s="1"/>
  <c r="O5" i="6" s="1"/>
  <c r="P5" i="6" s="1"/>
  <c r="R5" i="6" s="1"/>
  <c r="I35" i="6"/>
  <c r="J35" i="6" s="1"/>
  <c r="K35" i="6" s="1"/>
  <c r="M35" i="6" s="1"/>
  <c r="N35" i="6" s="1"/>
  <c r="O35" i="6" s="1"/>
  <c r="P35" i="6" s="1"/>
  <c r="R35" i="6" s="1"/>
  <c r="I11" i="6"/>
  <c r="J11" i="6" s="1"/>
  <c r="K11" i="6" s="1"/>
  <c r="M11" i="6" s="1"/>
  <c r="N11" i="6" s="1"/>
  <c r="O11" i="6" s="1"/>
  <c r="P11" i="6" s="1"/>
  <c r="R11" i="6" s="1"/>
  <c r="I14" i="6"/>
  <c r="J14" i="6" s="1"/>
  <c r="K14" i="6" s="1"/>
  <c r="M14" i="6" s="1"/>
  <c r="N14" i="6" s="1"/>
  <c r="O14" i="6" s="1"/>
  <c r="P14" i="6" s="1"/>
  <c r="R14" i="6" s="1"/>
  <c r="I21" i="6"/>
  <c r="J21" i="6" s="1"/>
  <c r="K21" i="6" s="1"/>
  <c r="M21" i="6" s="1"/>
  <c r="I3" i="6"/>
  <c r="I64" i="6"/>
  <c r="J64" i="6" s="1"/>
  <c r="K64" i="6" s="1"/>
  <c r="M64" i="6" s="1"/>
  <c r="N64" i="6" s="1"/>
  <c r="O64" i="6" s="1"/>
  <c r="P64" i="6" s="1"/>
  <c r="R64" i="6" s="1"/>
  <c r="S64" i="6" s="1"/>
  <c r="T64" i="6" s="1"/>
  <c r="I60" i="6"/>
  <c r="J60" i="6" s="1"/>
  <c r="K60" i="6" s="1"/>
  <c r="M60" i="6" s="1"/>
  <c r="N60" i="6" s="1"/>
  <c r="O60" i="6" s="1"/>
  <c r="P60" i="6" s="1"/>
  <c r="R60" i="6" s="1"/>
  <c r="S60" i="6" s="1"/>
  <c r="T60" i="6" s="1"/>
  <c r="I58" i="6"/>
  <c r="J58" i="6" s="1"/>
  <c r="K58" i="6" s="1"/>
  <c r="M58" i="6" s="1"/>
  <c r="N58" i="6" s="1"/>
  <c r="O58" i="6" s="1"/>
  <c r="P58" i="6" s="1"/>
  <c r="R58" i="6" s="1"/>
  <c r="S58" i="6" s="1"/>
  <c r="T58" i="6" s="1"/>
  <c r="I48" i="6"/>
  <c r="J48" i="6" s="1"/>
  <c r="K48" i="6" s="1"/>
  <c r="M48" i="6" s="1"/>
  <c r="N48" i="6" s="1"/>
  <c r="O48" i="6" s="1"/>
  <c r="P48" i="6" s="1"/>
  <c r="R48" i="6" s="1"/>
  <c r="I9" i="6"/>
  <c r="J9" i="6" s="1"/>
  <c r="K9" i="6" s="1"/>
  <c r="M9" i="6" s="1"/>
  <c r="N9" i="6" s="1"/>
  <c r="O9" i="6" s="1"/>
  <c r="P9" i="6" s="1"/>
  <c r="R9" i="6" s="1"/>
  <c r="I13" i="6"/>
  <c r="J13" i="6" s="1"/>
  <c r="K13" i="6" s="1"/>
  <c r="M13" i="6" s="1"/>
  <c r="N13" i="6" s="1"/>
  <c r="O13" i="6" s="1"/>
  <c r="P13" i="6" s="1"/>
  <c r="R13" i="6" s="1"/>
  <c r="I29" i="6"/>
  <c r="J29" i="6" s="1"/>
  <c r="K29" i="6" s="1"/>
  <c r="M29" i="6" s="1"/>
  <c r="N29" i="6" s="1"/>
  <c r="O29" i="6" s="1"/>
  <c r="P29" i="6" s="1"/>
  <c r="R29" i="6" s="1"/>
  <c r="I8" i="6"/>
  <c r="J8" i="6" s="1"/>
  <c r="K8" i="6" s="1"/>
  <c r="M8" i="6" s="1"/>
  <c r="N8" i="6" s="1"/>
  <c r="O8" i="6" s="1"/>
  <c r="P8" i="6" s="1"/>
  <c r="R8" i="6" s="1"/>
  <c r="I55" i="6"/>
  <c r="J55" i="6" s="1"/>
  <c r="K55" i="6" s="1"/>
  <c r="M55" i="6" s="1"/>
  <c r="N55" i="6" s="1"/>
  <c r="O55" i="6" s="1"/>
  <c r="P55" i="6" s="1"/>
  <c r="R55" i="6" s="1"/>
  <c r="S55" i="6" s="1"/>
  <c r="T55" i="6" s="1"/>
  <c r="I57" i="6"/>
  <c r="J57" i="6" s="1"/>
  <c r="K57" i="6" s="1"/>
  <c r="M57" i="6" s="1"/>
  <c r="N57" i="6" s="1"/>
  <c r="O57" i="6" s="1"/>
  <c r="P57" i="6" s="1"/>
  <c r="R57" i="6" s="1"/>
  <c r="S57" i="6" s="1"/>
  <c r="T57" i="6" s="1"/>
  <c r="I20" i="6"/>
  <c r="J20" i="6" s="1"/>
  <c r="K20" i="6" s="1"/>
  <c r="I10" i="6"/>
  <c r="J10" i="6" s="1"/>
  <c r="K10" i="6" s="1"/>
  <c r="M10" i="6" s="1"/>
  <c r="N10" i="6" s="1"/>
  <c r="O10" i="6" s="1"/>
  <c r="P10" i="6" s="1"/>
  <c r="R10" i="6" s="1"/>
  <c r="I19" i="6"/>
  <c r="J19" i="6" s="1"/>
  <c r="K19" i="6" s="1"/>
  <c r="M19" i="6" s="1"/>
  <c r="I47" i="6"/>
  <c r="J47" i="6" s="1"/>
  <c r="K47" i="6" s="1"/>
  <c r="M47" i="6" s="1"/>
  <c r="N47" i="6" s="1"/>
  <c r="O47" i="6" s="1"/>
  <c r="P47" i="6" s="1"/>
  <c r="R47" i="6" s="1"/>
  <c r="I43" i="6"/>
  <c r="J43" i="6" s="1"/>
  <c r="K43" i="6" s="1"/>
  <c r="M43" i="6" s="1"/>
  <c r="N43" i="6" s="1"/>
  <c r="O43" i="6" s="1"/>
  <c r="P43" i="6" s="1"/>
  <c r="R43" i="6" s="1"/>
  <c r="I61" i="6"/>
  <c r="J61" i="6" s="1"/>
  <c r="K61" i="6" s="1"/>
  <c r="M61" i="6" s="1"/>
  <c r="N61" i="6" s="1"/>
  <c r="O61" i="6" s="1"/>
  <c r="P61" i="6" s="1"/>
  <c r="R61" i="6" s="1"/>
  <c r="S61" i="6" s="1"/>
  <c r="T61" i="6" s="1"/>
  <c r="I50" i="6"/>
  <c r="J50" i="6" s="1"/>
  <c r="K50" i="6" s="1"/>
  <c r="M50" i="6" s="1"/>
  <c r="N50" i="6" s="1"/>
  <c r="O50" i="6" s="1"/>
  <c r="P50" i="6" s="1"/>
  <c r="R50" i="6" s="1"/>
  <c r="S50" i="6" s="1"/>
  <c r="T50" i="6" s="1"/>
  <c r="I59" i="6"/>
  <c r="J59" i="6" s="1"/>
  <c r="K59" i="6" s="1"/>
  <c r="M59" i="6" s="1"/>
  <c r="N59" i="6" s="1"/>
  <c r="O59" i="6" s="1"/>
  <c r="P59" i="6" s="1"/>
  <c r="R59" i="6" s="1"/>
  <c r="S59" i="6" s="1"/>
  <c r="T59" i="6" s="1"/>
  <c r="I22" i="6"/>
  <c r="J22" i="6" s="1"/>
  <c r="K22" i="6" s="1"/>
  <c r="I27" i="6"/>
  <c r="J27" i="6" s="1"/>
  <c r="K27" i="6" s="1"/>
  <c r="M27" i="6" s="1"/>
  <c r="N27" i="6" s="1"/>
  <c r="O27" i="6" s="1"/>
  <c r="P27" i="6" s="1"/>
  <c r="R27" i="6" s="1"/>
  <c r="I49" i="6"/>
  <c r="J49" i="6" s="1"/>
  <c r="K49" i="6" s="1"/>
  <c r="M49" i="6" s="1"/>
  <c r="N49" i="6" s="1"/>
  <c r="O49" i="6" s="1"/>
  <c r="P49" i="6" s="1"/>
  <c r="R49" i="6" s="1"/>
  <c r="I6" i="6"/>
  <c r="J6" i="6" s="1"/>
  <c r="K6" i="6" s="1"/>
  <c r="M6" i="6" s="1"/>
  <c r="N6" i="6" s="1"/>
  <c r="O6" i="6" s="1"/>
  <c r="P6" i="6" s="1"/>
  <c r="R6" i="6" s="1"/>
  <c r="I37" i="6"/>
  <c r="J37" i="6" s="1"/>
  <c r="K37" i="6" s="1"/>
  <c r="M37" i="6" s="1"/>
  <c r="N37" i="6" s="1"/>
  <c r="O37" i="6" s="1"/>
  <c r="P37" i="6" s="1"/>
  <c r="R37" i="6" s="1"/>
  <c r="I63" i="6"/>
  <c r="J63" i="6" s="1"/>
  <c r="K63" i="6" s="1"/>
  <c r="M63" i="6" s="1"/>
  <c r="N63" i="6" s="1"/>
  <c r="O63" i="6" s="1"/>
  <c r="P63" i="6" s="1"/>
  <c r="R63" i="6" s="1"/>
  <c r="S63" i="6" s="1"/>
  <c r="T63" i="6" s="1"/>
  <c r="I33" i="6"/>
  <c r="J33" i="6" s="1"/>
  <c r="K33" i="6" s="1"/>
  <c r="M33" i="6" s="1"/>
  <c r="N33" i="6" s="1"/>
  <c r="O33" i="6" s="1"/>
  <c r="P33" i="6" s="1"/>
  <c r="R33" i="6" s="1"/>
  <c r="S33" i="6" s="1"/>
  <c r="T33" i="6" s="1"/>
  <c r="I52" i="6"/>
  <c r="J52" i="6" s="1"/>
  <c r="K52" i="6" s="1"/>
  <c r="M52" i="6" s="1"/>
  <c r="N52" i="6" s="1"/>
  <c r="O52" i="6" s="1"/>
  <c r="P52" i="6" s="1"/>
  <c r="R52" i="6" s="1"/>
  <c r="S52" i="6" s="1"/>
  <c r="T52" i="6" s="1"/>
  <c r="I38" i="6"/>
  <c r="J38" i="6" s="1"/>
  <c r="K38" i="6" s="1"/>
  <c r="M38" i="6" s="1"/>
  <c r="N38" i="6" s="1"/>
  <c r="O38" i="6" s="1"/>
  <c r="P38" i="6" s="1"/>
  <c r="R38" i="6" s="1"/>
  <c r="I41" i="6"/>
  <c r="J41" i="6" s="1"/>
  <c r="K41" i="6" s="1"/>
  <c r="M41" i="6" s="1"/>
  <c r="N41" i="6" s="1"/>
  <c r="O41" i="6" s="1"/>
  <c r="P41" i="6" s="1"/>
  <c r="R41" i="6" s="1"/>
  <c r="I36" i="6"/>
  <c r="J36" i="6" s="1"/>
  <c r="K36" i="6" s="1"/>
  <c r="M36" i="6" s="1"/>
  <c r="N36" i="6" s="1"/>
  <c r="O36" i="6" s="1"/>
  <c r="P36" i="6" s="1"/>
  <c r="R36" i="6" s="1"/>
  <c r="I30" i="6"/>
  <c r="J30" i="6" s="1"/>
  <c r="K30" i="6" s="1"/>
  <c r="M30" i="6" s="1"/>
  <c r="N30" i="6" s="1"/>
  <c r="O30" i="6" s="1"/>
  <c r="P30" i="6" s="1"/>
  <c r="R30" i="6" s="1"/>
  <c r="I44" i="6"/>
  <c r="J44" i="6" s="1"/>
  <c r="K44" i="6" s="1"/>
  <c r="M44" i="6" s="1"/>
  <c r="N44" i="6" s="1"/>
  <c r="O44" i="6" s="1"/>
  <c r="P44" i="6" s="1"/>
  <c r="R44" i="6" s="1"/>
  <c r="I7" i="6"/>
  <c r="J7" i="6" s="1"/>
  <c r="K7" i="6" s="1"/>
  <c r="M7" i="6" s="1"/>
  <c r="N7" i="6" s="1"/>
  <c r="O7" i="6" s="1"/>
  <c r="P7" i="6" s="1"/>
  <c r="R7" i="6" s="1"/>
  <c r="I31" i="6"/>
  <c r="J31" i="6" s="1"/>
  <c r="K31" i="6" s="1"/>
  <c r="M31" i="6" s="1"/>
  <c r="N31" i="6" s="1"/>
  <c r="O31" i="6" s="1"/>
  <c r="P31" i="6" s="1"/>
  <c r="R31" i="6" s="1"/>
  <c r="S31" i="6" s="1"/>
  <c r="T31" i="6" s="1"/>
  <c r="I56" i="6"/>
  <c r="J56" i="6" s="1"/>
  <c r="K56" i="6" s="1"/>
  <c r="M56" i="6" s="1"/>
  <c r="N56" i="6" s="1"/>
  <c r="O56" i="6" s="1"/>
  <c r="P56" i="6" s="1"/>
  <c r="R56" i="6" s="1"/>
  <c r="S56" i="6" s="1"/>
  <c r="T56" i="6" s="1"/>
  <c r="I25" i="6"/>
  <c r="I45" i="6"/>
  <c r="J45" i="6" s="1"/>
  <c r="K45" i="6" s="1"/>
  <c r="M45" i="6" s="1"/>
  <c r="N45" i="6" s="1"/>
  <c r="O45" i="6" s="1"/>
  <c r="P45" i="6" s="1"/>
  <c r="R45" i="6" s="1"/>
  <c r="I40" i="6"/>
  <c r="J40" i="6" s="1"/>
  <c r="K40" i="6" s="1"/>
  <c r="M40" i="6" s="1"/>
  <c r="N40" i="6" s="1"/>
  <c r="O40" i="6" s="1"/>
  <c r="P40" i="6" s="1"/>
  <c r="R40" i="6" s="1"/>
  <c r="I18" i="6"/>
  <c r="J18" i="6" s="1"/>
  <c r="K18" i="6" s="1"/>
  <c r="I26" i="6"/>
  <c r="J26" i="6" s="1"/>
  <c r="K26" i="6" s="1"/>
  <c r="M26" i="6" s="1"/>
  <c r="N26" i="6" s="1"/>
  <c r="O26" i="6" s="1"/>
  <c r="P26" i="6" s="1"/>
  <c r="R26" i="6" s="1"/>
  <c r="I34" i="6"/>
  <c r="J34" i="6" s="1"/>
  <c r="K34" i="6" s="1"/>
  <c r="M34" i="6" s="1"/>
  <c r="N34" i="6" s="1"/>
  <c r="O34" i="6" s="1"/>
  <c r="P34" i="6" s="1"/>
  <c r="R34" i="6" s="1"/>
  <c r="S34" i="6" s="1"/>
  <c r="T34" i="6" s="1"/>
  <c r="I39" i="6"/>
  <c r="J39" i="6" s="1"/>
  <c r="K39" i="6" s="1"/>
  <c r="M39" i="6" s="1"/>
  <c r="N39" i="6" s="1"/>
  <c r="O39" i="6" s="1"/>
  <c r="P39" i="6" s="1"/>
  <c r="R39" i="6" s="1"/>
  <c r="I32" i="6"/>
  <c r="J32" i="6" s="1"/>
  <c r="K32" i="6" s="1"/>
  <c r="M32" i="6" s="1"/>
  <c r="N32" i="6" s="1"/>
  <c r="O32" i="6" s="1"/>
  <c r="P32" i="6" s="1"/>
  <c r="R32" i="6" s="1"/>
  <c r="S32" i="6" s="1"/>
  <c r="T32" i="6" s="1"/>
  <c r="I28" i="6"/>
  <c r="J28" i="6" s="1"/>
  <c r="K28" i="6" s="1"/>
  <c r="M28" i="6" s="1"/>
  <c r="N28" i="6" s="1"/>
  <c r="O28" i="6" s="1"/>
  <c r="P28" i="6" s="1"/>
  <c r="R28" i="6" s="1"/>
  <c r="I53" i="6"/>
  <c r="J53" i="6" s="1"/>
  <c r="K53" i="6" s="1"/>
  <c r="M53" i="6" s="1"/>
  <c r="N53" i="6" s="1"/>
  <c r="O53" i="6" s="1"/>
  <c r="P53" i="6" s="1"/>
  <c r="R53" i="6" s="1"/>
  <c r="S53" i="6" s="1"/>
  <c r="T53" i="6" s="1"/>
  <c r="I17" i="6"/>
  <c r="J17" i="6" s="1"/>
  <c r="K17" i="6" s="1"/>
  <c r="M17" i="6" s="1"/>
  <c r="I15" i="6"/>
  <c r="J15" i="6" s="1"/>
  <c r="K15" i="6" s="1"/>
  <c r="M15" i="6" s="1"/>
  <c r="N15" i="6" s="1"/>
  <c r="O15" i="6" s="1"/>
  <c r="P15" i="6" s="1"/>
  <c r="R15" i="6" s="1"/>
  <c r="I54" i="6"/>
  <c r="J54" i="6" s="1"/>
  <c r="K54" i="6" s="1"/>
  <c r="M54" i="6" s="1"/>
  <c r="N54" i="6" s="1"/>
  <c r="O54" i="6" s="1"/>
  <c r="P54" i="6" s="1"/>
  <c r="R54" i="6" s="1"/>
  <c r="S54" i="6" s="1"/>
  <c r="T54" i="6" s="1"/>
  <c r="I4" i="6"/>
  <c r="J4" i="6" s="1"/>
  <c r="K4" i="6" s="1"/>
  <c r="M4" i="6" s="1"/>
  <c r="N4" i="6" s="1"/>
  <c r="O4" i="6" s="1"/>
  <c r="P4" i="6" s="1"/>
  <c r="R4" i="6" s="1"/>
  <c r="I42" i="6"/>
  <c r="J42" i="6" s="1"/>
  <c r="K42" i="6" s="1"/>
  <c r="M42" i="6" s="1"/>
  <c r="N42" i="6" s="1"/>
  <c r="O42" i="6" s="1"/>
  <c r="P42" i="6" s="1"/>
  <c r="R42" i="6" s="1"/>
  <c r="I23" i="6"/>
  <c r="J23" i="6" s="1"/>
  <c r="K23" i="6" s="1"/>
  <c r="M23" i="6" s="1"/>
  <c r="N23" i="6" s="1"/>
  <c r="O23" i="6" s="1"/>
  <c r="P23" i="6" s="1"/>
  <c r="R23" i="6" s="1"/>
  <c r="I12" i="6"/>
  <c r="J12" i="6" s="1"/>
  <c r="K12" i="6" s="1"/>
  <c r="M12" i="6" s="1"/>
  <c r="N12" i="6" s="1"/>
  <c r="O12" i="6" s="1"/>
  <c r="P12" i="6" s="1"/>
  <c r="R12" i="6" s="1"/>
  <c r="I46" i="6"/>
  <c r="J46" i="6" s="1"/>
  <c r="K46" i="6" s="1"/>
  <c r="M46" i="6" s="1"/>
  <c r="N46" i="6" s="1"/>
  <c r="O46" i="6" s="1"/>
  <c r="P46" i="6" s="1"/>
  <c r="R46" i="6" s="1"/>
  <c r="I16" i="6"/>
  <c r="J16" i="6" s="1"/>
  <c r="K16" i="6" s="1"/>
  <c r="M16" i="6" s="1"/>
  <c r="N16" i="6" s="1"/>
  <c r="O16" i="6" s="1"/>
  <c r="P16" i="6" s="1"/>
  <c r="R16" i="6" s="1"/>
  <c r="C59" i="5"/>
  <c r="T68" i="6"/>
  <c r="W7" i="6" l="1"/>
  <c r="S7" i="6"/>
  <c r="T7" i="6" s="1"/>
  <c r="S8" i="6"/>
  <c r="T8" i="6" s="1"/>
  <c r="W8" i="6"/>
  <c r="I24" i="6"/>
  <c r="J3" i="6"/>
  <c r="K3" i="6" s="1"/>
  <c r="M3" i="6" s="1"/>
  <c r="N3" i="6" s="1"/>
  <c r="O3" i="6" s="1"/>
  <c r="P3" i="6" s="1"/>
  <c r="R3" i="6" s="1"/>
  <c r="S26" i="6"/>
  <c r="T26" i="6" s="1"/>
  <c r="W26" i="6"/>
  <c r="S37" i="6"/>
  <c r="T37" i="6" s="1"/>
  <c r="W37" i="6"/>
  <c r="W29" i="6"/>
  <c r="S29" i="6"/>
  <c r="T29" i="6" s="1"/>
  <c r="M22" i="6"/>
  <c r="N22" i="6" s="1"/>
  <c r="O22" i="6" s="1"/>
  <c r="P22" i="6" s="1"/>
  <c r="R22" i="6" s="1"/>
  <c r="N21" i="6"/>
  <c r="O21" i="6" s="1"/>
  <c r="P21" i="6" s="1"/>
  <c r="R21" i="6" s="1"/>
  <c r="S15" i="6"/>
  <c r="T15" i="6" s="1"/>
  <c r="W15" i="6"/>
  <c r="S30" i="6"/>
  <c r="T30" i="6" s="1"/>
  <c r="W30" i="6"/>
  <c r="W6" i="6"/>
  <c r="S6" i="6"/>
  <c r="T6" i="6" s="1"/>
  <c r="W47" i="6"/>
  <c r="S47" i="6"/>
  <c r="T47" i="6" s="1"/>
  <c r="S13" i="6"/>
  <c r="T13" i="6" s="1"/>
  <c r="W13" i="6"/>
  <c r="S14" i="6"/>
  <c r="T14" i="6" s="1"/>
  <c r="W14" i="6"/>
  <c r="W44" i="6"/>
  <c r="S44" i="6"/>
  <c r="T44" i="6" s="1"/>
  <c r="S43" i="6"/>
  <c r="T43" i="6" s="1"/>
  <c r="W43" i="6"/>
  <c r="W16" i="6"/>
  <c r="S16" i="6"/>
  <c r="T16" i="6" s="1"/>
  <c r="N17" i="6"/>
  <c r="O17" i="6" s="1"/>
  <c r="P17" i="6" s="1"/>
  <c r="R17" i="6" s="1"/>
  <c r="M18" i="6"/>
  <c r="N18" i="6" s="1"/>
  <c r="O18" i="6" s="1"/>
  <c r="P18" i="6" s="1"/>
  <c r="R18" i="6" s="1"/>
  <c r="W40" i="6"/>
  <c r="S40" i="6"/>
  <c r="T40" i="6" s="1"/>
  <c r="W36" i="6"/>
  <c r="S36" i="6"/>
  <c r="T36" i="6" s="1"/>
  <c r="S49" i="6"/>
  <c r="T49" i="6" s="1"/>
  <c r="W49" i="6"/>
  <c r="N19" i="6"/>
  <c r="O19" i="6" s="1"/>
  <c r="P19" i="6" s="1"/>
  <c r="R19" i="6" s="1"/>
  <c r="M20" i="6"/>
  <c r="N20" i="6" s="1"/>
  <c r="O20" i="6" s="1"/>
  <c r="P20" i="6" s="1"/>
  <c r="R20" i="6" s="1"/>
  <c r="W9" i="6"/>
  <c r="S9" i="6"/>
  <c r="T9" i="6" s="1"/>
  <c r="W11" i="6"/>
  <c r="S11" i="6"/>
  <c r="T11" i="6" s="1"/>
  <c r="W45" i="6"/>
  <c r="S45" i="6"/>
  <c r="T45" i="6" s="1"/>
  <c r="W10" i="6"/>
  <c r="S10" i="6"/>
  <c r="T10" i="6" s="1"/>
  <c r="W48" i="6"/>
  <c r="S48" i="6"/>
  <c r="T48" i="6" s="1"/>
  <c r="S35" i="6"/>
  <c r="T35" i="6" s="1"/>
  <c r="W35" i="6"/>
  <c r="S12" i="6"/>
  <c r="T12" i="6" s="1"/>
  <c r="W12" i="6"/>
  <c r="W28" i="6"/>
  <c r="S28" i="6"/>
  <c r="T28" i="6" s="1"/>
  <c r="I65" i="6"/>
  <c r="I68" i="6" s="1"/>
  <c r="J25" i="6"/>
  <c r="K25" i="6" s="1"/>
  <c r="M25" i="6" s="1"/>
  <c r="N25" i="6" s="1"/>
  <c r="O25" i="6" s="1"/>
  <c r="P25" i="6" s="1"/>
  <c r="R25" i="6" s="1"/>
  <c r="W38" i="6"/>
  <c r="S38" i="6"/>
  <c r="T38" i="6" s="1"/>
  <c r="W5" i="6"/>
  <c r="S5" i="6"/>
  <c r="T5" i="6" s="1"/>
  <c r="S27" i="6"/>
  <c r="T27" i="6" s="1"/>
  <c r="W27" i="6"/>
  <c r="S23" i="6"/>
  <c r="T23" i="6" s="1"/>
  <c r="W23" i="6"/>
  <c r="W4" i="6"/>
  <c r="S4" i="6"/>
  <c r="T4" i="6" s="1"/>
  <c r="S46" i="6"/>
  <c r="T46" i="6" s="1"/>
  <c r="W46" i="6"/>
  <c r="W41" i="6"/>
  <c r="S41" i="6"/>
  <c r="T41" i="6" s="1"/>
  <c r="W42" i="6"/>
  <c r="S42" i="6"/>
  <c r="T42" i="6" s="1"/>
  <c r="W39" i="6"/>
  <c r="S39" i="6"/>
  <c r="T39" i="6" s="1"/>
  <c r="S21" i="6" l="1"/>
  <c r="T21" i="6" s="1"/>
  <c r="W21" i="6"/>
  <c r="W3" i="6"/>
  <c r="S3" i="6"/>
  <c r="S22" i="6"/>
  <c r="T22" i="6" s="1"/>
  <c r="W22" i="6"/>
  <c r="I66" i="6"/>
  <c r="W25" i="6"/>
  <c r="S25" i="6"/>
  <c r="W18" i="6"/>
  <c r="S18" i="6"/>
  <c r="T18" i="6" s="1"/>
  <c r="S20" i="6"/>
  <c r="T20" i="6" s="1"/>
  <c r="W20" i="6"/>
  <c r="S19" i="6"/>
  <c r="T19" i="6" s="1"/>
  <c r="W19" i="6"/>
  <c r="S17" i="6"/>
  <c r="T17" i="6" s="1"/>
  <c r="W17" i="6"/>
  <c r="S24" i="6" l="1"/>
  <c r="T3" i="6"/>
  <c r="T24" i="6" s="1"/>
  <c r="T25" i="6"/>
  <c r="T65" i="6" s="1"/>
  <c r="W65" i="6" s="1"/>
  <c r="S65" i="6"/>
  <c r="T66" i="6" l="1"/>
  <c r="W24" i="6"/>
  <c r="S66" i="6"/>
  <c r="W66" i="6" l="1"/>
  <c r="T70" i="6"/>
</calcChain>
</file>

<file path=xl/sharedStrings.xml><?xml version="1.0" encoding="utf-8"?>
<sst xmlns="http://schemas.openxmlformats.org/spreadsheetml/2006/main" count="198" uniqueCount="175">
  <si>
    <t>Pro Forma</t>
  </si>
  <si>
    <t>Adj.</t>
  </si>
  <si>
    <t>%</t>
  </si>
  <si>
    <t>Total</t>
  </si>
  <si>
    <t>Current</t>
  </si>
  <si>
    <t>Cost</t>
  </si>
  <si>
    <t>Proposed</t>
  </si>
  <si>
    <t>Tons</t>
  </si>
  <si>
    <t>Rate</t>
  </si>
  <si>
    <t>Expense</t>
  </si>
  <si>
    <t>Commercial garbage</t>
  </si>
  <si>
    <t>Residential garbage</t>
  </si>
  <si>
    <t>Regulated</t>
  </si>
  <si>
    <t>Monthly Factor</t>
  </si>
  <si>
    <t>Pickups:</t>
  </si>
  <si>
    <t>1 unit</t>
  </si>
  <si>
    <t>2 units</t>
  </si>
  <si>
    <t>3 units</t>
  </si>
  <si>
    <t>4 units</t>
  </si>
  <si>
    <t>5 units</t>
  </si>
  <si>
    <t>6 units</t>
  </si>
  <si>
    <t>7 unit</t>
  </si>
  <si>
    <t>5 Times per Week</t>
  </si>
  <si>
    <t>4 Times per Week</t>
  </si>
  <si>
    <t>3 Times per Week</t>
  </si>
  <si>
    <t>2 Times per Week</t>
  </si>
  <si>
    <t>Weekly Pickup (WG)</t>
  </si>
  <si>
    <t>Every Other Week (EOWG)</t>
  </si>
  <si>
    <t>Monthly (MG)</t>
  </si>
  <si>
    <t>Meeks Weights</t>
  </si>
  <si>
    <t>Res'l</t>
  </si>
  <si>
    <t>Pounds per Pickup</t>
  </si>
  <si>
    <t>20 gal minican</t>
  </si>
  <si>
    <t>1 can</t>
  </si>
  <si>
    <t>2 cans</t>
  </si>
  <si>
    <t>3 cans</t>
  </si>
  <si>
    <t>Lbs. per ton</t>
  </si>
  <si>
    <t>4 cans</t>
  </si>
  <si>
    <t>Yds. Per ton</t>
  </si>
  <si>
    <t>n/a</t>
  </si>
  <si>
    <t>5 cans</t>
  </si>
  <si>
    <t>6 cans</t>
  </si>
  <si>
    <t>35 gallon Can</t>
  </si>
  <si>
    <t>*</t>
  </si>
  <si>
    <t>Supercan 60</t>
  </si>
  <si>
    <t>Supercan 90</t>
  </si>
  <si>
    <t>Once a month</t>
  </si>
  <si>
    <t>Extras</t>
  </si>
  <si>
    <t>Com'l</t>
  </si>
  <si>
    <t>Cans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</si>
  <si>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</si>
  <si>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</si>
  <si>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</si>
  <si>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</si>
  <si>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</si>
  <si>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</si>
  <si>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</si>
  <si>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1 yd packer/compactor</t>
  </si>
  <si>
    <t>1.5 yd packer/compactor</t>
  </si>
  <si>
    <t>2 yd packer/compactor</t>
  </si>
  <si>
    <t>3 yd packer/compactor</t>
  </si>
  <si>
    <t>4 yd packer/compactor</t>
  </si>
  <si>
    <t>5 yd packer/compactor</t>
  </si>
  <si>
    <t>6 yd packer/compactor</t>
  </si>
  <si>
    <t>8 yd packer/compactor</t>
  </si>
  <si>
    <t>Yards</t>
  </si>
  <si>
    <t>* not on meeks - calculated by staff</t>
  </si>
  <si>
    <t>Kitsap County</t>
  </si>
  <si>
    <t>Per Ton</t>
  </si>
  <si>
    <t>Per Pound</t>
  </si>
  <si>
    <t>Gross Up Factors</t>
  </si>
  <si>
    <t xml:space="preserve">Current Rate </t>
  </si>
  <si>
    <t>B&amp;O tax</t>
  </si>
  <si>
    <t>New Rate per ton</t>
  </si>
  <si>
    <t>WUTC fees</t>
  </si>
  <si>
    <t>Increase</t>
  </si>
  <si>
    <t>Bad Debts</t>
  </si>
  <si>
    <t>Transfer Station</t>
  </si>
  <si>
    <t>Increase per ton</t>
  </si>
  <si>
    <t>Factor</t>
  </si>
  <si>
    <t>Grossed Up Increase per ton</t>
  </si>
  <si>
    <t>Tons Collected</t>
  </si>
  <si>
    <t>Disposal Fee Revenue Increase</t>
  </si>
  <si>
    <t>Tariff Page</t>
  </si>
  <si>
    <t>Scheduled Service</t>
  </si>
  <si>
    <t>Monthly Frequency</t>
  </si>
  <si>
    <t>Annual PU's</t>
  </si>
  <si>
    <t>Calculated Annual Pounds</t>
  </si>
  <si>
    <t>Adjusted Annual Pounds</t>
  </si>
  <si>
    <t>Gross Up</t>
  </si>
  <si>
    <t>Tariff Rate Increase</t>
  </si>
  <si>
    <t>Company Current Tariff</t>
  </si>
  <si>
    <t>Company Current Revenue</t>
  </si>
  <si>
    <t>Revised Tariff Rate</t>
  </si>
  <si>
    <t>Revised Revenue</t>
  </si>
  <si>
    <t>Revised Revenue Increase</t>
  </si>
  <si>
    <t>Residential</t>
  </si>
  <si>
    <t>Commercial</t>
  </si>
  <si>
    <t>Totals</t>
  </si>
  <si>
    <t>Adjustment Factor Calculation</t>
  </si>
  <si>
    <t>Not on Meeks</t>
  </si>
  <si>
    <t>Total Tonnage</t>
  </si>
  <si>
    <t>Total Pounds</t>
  </si>
  <si>
    <t>Total Pick Ups</t>
  </si>
  <si>
    <t>na - multiple pickups not on tariff</t>
  </si>
  <si>
    <t>Adjustment factor</t>
  </si>
  <si>
    <t>Company Proposed Tariff</t>
  </si>
  <si>
    <t>Roll Off</t>
  </si>
  <si>
    <t>Estimated</t>
  </si>
  <si>
    <t>WM Skagit</t>
  </si>
  <si>
    <t>(per TG-180752)</t>
  </si>
  <si>
    <t>32 GAL CAN MSW EOW</t>
  </si>
  <si>
    <t>1-32 GAL CAN MSW</t>
  </si>
  <si>
    <t>2-32 GAL CANS MSW</t>
  </si>
  <si>
    <t>3-32 GAL CANS MSW</t>
  </si>
  <si>
    <t>2-35 GAL CARTS MSW</t>
  </si>
  <si>
    <t>1-64 GAL CART MSW</t>
  </si>
  <si>
    <t>2-64 GAL CARTS MSW</t>
  </si>
  <si>
    <t>1-96 GAL CART MSW</t>
  </si>
  <si>
    <t>2-96 GAL CARTS MSW</t>
  </si>
  <si>
    <t>1 YD MSW EOW</t>
  </si>
  <si>
    <t>1-1 YD 1X PER WEEK</t>
  </si>
  <si>
    <t>1.5 YD MSW EOW</t>
  </si>
  <si>
    <t>1-1.5 YD 1X PER WEEK</t>
  </si>
  <si>
    <t>1-1.5 YD 2X PER WEEK</t>
  </si>
  <si>
    <t>2 YD MSW EOW</t>
  </si>
  <si>
    <t>1-2 YD 1X PER WEEK</t>
  </si>
  <si>
    <t>3 YD MSW EOW</t>
  </si>
  <si>
    <t>1-3 YD 1X PER WEEK</t>
  </si>
  <si>
    <t>1-8 YD 3X PER WEEK</t>
  </si>
  <si>
    <t>4 YD 1X PER WEEK</t>
  </si>
  <si>
    <t>4 YD MSW EOW</t>
  </si>
  <si>
    <t>6 YD MSW EOW</t>
  </si>
  <si>
    <t>1-6 YD 1X PER WEEK</t>
  </si>
  <si>
    <t>8 YD MSW EOW</t>
  </si>
  <si>
    <t>32 GAL CAN MSW 1X MO</t>
  </si>
  <si>
    <t>1-20 GAL MINI CAN MSW</t>
  </si>
  <si>
    <t>4-32 GAL CANS MSW</t>
  </si>
  <si>
    <t>20 GAL CART MSW</t>
  </si>
  <si>
    <t>35 GAL CART MSW 1X MO</t>
  </si>
  <si>
    <t>35 GAL CART MSW ON CALL</t>
  </si>
  <si>
    <t>35 GAL CART MSW EOW</t>
  </si>
  <si>
    <t>1-35 GAL CART MSW</t>
  </si>
  <si>
    <t>Monthly Customers/Containers</t>
  </si>
  <si>
    <t>Roll Off garbage - MSW</t>
  </si>
  <si>
    <t>Roll Off garbage - H2H</t>
  </si>
  <si>
    <t>Roll Off garbage - CDL</t>
  </si>
  <si>
    <t>Island County Disposal Summary</t>
  </si>
  <si>
    <t>20 GAL CART MSW 1X MO</t>
  </si>
  <si>
    <t>1-64 GAL CART EOW</t>
  </si>
  <si>
    <t>B&amp;O Tax increase</t>
  </si>
  <si>
    <t>Disposal</t>
  </si>
  <si>
    <t>before Tax</t>
  </si>
  <si>
    <t>after tax</t>
  </si>
  <si>
    <t>5-32 GAL CANS MSW</t>
  </si>
  <si>
    <t>6-32 GAL CANS MSW</t>
  </si>
  <si>
    <t>Bulky Materials</t>
  </si>
  <si>
    <t>Minimum Charge</t>
  </si>
  <si>
    <t>Loose Material</t>
  </si>
  <si>
    <t>1 Yard Temporary</t>
  </si>
  <si>
    <t>2 Yard Temporary</t>
  </si>
  <si>
    <t>3 Yard Temporary</t>
  </si>
  <si>
    <t>4 Yard Temporary</t>
  </si>
  <si>
    <t>6 Yard Temporary</t>
  </si>
  <si>
    <t>8 Yard Temporary</t>
  </si>
  <si>
    <t>1.5 Yard Temporary</t>
  </si>
  <si>
    <t>Overfilled Containers</t>
  </si>
  <si>
    <t>1-32 GAL CAN MSW SPU</t>
  </si>
  <si>
    <t>1-35 GAL CAN MSW SPU</t>
  </si>
  <si>
    <t>1-64 GAL CAN MSW SPU</t>
  </si>
  <si>
    <t>1-96 GAL CAN MSW SPU</t>
  </si>
  <si>
    <t>2 Yard Compactor</t>
  </si>
  <si>
    <t>3 Yard Compactor</t>
  </si>
  <si>
    <t>4 Yard Compactor</t>
  </si>
  <si>
    <t>6 Yard Compactor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</si>
</sst>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  <numFmt numFmtId="167" formatCode="0.0000%"/>
    <numFmt numFmtId="168" formatCode="_(&quot;$&quot;* #,##0.000_);_(&quot;$&quot;* \(#,##0.000\);_(&quot;$&quot;* &quot;-&quot;??_);_(@_)"/>
    <numFmt numFmtId="169" formatCode="0.000%"/>
    <numFmt numFmtId="170" formatCode="_(&quot;$&quot;* #,##0.000000_);_(&quot;$&quot;* \(#,##0.000000\);_(&quot;$&quot;* &quot;-&quot;??_);_(@_)"/>
    <numFmt numFmtId="171" formatCode="0.000000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color indexed="56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10"/>
      <name val="MS Sans Serif"/>
      <family val="2"/>
    </font>
    <font>
      <sz val="10"/>
      <name val="MS Sans Serif"/>
      <family val="2"/>
    </font>
    <font>
      <u/>
      <sz val="10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u val="singleAccounting"/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20"/>
      <color theme="1"/>
      <name val="Arial"/>
      <family val="2"/>
    </font>
    <font>
      <sz val="12"/>
      <color rgb="FFFF0000"/>
      <name val="Arial"/>
      <family val="2"/>
    </font>
    <font>
      <u val="singleAccounting"/>
      <sz val="12"/>
      <color theme="1"/>
      <name val="Arial"/>
      <family val="2"/>
    </font>
    <font>
      <b/>
      <u val="doubleAccounting"/>
      <sz val="12"/>
      <color theme="1"/>
      <name val="Arial"/>
      <family val="2"/>
    </font>
    <font>
      <sz val="12"/>
      <color theme="1"/>
      <name val="Calibri"/>
      <family val="2"/>
      <scheme val="minor"/>
    </font>
    <font>
      <u val="singleAccounting"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u val="singleAccounting"/>
      <sz val="12"/>
      <color rgb="FFFF0000"/>
      <name val="Arial"/>
      <family val="2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5">
    <xf numFmtId="0" fontId="0" fillId="0" borderId="0"/>
    <xf numFmtId="43" fontId="1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5" fillId="0" borderId="0" applyNumberFormat="0" applyFont="0" applyFill="0" applyBorder="0">
      <alignment horizontal="left" indent="4"/>
      <protection locked="0"/>
    </xf>
    <xf numFmtId="0" fontId="9" fillId="0" borderId="0" applyNumberFormat="0" applyFont="0" applyFill="0" applyBorder="0" applyAlignment="0" applyProtection="0">
      <alignment horizontal="left"/>
    </xf>
    <xf numFmtId="15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8" fillId="0" borderId="1">
      <alignment horizontal="center"/>
    </xf>
    <xf numFmtId="3" fontId="9" fillId="0" borderId="0" applyFont="0" applyFill="0" applyBorder="0" applyAlignment="0" applyProtection="0"/>
    <xf numFmtId="0" fontId="9" fillId="2" borderId="0" applyNumberFormat="0" applyFont="0" applyBorder="0" applyAlignment="0" applyProtection="0"/>
    <xf numFmtId="164" fontId="3" fillId="3" borderId="0" applyFont="0" applyFill="0" applyBorder="0" applyAlignment="0" applyProtection="0">
      <alignment wrapText="1"/>
    </xf>
  </cellStyleXfs>
  <cellXfs count="159">
    <xf numFmtId="0" fontId="0" fillId="0" borderId="0" xfId="0"/>
    <xf numFmtId="0" fontId="2" fillId="0" borderId="0" xfId="14"/>
    <xf numFmtId="0" fontId="15" fillId="0" borderId="0" xfId="14" applyFont="1"/>
    <xf numFmtId="0" fontId="16" fillId="0" borderId="0" xfId="14" applyFont="1" applyAlignment="1">
      <alignment horizontal="center"/>
    </xf>
    <xf numFmtId="44" fontId="17" fillId="0" borderId="0" xfId="13" applyFont="1" applyAlignment="1">
      <alignment horizontal="center"/>
    </xf>
    <xf numFmtId="0" fontId="18" fillId="0" borderId="0" xfId="14" applyFont="1" applyAlignment="1">
      <alignment horizontal="center"/>
    </xf>
    <xf numFmtId="44" fontId="18" fillId="0" borderId="0" xfId="13" applyFont="1" applyAlignment="1">
      <alignment horizontal="center"/>
    </xf>
    <xf numFmtId="0" fontId="19" fillId="0" borderId="0" xfId="14" applyFont="1"/>
    <xf numFmtId="0" fontId="20" fillId="0" borderId="0" xfId="14" applyFont="1"/>
    <xf numFmtId="44" fontId="15" fillId="0" borderId="0" xfId="13" applyFont="1" applyBorder="1"/>
    <xf numFmtId="44" fontId="21" fillId="0" borderId="0" xfId="13" applyFont="1" applyBorder="1"/>
    <xf numFmtId="166" fontId="15" fillId="0" borderId="0" xfId="13" applyNumberFormat="1" applyFont="1" applyBorder="1"/>
    <xf numFmtId="166" fontId="22" fillId="0" borderId="0" xfId="13" applyNumberFormat="1" applyFont="1" applyBorder="1"/>
    <xf numFmtId="44" fontId="15" fillId="0" borderId="0" xfId="14" applyNumberFormat="1" applyFont="1"/>
    <xf numFmtId="166" fontId="17" fillId="0" borderId="0" xfId="13" applyNumberFormat="1" applyFont="1" applyBorder="1"/>
    <xf numFmtId="166" fontId="23" fillId="0" borderId="0" xfId="13" applyNumberFormat="1" applyFont="1" applyBorder="1"/>
    <xf numFmtId="43" fontId="15" fillId="0" borderId="0" xfId="14" applyNumberFormat="1" applyFont="1"/>
    <xf numFmtId="166" fontId="15" fillId="0" borderId="0" xfId="14" applyNumberFormat="1" applyFont="1"/>
    <xf numFmtId="166" fontId="22" fillId="0" borderId="0" xfId="14" applyNumberFormat="1" applyFont="1"/>
    <xf numFmtId="43" fontId="17" fillId="0" borderId="0" xfId="14" applyNumberFormat="1" applyFont="1"/>
    <xf numFmtId="43" fontId="18" fillId="0" borderId="0" xfId="14" applyNumberFormat="1" applyFont="1"/>
    <xf numFmtId="43" fontId="23" fillId="0" borderId="0" xfId="14" applyNumberFormat="1" applyFont="1"/>
    <xf numFmtId="43" fontId="22" fillId="0" borderId="0" xfId="14" applyNumberFormat="1" applyFont="1"/>
    <xf numFmtId="168" fontId="15" fillId="0" borderId="0" xfId="14" applyNumberFormat="1" applyFont="1"/>
    <xf numFmtId="44" fontId="1" fillId="0" borderId="0" xfId="12" applyFont="1"/>
    <xf numFmtId="44" fontId="0" fillId="0" borderId="0" xfId="0" applyNumberFormat="1"/>
    <xf numFmtId="165" fontId="12" fillId="0" borderId="0" xfId="23" applyNumberFormat="1" applyFont="1"/>
    <xf numFmtId="0" fontId="6" fillId="0" borderId="0" xfId="15" applyFont="1"/>
    <xf numFmtId="0" fontId="13" fillId="0" borderId="0" xfId="0" applyFont="1" applyAlignment="1">
      <alignment horizontal="center"/>
    </xf>
    <xf numFmtId="165" fontId="15" fillId="0" borderId="0" xfId="23" applyNumberFormat="1" applyFont="1" applyBorder="1"/>
    <xf numFmtId="166" fontId="18" fillId="0" borderId="0" xfId="11" applyNumberFormat="1" applyFont="1" applyBorder="1"/>
    <xf numFmtId="43" fontId="15" fillId="0" borderId="0" xfId="1" applyFont="1" applyBorder="1"/>
    <xf numFmtId="43" fontId="22" fillId="0" borderId="0" xfId="1" applyFont="1" applyBorder="1"/>
    <xf numFmtId="43" fontId="12" fillId="0" borderId="0" xfId="1" applyFont="1" applyBorder="1"/>
    <xf numFmtId="10" fontId="21" fillId="0" borderId="0" xfId="24" applyNumberFormat="1" applyFont="1" applyAlignment="1">
      <alignment horizontal="center"/>
    </xf>
    <xf numFmtId="167" fontId="21" fillId="0" borderId="0" xfId="24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6" fontId="24" fillId="0" borderId="0" xfId="12" applyNumberFormat="1" applyFont="1" applyBorder="1"/>
    <xf numFmtId="0" fontId="24" fillId="0" borderId="0" xfId="0" applyFont="1"/>
    <xf numFmtId="164" fontId="24" fillId="0" borderId="0" xfId="1" applyNumberFormat="1" applyFont="1" applyBorder="1"/>
    <xf numFmtId="164" fontId="24" fillId="0" borderId="0" xfId="1" applyNumberFormat="1" applyFont="1"/>
    <xf numFmtId="164" fontId="25" fillId="0" borderId="0" xfId="1" applyNumberFormat="1" applyFont="1" applyBorder="1"/>
    <xf numFmtId="164" fontId="25" fillId="0" borderId="0" xfId="1" applyNumberFormat="1" applyFont="1"/>
    <xf numFmtId="0" fontId="0" fillId="0" borderId="2" xfId="0" applyBorder="1" applyAlignment="1">
      <alignment horizontal="center"/>
    </xf>
    <xf numFmtId="43" fontId="12" fillId="0" borderId="0" xfId="1" applyFont="1"/>
    <xf numFmtId="43" fontId="0" fillId="0" borderId="0" xfId="0" applyNumberFormat="1" applyAlignment="1">
      <alignment horizontal="center"/>
    </xf>
    <xf numFmtId="43" fontId="0" fillId="0" borderId="0" xfId="0" applyNumberFormat="1"/>
    <xf numFmtId="0" fontId="13" fillId="0" borderId="0" xfId="0" applyFont="1"/>
    <xf numFmtId="43" fontId="12" fillId="0" borderId="0" xfId="1" applyFont="1" applyAlignment="1">
      <alignment horizontal="center"/>
    </xf>
    <xf numFmtId="0" fontId="0" fillId="0" borderId="0" xfId="0" applyAlignment="1">
      <alignment horizontal="left" indent="1"/>
    </xf>
    <xf numFmtId="164" fontId="12" fillId="0" borderId="0" xfId="1" applyNumberFormat="1" applyFont="1"/>
    <xf numFmtId="0" fontId="0" fillId="4" borderId="0" xfId="0" applyFill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3" fillId="5" borderId="2" xfId="0" applyFont="1" applyFill="1" applyBorder="1"/>
    <xf numFmtId="0" fontId="0" fillId="5" borderId="2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5" borderId="2" xfId="0" applyFill="1" applyBorder="1"/>
    <xf numFmtId="171" fontId="0" fillId="0" borderId="0" xfId="0" applyNumberFormat="1"/>
    <xf numFmtId="164" fontId="12" fillId="0" borderId="2" xfId="1" applyNumberFormat="1" applyFont="1" applyBorder="1"/>
    <xf numFmtId="0" fontId="13" fillId="5" borderId="2" xfId="0" applyFont="1" applyFill="1" applyBorder="1" applyAlignment="1">
      <alignment horizont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 wrapText="1"/>
    </xf>
    <xf numFmtId="164" fontId="13" fillId="5" borderId="2" xfId="1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44" fontId="12" fillId="0" borderId="0" xfId="11" applyFont="1" applyFill="1" applyBorder="1"/>
    <xf numFmtId="44" fontId="12" fillId="6" borderId="0" xfId="11" applyFont="1" applyFill="1" applyBorder="1"/>
    <xf numFmtId="164" fontId="12" fillId="0" borderId="0" xfId="1" applyNumberFormat="1" applyFont="1" applyFill="1" applyBorder="1" applyAlignment="1">
      <alignment horizontal="center" wrapText="1"/>
    </xf>
    <xf numFmtId="43" fontId="26" fillId="0" borderId="0" xfId="1" applyFont="1" applyFill="1" applyBorder="1"/>
    <xf numFmtId="0" fontId="0" fillId="0" borderId="0" xfId="0" applyAlignment="1">
      <alignment vertical="center" textRotation="90"/>
    </xf>
    <xf numFmtId="164" fontId="26" fillId="0" borderId="0" xfId="1" applyNumberFormat="1" applyFont="1" applyFill="1" applyBorder="1"/>
    <xf numFmtId="0" fontId="0" fillId="5" borderId="2" xfId="0" applyFill="1" applyBorder="1" applyAlignment="1">
      <alignment vertical="center" textRotation="90"/>
    </xf>
    <xf numFmtId="0" fontId="0" fillId="5" borderId="2" xfId="0" applyFill="1" applyBorder="1" applyAlignment="1">
      <alignment horizontal="center" vertical="center"/>
    </xf>
    <xf numFmtId="0" fontId="27" fillId="5" borderId="2" xfId="22" applyFont="1" applyFill="1" applyBorder="1" applyAlignment="1">
      <alignment horizontal="left"/>
    </xf>
    <xf numFmtId="3" fontId="13" fillId="5" borderId="2" xfId="0" applyNumberFormat="1" applyFont="1" applyFill="1" applyBorder="1" applyAlignment="1">
      <alignment horizontal="right"/>
    </xf>
    <xf numFmtId="43" fontId="12" fillId="5" borderId="2" xfId="1" applyFont="1" applyFill="1" applyBorder="1"/>
    <xf numFmtId="3" fontId="13" fillId="5" borderId="2" xfId="0" applyNumberFormat="1" applyFont="1" applyFill="1" applyBorder="1"/>
    <xf numFmtId="164" fontId="13" fillId="5" borderId="2" xfId="1" applyNumberFormat="1" applyFont="1" applyFill="1" applyBorder="1"/>
    <xf numFmtId="44" fontId="12" fillId="5" borderId="2" xfId="11" applyFont="1" applyFill="1" applyBorder="1"/>
    <xf numFmtId="44" fontId="13" fillId="5" borderId="2" xfId="11" applyFont="1" applyFill="1" applyBorder="1"/>
    <xf numFmtId="164" fontId="12" fillId="0" borderId="0" xfId="1" applyNumberFormat="1" applyFont="1" applyBorder="1"/>
    <xf numFmtId="0" fontId="0" fillId="0" borderId="0" xfId="0" applyAlignment="1">
      <alignment horizontal="center"/>
    </xf>
    <xf numFmtId="0" fontId="27" fillId="0" borderId="0" xfId="22" applyFont="1" applyAlignment="1">
      <alignment horizontal="left"/>
    </xf>
    <xf numFmtId="164" fontId="13" fillId="0" borderId="0" xfId="1" applyNumberFormat="1" applyFont="1" applyBorder="1" applyAlignment="1">
      <alignment horizontal="right"/>
    </xf>
    <xf numFmtId="44" fontId="13" fillId="0" borderId="0" xfId="11" applyFont="1" applyBorder="1" applyAlignment="1">
      <alignment horizontal="right"/>
    </xf>
    <xf numFmtId="0" fontId="0" fillId="0" borderId="0" xfId="0" applyAlignment="1">
      <alignment horizontal="right"/>
    </xf>
    <xf numFmtId="44" fontId="12" fillId="0" borderId="0" xfId="1" applyNumberFormat="1" applyFont="1" applyFill="1" applyBorder="1"/>
    <xf numFmtId="166" fontId="0" fillId="0" borderId="0" xfId="0" applyNumberFormat="1"/>
    <xf numFmtId="164" fontId="12" fillId="0" borderId="0" xfId="1" applyNumberFormat="1" applyFont="1" applyFill="1" applyBorder="1"/>
    <xf numFmtId="0" fontId="14" fillId="0" borderId="0" xfId="18" applyFont="1" applyAlignment="1">
      <alignment horizontal="left"/>
    </xf>
    <xf numFmtId="164" fontId="13" fillId="0" borderId="2" xfId="1" applyNumberFormat="1" applyFont="1" applyBorder="1" applyAlignment="1">
      <alignment horizontal="center"/>
    </xf>
    <xf numFmtId="0" fontId="0" fillId="4" borderId="0" xfId="0" applyFill="1" applyAlignment="1">
      <alignment horizontal="left"/>
    </xf>
    <xf numFmtId="164" fontId="26" fillId="0" borderId="0" xfId="1" applyNumberFormat="1" applyFont="1" applyFill="1" applyBorder="1" applyAlignment="1">
      <alignment horizontal="left"/>
    </xf>
    <xf numFmtId="164" fontId="12" fillId="0" borderId="0" xfId="1" applyNumberFormat="1" applyFont="1" applyBorder="1" applyAlignment="1">
      <alignment horizontal="right"/>
    </xf>
    <xf numFmtId="0" fontId="28" fillId="0" borderId="0" xfId="1" applyNumberFormat="1" applyFont="1" applyBorder="1" applyAlignment="1">
      <alignment horizontal="left"/>
    </xf>
    <xf numFmtId="10" fontId="12" fillId="0" borderId="0" xfId="23" applyNumberFormat="1" applyFont="1" applyBorder="1" applyAlignment="1">
      <alignment horizontal="right"/>
    </xf>
    <xf numFmtId="10" fontId="12" fillId="0" borderId="0" xfId="23" applyNumberFormat="1" applyFont="1" applyBorder="1"/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26" fillId="0" borderId="0" xfId="22" applyFont="1" applyAlignment="1">
      <alignment horizontal="left"/>
    </xf>
    <xf numFmtId="166" fontId="12" fillId="0" borderId="0" xfId="11" applyNumberFormat="1" applyFont="1" applyBorder="1"/>
    <xf numFmtId="44" fontId="12" fillId="0" borderId="0" xfId="11" applyFont="1" applyBorder="1" applyAlignment="1">
      <alignment horizontal="right"/>
    </xf>
    <xf numFmtId="168" fontId="12" fillId="0" borderId="0" xfId="11" applyNumberFormat="1" applyFont="1" applyBorder="1"/>
    <xf numFmtId="44" fontId="1" fillId="0" borderId="0" xfId="12" applyFont="1" applyFill="1"/>
    <xf numFmtId="43" fontId="12" fillId="0" borderId="0" xfId="11" applyNumberFormat="1" applyFont="1" applyFill="1" applyBorder="1"/>
    <xf numFmtId="44" fontId="12" fillId="0" borderId="2" xfId="11" applyFont="1" applyFill="1" applyBorder="1"/>
    <xf numFmtId="44" fontId="12" fillId="0" borderId="0" xfId="11" applyFont="1" applyFill="1"/>
    <xf numFmtId="168" fontId="12" fillId="0" borderId="0" xfId="11" applyNumberFormat="1" applyFont="1" applyFill="1"/>
    <xf numFmtId="168" fontId="12" fillId="0" borderId="2" xfId="11" applyNumberFormat="1" applyFont="1" applyFill="1" applyBorder="1"/>
    <xf numFmtId="170" fontId="12" fillId="0" borderId="0" xfId="11" applyNumberFormat="1" applyFont="1" applyFill="1"/>
    <xf numFmtId="0" fontId="12" fillId="7" borderId="0" xfId="1" applyNumberFormat="1" applyFont="1" applyFill="1" applyBorder="1"/>
    <xf numFmtId="164" fontId="12" fillId="7" borderId="0" xfId="1" applyNumberFormat="1" applyFont="1" applyFill="1" applyBorder="1"/>
    <xf numFmtId="43" fontId="11" fillId="0" borderId="3" xfId="7" applyFont="1" applyFill="1" applyBorder="1"/>
    <xf numFmtId="164" fontId="1" fillId="0" borderId="0" xfId="4" applyNumberFormat="1" applyFont="1"/>
    <xf numFmtId="164" fontId="1" fillId="0" borderId="0" xfId="4" applyNumberFormat="1" applyFont="1" applyFill="1"/>
    <xf numFmtId="164" fontId="0" fillId="5" borderId="2" xfId="0" applyNumberFormat="1" applyFill="1" applyBorder="1"/>
    <xf numFmtId="164" fontId="13" fillId="5" borderId="2" xfId="0" applyNumberFormat="1" applyFont="1" applyFill="1" applyBorder="1" applyAlignment="1">
      <alignment horizontal="right"/>
    </xf>
    <xf numFmtId="164" fontId="0" fillId="0" borderId="0" xfId="0" applyNumberFormat="1"/>
    <xf numFmtId="44" fontId="29" fillId="0" borderId="0" xfId="11" applyFont="1" applyBorder="1" applyAlignment="1">
      <alignment horizontal="right"/>
    </xf>
    <xf numFmtId="44" fontId="12" fillId="0" borderId="0" xfId="11" applyFont="1"/>
    <xf numFmtId="166" fontId="12" fillId="0" borderId="0" xfId="11" applyNumberFormat="1" applyFont="1"/>
    <xf numFmtId="166" fontId="30" fillId="0" borderId="0" xfId="11" applyNumberFormat="1" applyFont="1"/>
    <xf numFmtId="166" fontId="29" fillId="0" borderId="0" xfId="0" applyNumberFormat="1" applyFont="1"/>
    <xf numFmtId="169" fontId="12" fillId="0" borderId="0" xfId="23" applyNumberFormat="1" applyFont="1"/>
    <xf numFmtId="167" fontId="12" fillId="0" borderId="0" xfId="23" applyNumberFormat="1" applyFont="1"/>
    <xf numFmtId="167" fontId="12" fillId="0" borderId="0" xfId="23" applyNumberFormat="1" applyFont="1" applyBorder="1"/>
    <xf numFmtId="167" fontId="31" fillId="0" borderId="0" xfId="23" applyNumberFormat="1" applyFont="1"/>
    <xf numFmtId="167" fontId="32" fillId="0" borderId="0" xfId="23" applyNumberFormat="1" applyFont="1"/>
    <xf numFmtId="10" fontId="4" fillId="0" borderId="0" xfId="24" applyNumberFormat="1" applyFont="1" applyAlignment="1">
      <alignment horizontal="center"/>
    </xf>
    <xf numFmtId="44" fontId="29" fillId="0" borderId="0" xfId="0" applyNumberFormat="1" applyFont="1"/>
    <xf numFmtId="167" fontId="0" fillId="0" borderId="0" xfId="0" applyNumberFormat="1"/>
    <xf numFmtId="167" fontId="31" fillId="0" borderId="0" xfId="0" applyNumberFormat="1" applyFont="1"/>
    <xf numFmtId="167" fontId="10" fillId="0" borderId="0" xfId="24" applyNumberFormat="1" applyFont="1" applyAlignment="1">
      <alignment horizontal="right"/>
    </xf>
    <xf numFmtId="167" fontId="33" fillId="0" borderId="0" xfId="23" applyNumberFormat="1" applyFont="1"/>
    <xf numFmtId="10" fontId="12" fillId="0" borderId="0" xfId="23" applyNumberFormat="1" applyFont="1" applyFill="1" applyBorder="1"/>
    <xf numFmtId="0" fontId="34" fillId="0" borderId="0" xfId="0" applyFont="1"/>
    <xf numFmtId="0" fontId="35" fillId="0" borderId="0" xfId="0" applyFont="1"/>
    <xf numFmtId="164" fontId="34" fillId="0" borderId="0" xfId="1" applyNumberFormat="1" applyFont="1"/>
    <xf numFmtId="164" fontId="35" fillId="0" borderId="0" xfId="1" applyNumberFormat="1" applyFont="1"/>
    <xf numFmtId="44" fontId="22" fillId="0" borderId="0" xfId="13" applyFont="1" applyBorder="1"/>
    <xf numFmtId="166" fontId="17" fillId="0" borderId="0" xfId="11" applyNumberFormat="1" applyFont="1" applyBorder="1"/>
    <xf numFmtId="44" fontId="36" fillId="0" borderId="0" xfId="13" applyFont="1" applyBorder="1"/>
    <xf numFmtId="10" fontId="13" fillId="0" borderId="0" xfId="23" applyNumberFormat="1" applyFont="1" applyFill="1" applyBorder="1"/>
    <xf numFmtId="0" fontId="13" fillId="5" borderId="0" xfId="0" applyFont="1" applyFill="1"/>
    <xf numFmtId="0" fontId="13" fillId="5" borderId="0" xfId="0" applyFont="1" applyFill="1" applyAlignment="1">
      <alignment horizontal="center" vertical="center"/>
    </xf>
    <xf numFmtId="164" fontId="13" fillId="5" borderId="0" xfId="1" applyNumberFormat="1" applyFont="1" applyFill="1" applyBorder="1" applyAlignment="1">
      <alignment horizontal="center" wrapText="1"/>
    </xf>
    <xf numFmtId="10" fontId="37" fillId="5" borderId="0" xfId="23" applyNumberFormat="1" applyFont="1" applyFill="1" applyBorder="1" applyAlignment="1">
      <alignment horizontal="center" wrapText="1"/>
    </xf>
    <xf numFmtId="0" fontId="0" fillId="0" borderId="2" xfId="0" applyBorder="1"/>
    <xf numFmtId="0" fontId="0" fillId="0" borderId="0" xfId="0" applyAlignment="1">
      <alignment horizontal="center" vertical="center" textRotation="90"/>
    </xf>
    <xf numFmtId="14" fontId="0" fillId="0" borderId="0" xfId="0" applyNumberFormat="1"/>
    <xf numFmtId="44" fontId="1" fillId="0" borderId="0" xfId="12" applyFont="1" applyBorder="1"/>
    <xf numFmtId="44" fontId="1" fillId="0" borderId="0" xfId="12" applyFont="1" applyFill="1" applyBorder="1"/>
    <xf numFmtId="0" fontId="0" fillId="5" borderId="0" xfId="0" applyFill="1" applyAlignment="1">
      <alignment horizontal="center"/>
    </xf>
    <xf numFmtId="0" fontId="0" fillId="0" borderId="0" xfId="0" applyAlignment="1">
      <alignment horizontal="left"/>
    </xf>
    <xf numFmtId="0" fontId="13" fillId="5" borderId="2" xfId="0" applyFont="1" applyFill="1" applyBorder="1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 textRotation="90"/>
    </xf>
    <xf numFmtId="0" fontId="0" fillId="0" borderId="4" xfId="0" applyBorder="1" applyAlignment="1">
      <alignment horizontal="center" vertical="center" textRotation="90"/>
    </xf>
  </cellXfs>
  <cellStyles count="35">
    <cellStyle name="Comma" xfId="1" builtinId="3"/>
    <cellStyle name="Comma [0] 2" xfId="2" xr:uid="{00000000-0005-0000-0000-000001000000}"/>
    <cellStyle name="Comma [0] 3" xfId="3" xr:uid="{00000000-0005-0000-0000-000002000000}"/>
    <cellStyle name="Comma 10" xfId="4" xr:uid="{00000000-0005-0000-0000-000003000000}"/>
    <cellStyle name="Comma 2" xfId="5" xr:uid="{00000000-0005-0000-0000-000004000000}"/>
    <cellStyle name="Comma 2 6" xfId="6" xr:uid="{00000000-0005-0000-0000-000005000000}"/>
    <cellStyle name="Comma 20" xfId="7" xr:uid="{00000000-0005-0000-0000-000006000000}"/>
    <cellStyle name="Comma 3" xfId="8" xr:uid="{00000000-0005-0000-0000-000007000000}"/>
    <cellStyle name="Comma 4" xfId="9" xr:uid="{00000000-0005-0000-0000-000008000000}"/>
    <cellStyle name="Comma 5" xfId="10" xr:uid="{00000000-0005-0000-0000-000009000000}"/>
    <cellStyle name="Currency" xfId="11" builtinId="4"/>
    <cellStyle name="Currency 2" xfId="12" xr:uid="{00000000-0005-0000-0000-00000B000000}"/>
    <cellStyle name="Currency 2 6" xfId="13" xr:uid="{00000000-0005-0000-0000-00000C000000}"/>
    <cellStyle name="Normal" xfId="0" builtinId="0"/>
    <cellStyle name="Normal 10" xfId="14" xr:uid="{00000000-0005-0000-0000-00000E000000}"/>
    <cellStyle name="Normal 2" xfId="15" xr:uid="{00000000-0005-0000-0000-00000F000000}"/>
    <cellStyle name="Normal 2 2 2 2 3" xfId="16" xr:uid="{00000000-0005-0000-0000-000010000000}"/>
    <cellStyle name="Normal 2 8" xfId="17" xr:uid="{00000000-0005-0000-0000-000011000000}"/>
    <cellStyle name="Normal 90" xfId="18" xr:uid="{00000000-0005-0000-0000-000012000000}"/>
    <cellStyle name="Normal 93" xfId="19" xr:uid="{00000000-0005-0000-0000-000013000000}"/>
    <cellStyle name="Normal 94" xfId="20" xr:uid="{00000000-0005-0000-0000-000014000000}"/>
    <cellStyle name="Normal 98" xfId="21" xr:uid="{00000000-0005-0000-0000-000015000000}"/>
    <cellStyle name="Normal_Price out" xfId="22" xr:uid="{00000000-0005-0000-0000-000016000000}"/>
    <cellStyle name="Percent" xfId="23" builtinId="5"/>
    <cellStyle name="Percent 2" xfId="24" xr:uid="{00000000-0005-0000-0000-000018000000}"/>
    <cellStyle name="Percent 2 6" xfId="25" xr:uid="{00000000-0005-0000-0000-000019000000}"/>
    <cellStyle name="Percent 3" xfId="26" xr:uid="{00000000-0005-0000-0000-00001A000000}"/>
    <cellStyle name="PS_Comma" xfId="27" xr:uid="{00000000-0005-0000-0000-00001B000000}"/>
    <cellStyle name="PSChar" xfId="28" xr:uid="{00000000-0005-0000-0000-00001C000000}"/>
    <cellStyle name="PSDate" xfId="29" xr:uid="{00000000-0005-0000-0000-00001D000000}"/>
    <cellStyle name="PSDec" xfId="30" xr:uid="{00000000-0005-0000-0000-00001E000000}"/>
    <cellStyle name="PSHeading" xfId="31" xr:uid="{00000000-0005-0000-0000-00001F000000}"/>
    <cellStyle name="PSInt" xfId="32" xr:uid="{00000000-0005-0000-0000-000020000000}"/>
    <cellStyle name="PSSpacer" xfId="33" xr:uid="{00000000-0005-0000-0000-000021000000}"/>
    <cellStyle name="WM_STANDARD" xfId="34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4"/>
  <sheetViews>
    <sheetView topLeftCell="A28" workbookViewId="0">
      <selection activeCell="B49" sqref="B49"/>
    </sheetView>
  </sheetViews>
  <sheetFormatPr defaultRowHeight="15" x14ac:dyDescent="0.25"/>
  <cols>
    <col min="1" max="1" width="52.140625" customWidth="1"/>
    <col min="2" max="2" width="16.7109375" customWidth="1"/>
    <col min="3" max="3" width="15.5703125" customWidth="1"/>
    <col min="6" max="6" width="12.42578125" customWidth="1"/>
    <col min="7" max="7" width="10.7109375" customWidth="1"/>
    <col min="8" max="8" width="10" bestFit="1" customWidth="1"/>
  </cols>
  <sheetData>
    <row r="1" spans="1:8" x14ac:dyDescent="0.25">
      <c r="A1" s="153" t="s">
        <v>13</v>
      </c>
      <c r="B1" s="153"/>
      <c r="C1" s="153"/>
      <c r="D1" s="153"/>
      <c r="E1" s="153"/>
      <c r="F1" s="153"/>
      <c r="G1" s="153"/>
      <c r="H1" s="153"/>
    </row>
    <row r="2" spans="1:8" x14ac:dyDescent="0.25">
      <c r="A2" t="s">
        <v>14</v>
      </c>
      <c r="B2" s="44" t="s">
        <v>15</v>
      </c>
      <c r="C2" s="44" t="s">
        <v>16</v>
      </c>
      <c r="D2" s="44" t="s">
        <v>17</v>
      </c>
      <c r="E2" s="44" t="s">
        <v>18</v>
      </c>
      <c r="F2" s="44" t="s">
        <v>19</v>
      </c>
      <c r="G2" s="44" t="s">
        <v>20</v>
      </c>
      <c r="H2" s="44" t="s">
        <v>21</v>
      </c>
    </row>
    <row r="3" spans="1:8" x14ac:dyDescent="0.25">
      <c r="A3" t="s">
        <v>22</v>
      </c>
      <c r="B3" s="45">
        <f>52*5/12</f>
        <v>21.666666666666668</v>
      </c>
      <c r="C3" s="46">
        <f>$B$3*2</f>
        <v>43.333333333333336</v>
      </c>
      <c r="D3" s="46">
        <f>$B$3*3</f>
        <v>65</v>
      </c>
      <c r="E3" s="46">
        <f>$B$3*4</f>
        <v>86.666666666666671</v>
      </c>
      <c r="F3" s="46">
        <f>$B$3*5</f>
        <v>108.33333333333334</v>
      </c>
      <c r="G3" s="46">
        <f>$B$3*6</f>
        <v>130</v>
      </c>
      <c r="H3" s="46">
        <f>$B$3*7</f>
        <v>151.66666666666669</v>
      </c>
    </row>
    <row r="4" spans="1:8" x14ac:dyDescent="0.25">
      <c r="A4" t="s">
        <v>23</v>
      </c>
      <c r="B4" s="45">
        <f>52*4/12</f>
        <v>17.333333333333332</v>
      </c>
      <c r="C4" s="46">
        <f>$B$4*2</f>
        <v>34.666666666666664</v>
      </c>
      <c r="D4" s="46">
        <f>$B$4*3</f>
        <v>52</v>
      </c>
      <c r="E4" s="46">
        <f>$B$4*4</f>
        <v>69.333333333333329</v>
      </c>
      <c r="F4" s="46">
        <f>$B$4*5</f>
        <v>86.666666666666657</v>
      </c>
      <c r="G4" s="46">
        <f>$B$4*6</f>
        <v>104</v>
      </c>
      <c r="H4" s="46">
        <f>$B$4*7</f>
        <v>121.33333333333333</v>
      </c>
    </row>
    <row r="5" spans="1:8" x14ac:dyDescent="0.25">
      <c r="A5" t="s">
        <v>24</v>
      </c>
      <c r="B5" s="45">
        <f>52*3/12</f>
        <v>13</v>
      </c>
      <c r="C5" s="46">
        <f>$B$5*2</f>
        <v>26</v>
      </c>
      <c r="D5" s="46">
        <f>$B$5*3</f>
        <v>39</v>
      </c>
      <c r="E5" s="46">
        <f>$B$5*4</f>
        <v>52</v>
      </c>
      <c r="F5" s="46">
        <f>$B$5*5</f>
        <v>65</v>
      </c>
      <c r="G5" s="46">
        <f>$B$5*6</f>
        <v>78</v>
      </c>
      <c r="H5" s="46">
        <f>$B$5*7</f>
        <v>91</v>
      </c>
    </row>
    <row r="6" spans="1:8" x14ac:dyDescent="0.25">
      <c r="A6" t="s">
        <v>25</v>
      </c>
      <c r="B6" s="45">
        <f>52*2/12</f>
        <v>8.6666666666666661</v>
      </c>
      <c r="C6" s="47">
        <f>$B$6*2</f>
        <v>17.333333333333332</v>
      </c>
      <c r="D6" s="47">
        <f>$B$6*3</f>
        <v>26</v>
      </c>
      <c r="E6" s="47">
        <f>$B$6*4</f>
        <v>34.666666666666664</v>
      </c>
      <c r="F6" s="47">
        <f>$B$6*5</f>
        <v>43.333333333333329</v>
      </c>
      <c r="G6" s="47">
        <f>$B$6*6</f>
        <v>52</v>
      </c>
      <c r="H6" s="47">
        <f>$B$6*7</f>
        <v>60.666666666666664</v>
      </c>
    </row>
    <row r="7" spans="1:8" x14ac:dyDescent="0.25">
      <c r="A7" t="s">
        <v>26</v>
      </c>
      <c r="B7" s="45">
        <f>52/12</f>
        <v>4.333333333333333</v>
      </c>
      <c r="C7" s="47">
        <f>$B$7*2</f>
        <v>8.6666666666666661</v>
      </c>
      <c r="D7" s="47">
        <f>$B$7*3</f>
        <v>13</v>
      </c>
      <c r="E7" s="47">
        <f>$B$7*4</f>
        <v>17.333333333333332</v>
      </c>
      <c r="F7" s="47">
        <f>$B$7*5</f>
        <v>21.666666666666664</v>
      </c>
      <c r="G7" s="47">
        <f>$B$7*6</f>
        <v>26</v>
      </c>
      <c r="H7" s="47">
        <f>$B$7*7</f>
        <v>30.333333333333332</v>
      </c>
    </row>
    <row r="8" spans="1:8" x14ac:dyDescent="0.25">
      <c r="A8" t="s">
        <v>27</v>
      </c>
      <c r="B8" s="45">
        <f>26/12</f>
        <v>2.1666666666666665</v>
      </c>
      <c r="C8" s="47">
        <f>$B$8*2</f>
        <v>4.333333333333333</v>
      </c>
      <c r="D8" s="47">
        <f>$B$8*3</f>
        <v>6.5</v>
      </c>
      <c r="E8" s="47">
        <f>$B$8*4</f>
        <v>8.6666666666666661</v>
      </c>
      <c r="F8" s="47">
        <f>$B$8*5</f>
        <v>10.833333333333332</v>
      </c>
      <c r="G8" s="47">
        <f>$B$8*6</f>
        <v>13</v>
      </c>
      <c r="H8" s="47">
        <f>$B$8*7</f>
        <v>15.166666666666666</v>
      </c>
    </row>
    <row r="9" spans="1:8" x14ac:dyDescent="0.25">
      <c r="A9" t="s">
        <v>28</v>
      </c>
      <c r="B9" s="45">
        <f>12/12</f>
        <v>1</v>
      </c>
      <c r="C9" s="47">
        <f>$B$9*2</f>
        <v>2</v>
      </c>
      <c r="D9" s="47">
        <f>$B$9*3</f>
        <v>3</v>
      </c>
      <c r="E9" s="47">
        <f>$B$9*4</f>
        <v>4</v>
      </c>
      <c r="F9" s="47">
        <f>$B$9*5</f>
        <v>5</v>
      </c>
      <c r="G9" s="47">
        <f>$B$9*6</f>
        <v>6</v>
      </c>
      <c r="H9" s="47">
        <f>$B$9*7</f>
        <v>7</v>
      </c>
    </row>
    <row r="10" spans="1:8" x14ac:dyDescent="0.25">
      <c r="B10" s="45"/>
      <c r="C10" s="47"/>
      <c r="D10" s="47"/>
      <c r="E10" s="47"/>
      <c r="F10" s="47"/>
      <c r="G10" s="47"/>
      <c r="H10" s="47"/>
    </row>
    <row r="11" spans="1:8" x14ac:dyDescent="0.25">
      <c r="A11" s="153" t="s">
        <v>29</v>
      </c>
      <c r="B11" s="153"/>
      <c r="C11" s="47"/>
      <c r="D11" s="47"/>
      <c r="E11" s="47"/>
      <c r="F11" s="47"/>
      <c r="G11" s="47"/>
      <c r="H11" s="47"/>
    </row>
    <row r="12" spans="1:8" x14ac:dyDescent="0.25">
      <c r="A12" s="48" t="s">
        <v>30</v>
      </c>
      <c r="B12" s="49" t="s">
        <v>31</v>
      </c>
      <c r="C12" s="47"/>
      <c r="D12" s="47"/>
      <c r="E12" s="47"/>
      <c r="F12" s="47"/>
      <c r="G12" s="47"/>
      <c r="H12" s="47"/>
    </row>
    <row r="13" spans="1:8" x14ac:dyDescent="0.25">
      <c r="A13" s="50" t="s">
        <v>32</v>
      </c>
      <c r="B13" s="51">
        <v>20</v>
      </c>
      <c r="C13" s="47"/>
      <c r="D13" s="47"/>
      <c r="E13" s="47"/>
      <c r="F13" s="47"/>
      <c r="G13" s="47"/>
      <c r="H13" s="47"/>
    </row>
    <row r="14" spans="1:8" x14ac:dyDescent="0.25">
      <c r="A14" s="50" t="s">
        <v>33</v>
      </c>
      <c r="B14" s="51">
        <v>34</v>
      </c>
      <c r="C14" s="47"/>
      <c r="D14" s="47"/>
      <c r="E14" s="47"/>
      <c r="F14" s="47"/>
      <c r="G14" s="47"/>
      <c r="H14" s="47"/>
    </row>
    <row r="15" spans="1:8" x14ac:dyDescent="0.25">
      <c r="A15" s="50" t="s">
        <v>34</v>
      </c>
      <c r="B15" s="51">
        <v>51</v>
      </c>
      <c r="C15" s="47"/>
      <c r="D15" s="47"/>
      <c r="E15" s="47"/>
      <c r="F15" s="47"/>
      <c r="G15" s="47"/>
      <c r="H15" s="47"/>
    </row>
    <row r="16" spans="1:8" x14ac:dyDescent="0.25">
      <c r="A16" s="50" t="s">
        <v>35</v>
      </c>
      <c r="B16" s="51">
        <v>77</v>
      </c>
      <c r="C16" s="47"/>
      <c r="D16" s="47"/>
      <c r="E16" s="47"/>
      <c r="F16" t="s">
        <v>36</v>
      </c>
      <c r="G16" s="51">
        <v>2000</v>
      </c>
      <c r="H16" s="47"/>
    </row>
    <row r="17" spans="1:8" x14ac:dyDescent="0.25">
      <c r="A17" s="50" t="s">
        <v>37</v>
      </c>
      <c r="B17" s="51">
        <v>97</v>
      </c>
      <c r="C17" s="47"/>
      <c r="D17" s="47"/>
      <c r="E17" s="47"/>
      <c r="F17" t="s">
        <v>38</v>
      </c>
      <c r="G17" s="52" t="s">
        <v>39</v>
      </c>
      <c r="H17" s="47"/>
    </row>
    <row r="18" spans="1:8" x14ac:dyDescent="0.25">
      <c r="A18" s="50" t="s">
        <v>40</v>
      </c>
      <c r="B18" s="51">
        <v>117</v>
      </c>
      <c r="C18" s="47"/>
      <c r="D18" s="47"/>
      <c r="E18" s="47"/>
      <c r="H18" s="47"/>
    </row>
    <row r="19" spans="1:8" x14ac:dyDescent="0.25">
      <c r="A19" s="50" t="s">
        <v>41</v>
      </c>
      <c r="B19" s="51">
        <v>157</v>
      </c>
      <c r="C19" s="47"/>
      <c r="D19" s="47"/>
      <c r="E19" s="47"/>
      <c r="F19" s="53"/>
      <c r="G19" s="54"/>
      <c r="H19" s="47"/>
    </row>
    <row r="20" spans="1:8" x14ac:dyDescent="0.25">
      <c r="A20" s="50" t="s">
        <v>42</v>
      </c>
      <c r="B20" s="51">
        <v>37</v>
      </c>
      <c r="C20" s="47" t="s">
        <v>43</v>
      </c>
      <c r="D20" s="47"/>
      <c r="E20" s="47"/>
      <c r="F20" s="53"/>
      <c r="G20" s="54"/>
      <c r="H20" s="47"/>
    </row>
    <row r="21" spans="1:8" x14ac:dyDescent="0.25">
      <c r="A21" s="50" t="s">
        <v>44</v>
      </c>
      <c r="B21" s="51">
        <v>47</v>
      </c>
      <c r="C21" s="47"/>
      <c r="D21" s="47"/>
      <c r="E21" s="47"/>
      <c r="F21" s="47"/>
      <c r="G21" s="47"/>
      <c r="H21" s="47"/>
    </row>
    <row r="22" spans="1:8" x14ac:dyDescent="0.25">
      <c r="A22" s="50" t="s">
        <v>45</v>
      </c>
      <c r="B22" s="51">
        <v>68</v>
      </c>
      <c r="C22" s="47"/>
      <c r="D22" s="47"/>
      <c r="E22" s="47"/>
      <c r="F22" s="47"/>
      <c r="G22" s="47"/>
      <c r="H22" s="47"/>
    </row>
    <row r="23" spans="1:8" x14ac:dyDescent="0.25">
      <c r="A23" s="50" t="s">
        <v>46</v>
      </c>
      <c r="B23" s="51">
        <v>34</v>
      </c>
      <c r="C23" s="47"/>
      <c r="D23" s="47"/>
      <c r="E23" s="47"/>
      <c r="F23" s="47"/>
      <c r="G23" s="47"/>
      <c r="H23" s="47"/>
    </row>
    <row r="24" spans="1:8" x14ac:dyDescent="0.25">
      <c r="A24" s="50" t="s">
        <v>47</v>
      </c>
      <c r="B24" s="51">
        <v>34</v>
      </c>
      <c r="C24" s="47"/>
      <c r="D24" s="47"/>
      <c r="E24" s="47"/>
      <c r="F24" s="47"/>
      <c r="G24" s="47"/>
      <c r="H24" s="47"/>
    </row>
    <row r="25" spans="1:8" x14ac:dyDescent="0.25">
      <c r="A25" s="48" t="s">
        <v>48</v>
      </c>
      <c r="B25" s="51"/>
      <c r="C25" s="47"/>
      <c r="D25" s="47"/>
      <c r="E25" s="47"/>
      <c r="F25" s="47"/>
      <c r="G25" s="47"/>
      <c r="H25" s="47"/>
    </row>
    <row r="26" spans="1:8" x14ac:dyDescent="0.25">
      <c r="A26" s="50" t="s">
        <v>49</v>
      </c>
      <c r="B26" s="51">
        <v>29</v>
      </c>
      <c r="C26" s="47"/>
      <c r="D26" s="47"/>
      <c r="E26" s="47"/>
      <c r="F26" s="47"/>
      <c r="G26" s="47"/>
      <c r="H26" s="47"/>
    </row>
    <row r="27" spans="1:8" x14ac:dyDescent="0.25">
      <c r="A27" s="50" t="s">
        <v>50</v>
      </c>
      <c r="B27" s="51">
        <v>175</v>
      </c>
      <c r="C27" s="47"/>
      <c r="D27" s="47"/>
      <c r="E27" s="47"/>
      <c r="F27" s="47"/>
      <c r="G27" s="47"/>
      <c r="H27" s="47"/>
    </row>
    <row r="28" spans="1:8" x14ac:dyDescent="0.25">
      <c r="A28" s="50" t="s">
        <v>51</v>
      </c>
      <c r="B28" s="51">
        <v>250</v>
      </c>
      <c r="C28" s="47"/>
      <c r="D28" s="47"/>
      <c r="E28" s="47"/>
      <c r="F28" s="47"/>
      <c r="G28" s="47"/>
      <c r="H28" s="47"/>
    </row>
    <row r="29" spans="1:8" x14ac:dyDescent="0.25">
      <c r="A29" s="50" t="s">
        <v>52</v>
      </c>
      <c r="B29" s="51">
        <v>324</v>
      </c>
      <c r="C29" s="47"/>
      <c r="D29" s="47"/>
      <c r="E29" s="47"/>
      <c r="F29" s="47"/>
      <c r="G29" s="47"/>
      <c r="H29" s="47"/>
    </row>
    <row r="30" spans="1:8" x14ac:dyDescent="0.25">
      <c r="A30" s="50" t="s">
        <v>53</v>
      </c>
      <c r="B30" s="51">
        <v>473</v>
      </c>
      <c r="C30" s="47"/>
      <c r="D30" s="47"/>
      <c r="E30" s="47"/>
      <c r="F30" s="47"/>
      <c r="G30" s="47"/>
      <c r="H30" s="47"/>
    </row>
    <row r="31" spans="1:8" x14ac:dyDescent="0.25">
      <c r="A31" s="50" t="s">
        <v>54</v>
      </c>
      <c r="B31" s="51">
        <v>613</v>
      </c>
      <c r="C31" s="47"/>
      <c r="D31" s="47"/>
      <c r="E31" s="47"/>
      <c r="F31" s="47"/>
      <c r="G31" s="47"/>
      <c r="H31" s="47"/>
    </row>
    <row r="32" spans="1:8" x14ac:dyDescent="0.25">
      <c r="A32" s="50" t="s">
        <v>55</v>
      </c>
      <c r="B32" s="51">
        <v>840</v>
      </c>
      <c r="C32" s="47"/>
      <c r="D32" s="47"/>
      <c r="E32" s="47"/>
      <c r="F32" s="47"/>
      <c r="G32" s="47"/>
      <c r="H32" s="47"/>
    </row>
    <row r="33" spans="1:8" x14ac:dyDescent="0.25">
      <c r="A33" s="50" t="s">
        <v>56</v>
      </c>
      <c r="B33" s="51">
        <v>980</v>
      </c>
      <c r="C33" s="47"/>
      <c r="D33" s="47"/>
      <c r="E33" s="47"/>
      <c r="F33" s="47"/>
      <c r="G33" s="47"/>
      <c r="H33" s="47"/>
    </row>
    <row r="34" spans="1:8" x14ac:dyDescent="0.25">
      <c r="A34" s="50" t="s">
        <v>57</v>
      </c>
      <c r="B34" s="51">
        <v>482</v>
      </c>
      <c r="C34" s="47" t="s">
        <v>43</v>
      </c>
      <c r="D34" s="47"/>
      <c r="E34" s="47"/>
      <c r="F34" s="47"/>
      <c r="G34" s="47"/>
      <c r="H34" s="47"/>
    </row>
    <row r="35" spans="1:8" x14ac:dyDescent="0.25">
      <c r="A35" s="50" t="s">
        <v>58</v>
      </c>
      <c r="B35" s="51">
        <v>689</v>
      </c>
      <c r="C35" s="47" t="s">
        <v>43</v>
      </c>
      <c r="D35" s="47"/>
      <c r="E35" s="47"/>
      <c r="F35" s="47"/>
      <c r="G35" s="47"/>
      <c r="H35" s="47"/>
    </row>
    <row r="36" spans="1:8" x14ac:dyDescent="0.25">
      <c r="A36" s="50" t="s">
        <v>59</v>
      </c>
      <c r="B36" s="51">
        <v>892</v>
      </c>
      <c r="C36" s="47" t="s">
        <v>43</v>
      </c>
      <c r="D36" s="47"/>
      <c r="E36" s="47"/>
      <c r="F36" s="47"/>
      <c r="G36" s="47"/>
      <c r="H36" s="47"/>
    </row>
    <row r="37" spans="1:8" x14ac:dyDescent="0.25">
      <c r="A37" s="50" t="s">
        <v>60</v>
      </c>
      <c r="B37" s="51">
        <v>1301</v>
      </c>
      <c r="C37" s="47"/>
      <c r="D37" s="47"/>
      <c r="E37" s="47"/>
      <c r="F37" s="47"/>
      <c r="G37" s="47"/>
      <c r="H37" s="47"/>
    </row>
    <row r="38" spans="1:8" x14ac:dyDescent="0.25">
      <c r="A38" s="50" t="s">
        <v>61</v>
      </c>
      <c r="B38" s="51">
        <v>1686</v>
      </c>
      <c r="C38" s="47"/>
      <c r="D38" s="47"/>
      <c r="E38" s="47"/>
      <c r="F38" s="47"/>
      <c r="G38" s="47"/>
      <c r="H38" s="47"/>
    </row>
    <row r="39" spans="1:8" x14ac:dyDescent="0.25">
      <c r="A39" s="50" t="s">
        <v>62</v>
      </c>
      <c r="B39" s="51">
        <v>2046</v>
      </c>
      <c r="C39" s="47"/>
      <c r="D39" s="47"/>
      <c r="E39" s="47"/>
      <c r="F39" s="47"/>
      <c r="G39" s="47"/>
      <c r="H39" s="47"/>
    </row>
    <row r="40" spans="1:8" x14ac:dyDescent="0.25">
      <c r="A40" s="50" t="s">
        <v>63</v>
      </c>
      <c r="B40" s="51">
        <v>2310</v>
      </c>
      <c r="C40" s="47"/>
      <c r="D40" s="47"/>
      <c r="E40" s="47"/>
      <c r="F40" s="47"/>
      <c r="G40" s="47"/>
      <c r="H40" s="47"/>
    </row>
    <row r="41" spans="1:8" x14ac:dyDescent="0.25">
      <c r="A41" s="50" t="s">
        <v>64</v>
      </c>
      <c r="B41" s="51">
        <v>2800</v>
      </c>
      <c r="C41" s="47" t="s">
        <v>43</v>
      </c>
      <c r="D41" s="47"/>
      <c r="E41" s="47"/>
      <c r="F41" s="47"/>
      <c r="G41" s="47"/>
      <c r="H41" s="47"/>
    </row>
    <row r="42" spans="1:8" x14ac:dyDescent="0.25">
      <c r="A42" s="50" t="s">
        <v>65</v>
      </c>
      <c r="B42" s="51">
        <v>125</v>
      </c>
      <c r="C42" s="47"/>
      <c r="D42" s="47"/>
      <c r="E42" s="47"/>
      <c r="F42" s="47"/>
      <c r="G42" s="47"/>
      <c r="H42" s="47"/>
    </row>
    <row r="43" spans="1:8" x14ac:dyDescent="0.25">
      <c r="B43" s="154" t="s">
        <v>66</v>
      </c>
      <c r="C43" s="154"/>
    </row>
    <row r="46" spans="1:8" x14ac:dyDescent="0.25">
      <c r="A46" s="55" t="s">
        <v>67</v>
      </c>
      <c r="B46" s="56" t="s">
        <v>68</v>
      </c>
      <c r="C46" s="56" t="s">
        <v>69</v>
      </c>
      <c r="F46" s="155" t="s">
        <v>70</v>
      </c>
      <c r="G46" s="155"/>
    </row>
    <row r="47" spans="1:8" x14ac:dyDescent="0.25">
      <c r="A47" s="57" t="s">
        <v>71</v>
      </c>
      <c r="B47" s="107">
        <v>173.9</v>
      </c>
      <c r="C47" s="108">
        <f>B47/2000</f>
        <v>8.695E-2</v>
      </c>
      <c r="F47" t="s">
        <v>72</v>
      </c>
      <c r="G47" s="125">
        <v>1.7500000000000002E-2</v>
      </c>
    </row>
    <row r="48" spans="1:8" x14ac:dyDescent="0.25">
      <c r="A48" s="57" t="s">
        <v>73</v>
      </c>
      <c r="B48" s="106">
        <v>200.51</v>
      </c>
      <c r="C48" s="109">
        <f>B48/2000</f>
        <v>0.100255</v>
      </c>
      <c r="F48" t="s">
        <v>74</v>
      </c>
      <c r="G48" s="126">
        <v>5.1000000000000004E-3</v>
      </c>
    </row>
    <row r="49" spans="1:7" x14ac:dyDescent="0.25">
      <c r="A49" s="50" t="s">
        <v>75</v>
      </c>
      <c r="B49" s="107">
        <f>B48-B47</f>
        <v>26.609999999999985</v>
      </c>
      <c r="C49" s="110">
        <f>C48-C47</f>
        <v>1.3304999999999997E-2</v>
      </c>
      <c r="F49" t="s">
        <v>76</v>
      </c>
      <c r="G49" s="133">
        <v>4.2700000000000004E-3</v>
      </c>
    </row>
    <row r="50" spans="1:7" x14ac:dyDescent="0.25">
      <c r="G50" s="131">
        <f>SUM(G47:G49)</f>
        <v>2.6870000000000002E-2</v>
      </c>
    </row>
    <row r="51" spans="1:7" x14ac:dyDescent="0.25">
      <c r="C51" s="58" t="s">
        <v>77</v>
      </c>
    </row>
    <row r="52" spans="1:7" x14ac:dyDescent="0.25">
      <c r="A52" t="s">
        <v>78</v>
      </c>
      <c r="C52" s="25">
        <f>B49</f>
        <v>26.609999999999985</v>
      </c>
      <c r="G52" s="127"/>
    </row>
    <row r="53" spans="1:7" x14ac:dyDescent="0.25">
      <c r="A53" t="s">
        <v>80</v>
      </c>
      <c r="C53" s="25">
        <f>C52/$G$57</f>
        <v>27.344753527277941</v>
      </c>
      <c r="F53" t="s">
        <v>3</v>
      </c>
      <c r="G53" s="128">
        <f>+G52+G50</f>
        <v>2.6870000000000002E-2</v>
      </c>
    </row>
    <row r="54" spans="1:7" x14ac:dyDescent="0.25">
      <c r="A54" t="s">
        <v>81</v>
      </c>
      <c r="C54" s="60">
        <f>'Calc. and priceout'!C73</f>
        <v>3806.75</v>
      </c>
    </row>
    <row r="55" spans="1:7" ht="17.25" x14ac:dyDescent="0.4">
      <c r="A55" s="48" t="s">
        <v>82</v>
      </c>
      <c r="C55" s="130">
        <f>C53*C54</f>
        <v>104094.6404899653</v>
      </c>
      <c r="G55" s="59"/>
    </row>
    <row r="57" spans="1:7" x14ac:dyDescent="0.25">
      <c r="A57" t="s">
        <v>107</v>
      </c>
      <c r="C57" s="121">
        <f>+'Co. Pro Tonnage'!J14</f>
        <v>12414.726000000002</v>
      </c>
      <c r="F57" t="s">
        <v>79</v>
      </c>
      <c r="G57" s="59">
        <f>1-G53</f>
        <v>0.97313000000000005</v>
      </c>
    </row>
    <row r="58" spans="1:7" ht="17.25" x14ac:dyDescent="0.4">
      <c r="B58" s="132"/>
      <c r="C58" s="122"/>
    </row>
    <row r="59" spans="1:7" ht="17.25" x14ac:dyDescent="0.4">
      <c r="A59" s="48"/>
      <c r="B59" s="121"/>
      <c r="C59" s="123">
        <f>+C57+C55</f>
        <v>116509.36648996529</v>
      </c>
    </row>
    <row r="60" spans="1:7" ht="17.25" x14ac:dyDescent="0.4">
      <c r="A60" s="48"/>
      <c r="B60" s="120"/>
      <c r="C60" s="123"/>
    </row>
    <row r="61" spans="1:7" ht="17.25" x14ac:dyDescent="0.4">
      <c r="A61" s="48"/>
      <c r="B61" s="122"/>
      <c r="C61" s="123"/>
    </row>
    <row r="62" spans="1:7" ht="17.25" x14ac:dyDescent="0.4">
      <c r="A62" s="48"/>
      <c r="B62" s="134"/>
      <c r="C62" s="123"/>
    </row>
    <row r="64" spans="1:7" ht="48.75" customHeight="1" x14ac:dyDescent="0.25">
      <c r="A64" s="156"/>
      <c r="B64" s="156"/>
    </row>
  </sheetData>
  <mergeCells count="5">
    <mergeCell ref="A1:H1"/>
    <mergeCell ref="A11:B11"/>
    <mergeCell ref="B43:C43"/>
    <mergeCell ref="F46:G46"/>
    <mergeCell ref="A64:B64"/>
  </mergeCells>
  <pageMargins left="0.7" right="0.7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84"/>
  <sheetViews>
    <sheetView tabSelected="1" zoomScale="80" zoomScaleNormal="80" workbookViewId="0">
      <pane xSplit="3" ySplit="1" topLeftCell="K35" activePane="bottomRight" state="frozen"/>
      <selection pane="topRight" activeCell="D1" sqref="D1"/>
      <selection pane="bottomLeft" activeCell="A2" sqref="A2"/>
      <selection pane="bottomRight" activeCell="L3" sqref="L3:L64"/>
    </sheetView>
  </sheetViews>
  <sheetFormatPr defaultColWidth="8.85546875" defaultRowHeight="15" x14ac:dyDescent="0.25"/>
  <cols>
    <col min="1" max="1" width="4.5703125" customWidth="1"/>
    <col min="2" max="2" width="21.140625" style="82" customWidth="1"/>
    <col min="3" max="3" width="31.7109375" bestFit="1" customWidth="1"/>
    <col min="4" max="4" width="11.5703125" style="86" customWidth="1"/>
    <col min="5" max="5" width="18.42578125" customWidth="1"/>
    <col min="6" max="6" width="13.28515625" customWidth="1"/>
    <col min="7" max="7" width="14.5703125" customWidth="1"/>
    <col min="8" max="8" width="21.42578125" customWidth="1"/>
    <col min="9" max="9" width="16.28515625" style="81" customWidth="1"/>
    <col min="10" max="10" width="14.140625" customWidth="1"/>
    <col min="11" max="12" width="14.28515625" customWidth="1"/>
    <col min="13" max="13" width="10.7109375" customWidth="1"/>
    <col min="14" max="16" width="16.28515625" customWidth="1"/>
    <col min="17" max="17" width="16.5703125" customWidth="1"/>
    <col min="18" max="18" width="13.5703125" bestFit="1" customWidth="1"/>
    <col min="19" max="19" width="16.5703125" bestFit="1" customWidth="1"/>
    <col min="20" max="20" width="16.28515625" customWidth="1"/>
  </cols>
  <sheetData>
    <row r="1" spans="1:24" s="148" customFormat="1" ht="42" customHeight="1" x14ac:dyDescent="0.25">
      <c r="A1" s="55"/>
      <c r="B1" s="61" t="s">
        <v>83</v>
      </c>
      <c r="C1" s="62" t="s">
        <v>84</v>
      </c>
      <c r="D1" s="61" t="s">
        <v>143</v>
      </c>
      <c r="E1" s="61" t="s">
        <v>85</v>
      </c>
      <c r="F1" s="55" t="s">
        <v>86</v>
      </c>
      <c r="G1" s="61" t="s">
        <v>29</v>
      </c>
      <c r="H1" s="61" t="s">
        <v>87</v>
      </c>
      <c r="I1" s="64" t="s">
        <v>88</v>
      </c>
      <c r="J1" s="61" t="s">
        <v>75</v>
      </c>
      <c r="K1" s="61" t="s">
        <v>89</v>
      </c>
      <c r="L1" s="61" t="s">
        <v>91</v>
      </c>
      <c r="M1" s="61" t="s">
        <v>90</v>
      </c>
      <c r="N1" s="61" t="s">
        <v>106</v>
      </c>
      <c r="O1" s="61" t="s">
        <v>150</v>
      </c>
      <c r="P1" s="61" t="s">
        <v>106</v>
      </c>
      <c r="Q1" s="61" t="s">
        <v>92</v>
      </c>
      <c r="R1" s="61" t="s">
        <v>93</v>
      </c>
      <c r="S1" s="61" t="s">
        <v>94</v>
      </c>
      <c r="T1" s="61" t="s">
        <v>95</v>
      </c>
    </row>
    <row r="2" spans="1:24" x14ac:dyDescent="0.25">
      <c r="A2" s="144"/>
      <c r="B2" s="63"/>
      <c r="C2" s="145"/>
      <c r="D2" s="63"/>
      <c r="E2" s="63"/>
      <c r="F2" s="144"/>
      <c r="G2" s="63"/>
      <c r="H2" s="63"/>
      <c r="I2" s="146"/>
      <c r="J2" s="63"/>
      <c r="K2" s="63"/>
      <c r="L2" s="63"/>
      <c r="M2" s="63" t="s">
        <v>151</v>
      </c>
      <c r="N2" s="63" t="s">
        <v>152</v>
      </c>
      <c r="O2" s="147"/>
      <c r="P2" s="63" t="s">
        <v>153</v>
      </c>
      <c r="Q2" s="63"/>
      <c r="R2" s="63"/>
      <c r="S2" s="63"/>
      <c r="T2" s="63"/>
    </row>
    <row r="3" spans="1:24" x14ac:dyDescent="0.25">
      <c r="A3" s="157" t="s">
        <v>96</v>
      </c>
      <c r="B3" s="65">
        <v>24</v>
      </c>
      <c r="C3" s="136" t="s">
        <v>135</v>
      </c>
      <c r="D3" s="138">
        <v>63</v>
      </c>
      <c r="E3" s="69">
        <v>1</v>
      </c>
      <c r="F3" s="89">
        <f>+E3*D3*12</f>
        <v>756</v>
      </c>
      <c r="G3" s="114">
        <f>+References!B14</f>
        <v>34</v>
      </c>
      <c r="H3" s="89">
        <f>G3*F3</f>
        <v>25704</v>
      </c>
      <c r="I3" s="68">
        <f t="shared" ref="I3:I23" si="0">$C$76*H3</f>
        <v>17203.044415246623</v>
      </c>
      <c r="J3" s="66">
        <f>(References!$C$49*I3)</f>
        <v>228.88650594485628</v>
      </c>
      <c r="K3" s="66">
        <f>J3/References!$G$57</f>
        <v>235.20650472686719</v>
      </c>
      <c r="L3" s="24">
        <v>6.9700000000000006</v>
      </c>
      <c r="M3" s="66">
        <f t="shared" ref="M3:M23" si="1">ROUND(((K3/F3)*E3),2)</f>
        <v>0.31</v>
      </c>
      <c r="N3" s="66">
        <f t="shared" ref="N3:N23" si="2">M3+L3</f>
        <v>7.28</v>
      </c>
      <c r="O3" s="66">
        <f>ROUND(+$O$2*N3,2)</f>
        <v>0</v>
      </c>
      <c r="P3" s="66">
        <f>+O3+N3</f>
        <v>7.28</v>
      </c>
      <c r="Q3" s="66">
        <f t="shared" ref="Q3:Q23" si="3">D3*L3*12</f>
        <v>5269.32</v>
      </c>
      <c r="R3" s="67">
        <f>+P3</f>
        <v>7.28</v>
      </c>
      <c r="S3" s="67">
        <f t="shared" ref="S3:S23" si="4">D3*R3*12</f>
        <v>5503.68</v>
      </c>
      <c r="T3" s="67">
        <f>S3-Q3</f>
        <v>234.36000000000058</v>
      </c>
      <c r="W3" s="135">
        <f>+R3/L3-1</f>
        <v>4.44763271162123E-2</v>
      </c>
      <c r="X3" s="24"/>
    </row>
    <row r="4" spans="1:24" x14ac:dyDescent="0.25">
      <c r="A4" s="157"/>
      <c r="B4" s="65">
        <v>24</v>
      </c>
      <c r="C4" s="136" t="s">
        <v>111</v>
      </c>
      <c r="D4" s="138">
        <v>263</v>
      </c>
      <c r="E4" s="69">
        <v>2.1666666666666665</v>
      </c>
      <c r="F4" s="89">
        <f t="shared" ref="F4:F23" si="5">+E4*D4*12</f>
        <v>6837.9999999999991</v>
      </c>
      <c r="G4" s="114">
        <v>34</v>
      </c>
      <c r="H4" s="89">
        <f t="shared" ref="H4:H23" si="6">G4*F4</f>
        <v>232491.99999999997</v>
      </c>
      <c r="I4" s="68">
        <f t="shared" si="0"/>
        <v>155601.08162891056</v>
      </c>
      <c r="J4" s="66">
        <f>(References!$C$49*I4)</f>
        <v>2070.2723910726545</v>
      </c>
      <c r="K4" s="66">
        <f>J4/References!$G$57</f>
        <v>2127.4366128602082</v>
      </c>
      <c r="L4" s="24">
        <v>14.67</v>
      </c>
      <c r="M4" s="66">
        <f t="shared" si="1"/>
        <v>0.67</v>
      </c>
      <c r="N4" s="66">
        <f t="shared" si="2"/>
        <v>15.34</v>
      </c>
      <c r="O4" s="66">
        <f t="shared" ref="O4:O23" si="7">ROUND(+$O$2*N4,2)</f>
        <v>0</v>
      </c>
      <c r="P4" s="66">
        <f t="shared" ref="P4:P23" si="8">+O4+N4</f>
        <v>15.34</v>
      </c>
      <c r="Q4" s="66">
        <f t="shared" si="3"/>
        <v>46298.520000000004</v>
      </c>
      <c r="R4" s="67">
        <f t="shared" ref="R4:R49" si="9">+P4</f>
        <v>15.34</v>
      </c>
      <c r="S4" s="67">
        <f t="shared" si="4"/>
        <v>48413.04</v>
      </c>
      <c r="T4" s="67">
        <f t="shared" ref="T4:T23" si="10">S4-Q4</f>
        <v>2114.5199999999968</v>
      </c>
      <c r="W4" s="135">
        <f t="shared" ref="W4:W49" si="11">+R4/L4-1</f>
        <v>4.5671438309475176E-2</v>
      </c>
      <c r="X4" s="24"/>
    </row>
    <row r="5" spans="1:24" x14ac:dyDescent="0.25">
      <c r="A5" s="157"/>
      <c r="B5" s="65">
        <v>24</v>
      </c>
      <c r="C5" s="136" t="s">
        <v>136</v>
      </c>
      <c r="D5" s="138">
        <v>42</v>
      </c>
      <c r="E5" s="69">
        <v>4.3330000000000002</v>
      </c>
      <c r="F5" s="89">
        <f t="shared" si="5"/>
        <v>2183.8320000000003</v>
      </c>
      <c r="G5" s="114">
        <f>+References!B13</f>
        <v>20</v>
      </c>
      <c r="H5" s="89">
        <f t="shared" si="6"/>
        <v>43676.640000000007</v>
      </c>
      <c r="I5" s="68">
        <f t="shared" si="0"/>
        <v>29231.682922064167</v>
      </c>
      <c r="J5" s="66">
        <f>(References!$C$49*I5)</f>
        <v>388.92754127806364</v>
      </c>
      <c r="K5" s="66">
        <f>J5/References!$G$57</f>
        <v>399.6665823456924</v>
      </c>
      <c r="L5" s="24">
        <v>17.669999999999998</v>
      </c>
      <c r="M5" s="66">
        <f t="shared" si="1"/>
        <v>0.79</v>
      </c>
      <c r="N5" s="66">
        <f t="shared" si="2"/>
        <v>18.459999999999997</v>
      </c>
      <c r="O5" s="66">
        <f t="shared" si="7"/>
        <v>0</v>
      </c>
      <c r="P5" s="66">
        <f t="shared" si="8"/>
        <v>18.459999999999997</v>
      </c>
      <c r="Q5" s="66">
        <f t="shared" si="3"/>
        <v>8905.6799999999985</v>
      </c>
      <c r="R5" s="67">
        <f t="shared" si="9"/>
        <v>18.459999999999997</v>
      </c>
      <c r="S5" s="67">
        <f t="shared" si="4"/>
        <v>9303.84</v>
      </c>
      <c r="T5" s="67">
        <f t="shared" si="10"/>
        <v>398.16000000000167</v>
      </c>
      <c r="W5" s="135">
        <f t="shared" si="11"/>
        <v>4.4708545557441859E-2</v>
      </c>
      <c r="X5" s="24"/>
    </row>
    <row r="6" spans="1:24" x14ac:dyDescent="0.25">
      <c r="A6" s="157"/>
      <c r="B6" s="65">
        <v>24</v>
      </c>
      <c r="C6" s="136" t="s">
        <v>112</v>
      </c>
      <c r="D6" s="138">
        <v>961</v>
      </c>
      <c r="E6" s="69">
        <v>4.3330000000000002</v>
      </c>
      <c r="F6" s="89">
        <f t="shared" si="5"/>
        <v>49968.156000000003</v>
      </c>
      <c r="G6" s="114">
        <f>+G4</f>
        <v>34</v>
      </c>
      <c r="H6" s="89">
        <f t="shared" si="6"/>
        <v>1698917.304</v>
      </c>
      <c r="I6" s="68">
        <f t="shared" si="0"/>
        <v>1137042.8664232434</v>
      </c>
      <c r="J6" s="66">
        <f>(References!$C$49*I6)</f>
        <v>15128.355337761252</v>
      </c>
      <c r="K6" s="66">
        <f>J6/References!$G$57</f>
        <v>15546.07846614661</v>
      </c>
      <c r="L6" s="24">
        <v>22.14</v>
      </c>
      <c r="M6" s="66">
        <f t="shared" si="1"/>
        <v>1.35</v>
      </c>
      <c r="N6" s="66">
        <f t="shared" si="2"/>
        <v>23.490000000000002</v>
      </c>
      <c r="O6" s="66">
        <f t="shared" si="7"/>
        <v>0</v>
      </c>
      <c r="P6" s="66">
        <f t="shared" si="8"/>
        <v>23.490000000000002</v>
      </c>
      <c r="Q6" s="66">
        <f t="shared" si="3"/>
        <v>255318.48</v>
      </c>
      <c r="R6" s="67">
        <f t="shared" si="9"/>
        <v>23.490000000000002</v>
      </c>
      <c r="S6" s="67">
        <f t="shared" si="4"/>
        <v>270886.68000000005</v>
      </c>
      <c r="T6" s="67">
        <f t="shared" si="10"/>
        <v>15568.200000000041</v>
      </c>
      <c r="W6" s="135">
        <f t="shared" si="11"/>
        <v>6.0975609756097615E-2</v>
      </c>
      <c r="X6" s="24"/>
    </row>
    <row r="7" spans="1:24" x14ac:dyDescent="0.25">
      <c r="A7" s="157"/>
      <c r="B7" s="65">
        <v>24</v>
      </c>
      <c r="C7" s="136" t="s">
        <v>113</v>
      </c>
      <c r="D7" s="138">
        <v>298</v>
      </c>
      <c r="E7" s="69">
        <v>4.3330000000000002</v>
      </c>
      <c r="F7" s="89">
        <f t="shared" si="5"/>
        <v>15494.808000000001</v>
      </c>
      <c r="G7" s="114">
        <f>+References!B15</f>
        <v>51</v>
      </c>
      <c r="H7" s="89">
        <f t="shared" si="6"/>
        <v>790235.2080000001</v>
      </c>
      <c r="I7" s="68">
        <f t="shared" si="0"/>
        <v>528884.66315420379</v>
      </c>
      <c r="J7" s="66">
        <f>(References!$C$49*I7)</f>
        <v>7036.8104432666805</v>
      </c>
      <c r="K7" s="66">
        <f>J7/References!$G$57</f>
        <v>7231.1103791545629</v>
      </c>
      <c r="L7" s="24">
        <v>34.11</v>
      </c>
      <c r="M7" s="66">
        <f t="shared" si="1"/>
        <v>2.02</v>
      </c>
      <c r="N7" s="66">
        <f t="shared" si="2"/>
        <v>36.130000000000003</v>
      </c>
      <c r="O7" s="66">
        <f t="shared" si="7"/>
        <v>0</v>
      </c>
      <c r="P7" s="66">
        <f t="shared" si="8"/>
        <v>36.130000000000003</v>
      </c>
      <c r="Q7" s="66">
        <f t="shared" si="3"/>
        <v>121977.36000000002</v>
      </c>
      <c r="R7" s="67">
        <f t="shared" si="9"/>
        <v>36.130000000000003</v>
      </c>
      <c r="S7" s="67">
        <f t="shared" si="4"/>
        <v>129200.88000000002</v>
      </c>
      <c r="T7" s="67">
        <f t="shared" si="10"/>
        <v>7223.5200000000041</v>
      </c>
      <c r="W7" s="135">
        <f t="shared" si="11"/>
        <v>5.9220170038112085E-2</v>
      </c>
      <c r="X7" s="24"/>
    </row>
    <row r="8" spans="1:24" x14ac:dyDescent="0.25">
      <c r="A8" s="157"/>
      <c r="B8" s="65">
        <v>24</v>
      </c>
      <c r="C8" s="136" t="s">
        <v>114</v>
      </c>
      <c r="D8" s="138">
        <v>18</v>
      </c>
      <c r="E8" s="69">
        <v>4.3330000000000002</v>
      </c>
      <c r="F8" s="89">
        <f t="shared" si="5"/>
        <v>935.928</v>
      </c>
      <c r="G8" s="114">
        <f>+References!B16</f>
        <v>77</v>
      </c>
      <c r="H8" s="89">
        <f t="shared" si="6"/>
        <v>72066.456000000006</v>
      </c>
      <c r="I8" s="68">
        <f t="shared" si="0"/>
        <v>48232.276821405874</v>
      </c>
      <c r="J8" s="66">
        <f>(References!$C$49*I8)</f>
        <v>641.73044310880505</v>
      </c>
      <c r="K8" s="66">
        <f>J8/References!$G$57</f>
        <v>659.44986087039251</v>
      </c>
      <c r="L8" s="24">
        <v>46.96</v>
      </c>
      <c r="M8" s="66">
        <f t="shared" si="1"/>
        <v>3.05</v>
      </c>
      <c r="N8" s="66">
        <f t="shared" si="2"/>
        <v>50.01</v>
      </c>
      <c r="O8" s="66">
        <f t="shared" si="7"/>
        <v>0</v>
      </c>
      <c r="P8" s="66">
        <f t="shared" si="8"/>
        <v>50.01</v>
      </c>
      <c r="Q8" s="66">
        <f t="shared" si="3"/>
        <v>10143.36</v>
      </c>
      <c r="R8" s="67">
        <f t="shared" si="9"/>
        <v>50.01</v>
      </c>
      <c r="S8" s="67">
        <f t="shared" si="4"/>
        <v>10802.16</v>
      </c>
      <c r="T8" s="67">
        <f t="shared" si="10"/>
        <v>658.79999999999927</v>
      </c>
      <c r="W8" s="135">
        <f t="shared" si="11"/>
        <v>6.4948892674616676E-2</v>
      </c>
      <c r="X8" s="24"/>
    </row>
    <row r="9" spans="1:24" x14ac:dyDescent="0.25">
      <c r="A9" s="157"/>
      <c r="B9" s="65">
        <v>24</v>
      </c>
      <c r="C9" s="136" t="s">
        <v>137</v>
      </c>
      <c r="D9" s="138">
        <v>4</v>
      </c>
      <c r="E9" s="69">
        <v>4.3330000000000002</v>
      </c>
      <c r="F9" s="89">
        <f t="shared" si="5"/>
        <v>207.98400000000001</v>
      </c>
      <c r="G9" s="114">
        <f>+References!B17</f>
        <v>97</v>
      </c>
      <c r="H9" s="89">
        <f t="shared" si="6"/>
        <v>20174.448</v>
      </c>
      <c r="I9" s="68">
        <f t="shared" si="0"/>
        <v>13502.253540191541</v>
      </c>
      <c r="J9" s="66">
        <f>(References!$C$49*I9)</f>
        <v>179.64748335224843</v>
      </c>
      <c r="K9" s="66">
        <f>J9/References!$G$57</f>
        <v>184.60789755967693</v>
      </c>
      <c r="L9" s="24">
        <v>59.13</v>
      </c>
      <c r="M9" s="66">
        <f t="shared" si="1"/>
        <v>3.85</v>
      </c>
      <c r="N9" s="66">
        <f t="shared" si="2"/>
        <v>62.980000000000004</v>
      </c>
      <c r="O9" s="66">
        <f t="shared" si="7"/>
        <v>0</v>
      </c>
      <c r="P9" s="66">
        <f t="shared" si="8"/>
        <v>62.980000000000004</v>
      </c>
      <c r="Q9" s="66">
        <f t="shared" si="3"/>
        <v>2838.2400000000002</v>
      </c>
      <c r="R9" s="67">
        <f t="shared" si="9"/>
        <v>62.980000000000004</v>
      </c>
      <c r="S9" s="67">
        <f t="shared" si="4"/>
        <v>3023.04</v>
      </c>
      <c r="T9" s="67">
        <f t="shared" si="10"/>
        <v>184.79999999999973</v>
      </c>
      <c r="W9" s="135">
        <f t="shared" si="11"/>
        <v>6.5110772873330003E-2</v>
      </c>
      <c r="X9" s="24"/>
    </row>
    <row r="10" spans="1:24" x14ac:dyDescent="0.25">
      <c r="A10" s="157"/>
      <c r="B10" s="65">
        <v>24</v>
      </c>
      <c r="C10" s="136" t="s">
        <v>154</v>
      </c>
      <c r="D10" s="138">
        <v>1</v>
      </c>
      <c r="E10" s="69">
        <v>4.3330000000000002</v>
      </c>
      <c r="F10" s="89">
        <f>+E10*D10*12</f>
        <v>51.996000000000002</v>
      </c>
      <c r="G10" s="114">
        <f>+References!B18</f>
        <v>117</v>
      </c>
      <c r="H10" s="89">
        <f>G10*F10</f>
        <v>6083.5320000000002</v>
      </c>
      <c r="I10" s="68">
        <f t="shared" si="0"/>
        <v>4071.5558355732228</v>
      </c>
      <c r="J10" s="66">
        <f>(References!$C$49*I10)</f>
        <v>54.17205039230172</v>
      </c>
      <c r="K10" s="66">
        <f>J10/References!$G$57</f>
        <v>55.667845398150007</v>
      </c>
      <c r="L10" s="24">
        <v>71.39</v>
      </c>
      <c r="M10" s="66">
        <f>ROUND(((K10/F10)*E10),2)</f>
        <v>4.6399999999999997</v>
      </c>
      <c r="N10" s="66">
        <f>M10+L10</f>
        <v>76.03</v>
      </c>
      <c r="O10" s="66">
        <f>ROUND(+$O$2*N10,2)</f>
        <v>0</v>
      </c>
      <c r="P10" s="66">
        <f>+O10+N10</f>
        <v>76.03</v>
      </c>
      <c r="Q10" s="66">
        <f>D10*L10*12</f>
        <v>856.68000000000006</v>
      </c>
      <c r="R10" s="67">
        <f>+P10</f>
        <v>76.03</v>
      </c>
      <c r="S10" s="67">
        <f>D10*R10*12</f>
        <v>912.36</v>
      </c>
      <c r="T10" s="67">
        <f>S10-Q10</f>
        <v>55.67999999999995</v>
      </c>
      <c r="W10" s="135">
        <f t="shared" si="11"/>
        <v>6.4995097352570363E-2</v>
      </c>
      <c r="X10" s="24"/>
    </row>
    <row r="11" spans="1:24" x14ac:dyDescent="0.25">
      <c r="A11" s="157"/>
      <c r="B11" s="65">
        <v>24</v>
      </c>
      <c r="C11" s="136" t="s">
        <v>155</v>
      </c>
      <c r="D11" s="138">
        <v>1</v>
      </c>
      <c r="E11" s="69">
        <v>4.3330000000000002</v>
      </c>
      <c r="F11" s="89">
        <f>+E11*D11*12</f>
        <v>51.996000000000002</v>
      </c>
      <c r="G11" s="114">
        <f>+References!B19</f>
        <v>157</v>
      </c>
      <c r="H11" s="89">
        <f>G11*F11</f>
        <v>8163.3720000000003</v>
      </c>
      <c r="I11" s="68">
        <f t="shared" si="0"/>
        <v>5463.5407366238969</v>
      </c>
      <c r="J11" s="66">
        <f>(References!$C$49*I11)</f>
        <v>72.69240950078094</v>
      </c>
      <c r="K11" s="66">
        <f>J11/References!$G$57</f>
        <v>74.699587414611543</v>
      </c>
      <c r="L11" s="24">
        <v>85.29000000000002</v>
      </c>
      <c r="M11" s="66">
        <f>ROUND(((K11/F11)*E11),2)</f>
        <v>6.22</v>
      </c>
      <c r="N11" s="66">
        <f>M11+L11</f>
        <v>91.510000000000019</v>
      </c>
      <c r="O11" s="66">
        <f>ROUND(+$O$2*N11,2)</f>
        <v>0</v>
      </c>
      <c r="P11" s="66">
        <f>+O11+N11</f>
        <v>91.510000000000019</v>
      </c>
      <c r="Q11" s="66">
        <f>D11*L11*12</f>
        <v>1023.4800000000002</v>
      </c>
      <c r="R11" s="67">
        <f>+P11</f>
        <v>91.510000000000019</v>
      </c>
      <c r="S11" s="67">
        <f>D11*R11*12</f>
        <v>1098.1200000000003</v>
      </c>
      <c r="T11" s="67">
        <f>S11-Q11</f>
        <v>74.6400000000001</v>
      </c>
      <c r="W11" s="135">
        <f t="shared" si="11"/>
        <v>7.292765857662098E-2</v>
      </c>
      <c r="X11" s="24"/>
    </row>
    <row r="12" spans="1:24" x14ac:dyDescent="0.25">
      <c r="A12" s="157"/>
      <c r="B12" s="65">
        <v>24</v>
      </c>
      <c r="C12" s="136" t="s">
        <v>148</v>
      </c>
      <c r="D12" s="138">
        <v>3</v>
      </c>
      <c r="E12" s="69">
        <v>1</v>
      </c>
      <c r="F12" s="89">
        <f t="shared" si="5"/>
        <v>36</v>
      </c>
      <c r="G12" s="114">
        <v>20</v>
      </c>
      <c r="H12" s="89">
        <f t="shared" si="6"/>
        <v>720</v>
      </c>
      <c r="I12" s="68">
        <f t="shared" si="0"/>
        <v>481.87799482483535</v>
      </c>
      <c r="J12" s="66">
        <f>(References!$C$49*I12)</f>
        <v>6.4113867211444333</v>
      </c>
      <c r="K12" s="66">
        <f>J12/References!$G$57</f>
        <v>6.5884174993520217</v>
      </c>
      <c r="L12" s="24">
        <v>6.67</v>
      </c>
      <c r="M12" s="66">
        <f t="shared" si="1"/>
        <v>0.18</v>
      </c>
      <c r="N12" s="66">
        <f t="shared" si="2"/>
        <v>6.85</v>
      </c>
      <c r="O12" s="66">
        <f t="shared" si="7"/>
        <v>0</v>
      </c>
      <c r="P12" s="66">
        <f t="shared" si="8"/>
        <v>6.85</v>
      </c>
      <c r="Q12" s="66">
        <f t="shared" si="3"/>
        <v>240.11999999999998</v>
      </c>
      <c r="R12" s="67">
        <f t="shared" si="9"/>
        <v>6.85</v>
      </c>
      <c r="S12" s="67">
        <f t="shared" si="4"/>
        <v>246.59999999999997</v>
      </c>
      <c r="T12" s="67">
        <f t="shared" si="10"/>
        <v>6.4799999999999898</v>
      </c>
      <c r="W12" s="135">
        <f t="shared" si="11"/>
        <v>2.6986506746626615E-2</v>
      </c>
      <c r="X12" s="24"/>
    </row>
    <row r="13" spans="1:24" x14ac:dyDescent="0.25">
      <c r="A13" s="157"/>
      <c r="B13" s="65">
        <v>24</v>
      </c>
      <c r="C13" s="136" t="s">
        <v>138</v>
      </c>
      <c r="D13" s="138">
        <v>322</v>
      </c>
      <c r="E13" s="69">
        <v>4.3330000000000002</v>
      </c>
      <c r="F13" s="89">
        <f t="shared" si="5"/>
        <v>16742.712</v>
      </c>
      <c r="G13" s="114">
        <f>+G5</f>
        <v>20</v>
      </c>
      <c r="H13" s="89">
        <f t="shared" si="6"/>
        <v>334854.24</v>
      </c>
      <c r="I13" s="68">
        <f t="shared" si="0"/>
        <v>224109.56906915858</v>
      </c>
      <c r="J13" s="66">
        <f>(References!$C$49*I13)</f>
        <v>2981.7778164651545</v>
      </c>
      <c r="K13" s="66">
        <f>J13/References!$G$57</f>
        <v>3064.1104646503081</v>
      </c>
      <c r="L13" s="24">
        <v>19.28</v>
      </c>
      <c r="M13" s="66">
        <f t="shared" si="1"/>
        <v>0.79</v>
      </c>
      <c r="N13" s="66">
        <f t="shared" si="2"/>
        <v>20.07</v>
      </c>
      <c r="O13" s="66">
        <f t="shared" si="7"/>
        <v>0</v>
      </c>
      <c r="P13" s="66">
        <f t="shared" si="8"/>
        <v>20.07</v>
      </c>
      <c r="Q13" s="66">
        <f t="shared" si="3"/>
        <v>74497.920000000013</v>
      </c>
      <c r="R13" s="67">
        <f t="shared" si="9"/>
        <v>20.07</v>
      </c>
      <c r="S13" s="67">
        <f t="shared" si="4"/>
        <v>77550.48</v>
      </c>
      <c r="T13" s="67">
        <f t="shared" si="10"/>
        <v>3052.5599999999831</v>
      </c>
      <c r="W13" s="135">
        <f t="shared" si="11"/>
        <v>4.0975103734439688E-2</v>
      </c>
      <c r="X13" s="24"/>
    </row>
    <row r="14" spans="1:24" x14ac:dyDescent="0.25">
      <c r="A14" s="157"/>
      <c r="B14" s="65">
        <v>24</v>
      </c>
      <c r="C14" s="136" t="s">
        <v>139</v>
      </c>
      <c r="D14" s="138">
        <v>13</v>
      </c>
      <c r="E14" s="69">
        <v>1</v>
      </c>
      <c r="F14" s="89">
        <f t="shared" si="5"/>
        <v>156</v>
      </c>
      <c r="G14" s="114">
        <f>+References!B20</f>
        <v>37</v>
      </c>
      <c r="H14" s="89">
        <f t="shared" si="6"/>
        <v>5772</v>
      </c>
      <c r="I14" s="68">
        <f t="shared" si="0"/>
        <v>3863.0552585124301</v>
      </c>
      <c r="J14" s="66">
        <f>(References!$C$49*I14)</f>
        <v>51.397950214507873</v>
      </c>
      <c r="K14" s="66">
        <f>J14/References!$G$57</f>
        <v>52.81714695313871</v>
      </c>
      <c r="L14" s="24">
        <v>8.25</v>
      </c>
      <c r="M14" s="66">
        <f t="shared" si="1"/>
        <v>0.34</v>
      </c>
      <c r="N14" s="66">
        <f t="shared" si="2"/>
        <v>8.59</v>
      </c>
      <c r="O14" s="66">
        <f t="shared" si="7"/>
        <v>0</v>
      </c>
      <c r="P14" s="66">
        <f t="shared" si="8"/>
        <v>8.59</v>
      </c>
      <c r="Q14" s="66">
        <f t="shared" si="3"/>
        <v>1287</v>
      </c>
      <c r="R14" s="67">
        <f t="shared" si="9"/>
        <v>8.59</v>
      </c>
      <c r="S14" s="67">
        <f t="shared" si="4"/>
        <v>1340.04</v>
      </c>
      <c r="T14" s="67">
        <f t="shared" si="10"/>
        <v>53.039999999999964</v>
      </c>
      <c r="W14" s="135">
        <f t="shared" si="11"/>
        <v>4.1212121212121255E-2</v>
      </c>
      <c r="X14" s="24"/>
    </row>
    <row r="15" spans="1:24" x14ac:dyDescent="0.25">
      <c r="A15" s="157"/>
      <c r="B15" s="65">
        <v>24</v>
      </c>
      <c r="C15" s="136" t="s">
        <v>140</v>
      </c>
      <c r="D15" s="138">
        <v>65</v>
      </c>
      <c r="E15" s="69">
        <v>1</v>
      </c>
      <c r="F15" s="89">
        <f t="shared" si="5"/>
        <v>780</v>
      </c>
      <c r="G15" s="114">
        <f>+G14</f>
        <v>37</v>
      </c>
      <c r="H15" s="89">
        <f t="shared" si="6"/>
        <v>28860</v>
      </c>
      <c r="I15" s="68">
        <f t="shared" si="0"/>
        <v>19315.27629256215</v>
      </c>
      <c r="J15" s="66">
        <f>(References!$C$49*I15)</f>
        <v>256.98975107253938</v>
      </c>
      <c r="K15" s="66">
        <f>J15/References!$G$57</f>
        <v>264.08573476569353</v>
      </c>
      <c r="L15" s="24">
        <v>8.25</v>
      </c>
      <c r="M15" s="66">
        <f t="shared" si="1"/>
        <v>0.34</v>
      </c>
      <c r="N15" s="66">
        <f t="shared" si="2"/>
        <v>8.59</v>
      </c>
      <c r="O15" s="66">
        <f t="shared" si="7"/>
        <v>0</v>
      </c>
      <c r="P15" s="66">
        <f t="shared" si="8"/>
        <v>8.59</v>
      </c>
      <c r="Q15" s="66">
        <f t="shared" si="3"/>
        <v>6435</v>
      </c>
      <c r="R15" s="67">
        <f t="shared" si="9"/>
        <v>8.59</v>
      </c>
      <c r="S15" s="67">
        <f t="shared" si="4"/>
        <v>6700.2000000000007</v>
      </c>
      <c r="T15" s="67">
        <f t="shared" si="10"/>
        <v>265.20000000000073</v>
      </c>
      <c r="W15" s="135">
        <f t="shared" si="11"/>
        <v>4.1212121212121255E-2</v>
      </c>
      <c r="X15" s="24"/>
    </row>
    <row r="16" spans="1:24" x14ac:dyDescent="0.25">
      <c r="A16" s="157"/>
      <c r="B16" s="65">
        <v>24</v>
      </c>
      <c r="C16" s="136" t="s">
        <v>141</v>
      </c>
      <c r="D16" s="138">
        <v>45</v>
      </c>
      <c r="E16" s="69">
        <v>2.1667000000000001</v>
      </c>
      <c r="F16" s="89">
        <f t="shared" si="5"/>
        <v>1170.018</v>
      </c>
      <c r="G16" s="114">
        <f>+G15</f>
        <v>37</v>
      </c>
      <c r="H16" s="89">
        <f t="shared" si="6"/>
        <v>43290.665999999997</v>
      </c>
      <c r="I16" s="68">
        <f t="shared" si="0"/>
        <v>28973.360175988437</v>
      </c>
      <c r="J16" s="66">
        <f>(References!$C$49*I16)</f>
        <v>385.4905571415261</v>
      </c>
      <c r="K16" s="66">
        <f>J16/References!$G$57</f>
        <v>396.13469643472718</v>
      </c>
      <c r="L16" s="24">
        <v>16.029999999999998</v>
      </c>
      <c r="M16" s="66">
        <f t="shared" si="1"/>
        <v>0.73</v>
      </c>
      <c r="N16" s="66">
        <f t="shared" si="2"/>
        <v>16.759999999999998</v>
      </c>
      <c r="O16" s="66">
        <f t="shared" si="7"/>
        <v>0</v>
      </c>
      <c r="P16" s="66">
        <f t="shared" si="8"/>
        <v>16.759999999999998</v>
      </c>
      <c r="Q16" s="66">
        <f t="shared" si="3"/>
        <v>8656.1999999999989</v>
      </c>
      <c r="R16" s="67">
        <f t="shared" si="9"/>
        <v>16.759999999999998</v>
      </c>
      <c r="S16" s="67">
        <f t="shared" si="4"/>
        <v>9050.4</v>
      </c>
      <c r="T16" s="67">
        <f t="shared" si="10"/>
        <v>394.20000000000073</v>
      </c>
      <c r="W16" s="135">
        <f t="shared" si="11"/>
        <v>4.5539613225202835E-2</v>
      </c>
      <c r="X16" s="24"/>
    </row>
    <row r="17" spans="1:24" x14ac:dyDescent="0.25">
      <c r="A17" s="157"/>
      <c r="B17" s="65">
        <v>24</v>
      </c>
      <c r="C17" s="136" t="s">
        <v>142</v>
      </c>
      <c r="D17" s="138">
        <v>1689</v>
      </c>
      <c r="E17" s="69">
        <v>4.3330000000000002</v>
      </c>
      <c r="F17" s="89">
        <f t="shared" si="5"/>
        <v>87821.244000000006</v>
      </c>
      <c r="G17" s="114">
        <f>+G16</f>
        <v>37</v>
      </c>
      <c r="H17" s="89">
        <f t="shared" si="6"/>
        <v>3249386.0280000004</v>
      </c>
      <c r="I17" s="68">
        <f t="shared" si="0"/>
        <v>2174732.8105339953</v>
      </c>
      <c r="J17" s="66">
        <f>(References!$C$49*I17)</f>
        <v>28934.8200441548</v>
      </c>
      <c r="K17" s="66">
        <f>J17/References!$G$57</f>
        <v>29733.76634586828</v>
      </c>
      <c r="L17" s="24">
        <v>23.85</v>
      </c>
      <c r="M17" s="66">
        <f t="shared" si="1"/>
        <v>1.47</v>
      </c>
      <c r="N17" s="66">
        <f t="shared" si="2"/>
        <v>25.32</v>
      </c>
      <c r="O17" s="66">
        <f t="shared" si="7"/>
        <v>0</v>
      </c>
      <c r="P17" s="66">
        <f t="shared" si="8"/>
        <v>25.32</v>
      </c>
      <c r="Q17" s="66">
        <f t="shared" si="3"/>
        <v>483391.80000000005</v>
      </c>
      <c r="R17" s="67">
        <f t="shared" si="9"/>
        <v>25.32</v>
      </c>
      <c r="S17" s="67">
        <f t="shared" si="4"/>
        <v>513185.76</v>
      </c>
      <c r="T17" s="67">
        <f t="shared" si="10"/>
        <v>29793.959999999963</v>
      </c>
      <c r="W17" s="135">
        <f t="shared" si="11"/>
        <v>6.163522012578615E-2</v>
      </c>
      <c r="X17" s="24"/>
    </row>
    <row r="18" spans="1:24" x14ac:dyDescent="0.25">
      <c r="A18" s="157"/>
      <c r="B18" s="65">
        <v>24</v>
      </c>
      <c r="C18" s="136" t="s">
        <v>115</v>
      </c>
      <c r="D18" s="138">
        <v>24</v>
      </c>
      <c r="E18" s="69">
        <v>4.3330000000000002</v>
      </c>
      <c r="F18" s="89">
        <f t="shared" si="5"/>
        <v>1247.904</v>
      </c>
      <c r="G18" s="114">
        <f>+G17</f>
        <v>37</v>
      </c>
      <c r="H18" s="89">
        <f t="shared" si="6"/>
        <v>46172.447999999997</v>
      </c>
      <c r="I18" s="68">
        <f t="shared" si="0"/>
        <v>30902.064803324967</v>
      </c>
      <c r="J18" s="66">
        <f>(References!$C$49*I18)</f>
        <v>411.15197220823859</v>
      </c>
      <c r="K18" s="66">
        <f>J18/References!$G$57</f>
        <v>422.50467276544612</v>
      </c>
      <c r="L18" s="24">
        <v>47.67</v>
      </c>
      <c r="M18" s="66">
        <f>+M17*2</f>
        <v>2.94</v>
      </c>
      <c r="N18" s="66">
        <f t="shared" si="2"/>
        <v>50.61</v>
      </c>
      <c r="O18" s="66">
        <f t="shared" si="7"/>
        <v>0</v>
      </c>
      <c r="P18" s="66">
        <f t="shared" si="8"/>
        <v>50.61</v>
      </c>
      <c r="Q18" s="66">
        <f t="shared" si="3"/>
        <v>13728.96</v>
      </c>
      <c r="R18" s="67">
        <f t="shared" si="9"/>
        <v>50.61</v>
      </c>
      <c r="S18" s="67">
        <f t="shared" si="4"/>
        <v>14575.679999999998</v>
      </c>
      <c r="T18" s="67">
        <f t="shared" si="10"/>
        <v>846.71999999999935</v>
      </c>
      <c r="W18" s="135">
        <f t="shared" si="11"/>
        <v>6.1674008810572722E-2</v>
      </c>
      <c r="X18" s="104"/>
    </row>
    <row r="19" spans="1:24" x14ac:dyDescent="0.25">
      <c r="A19" s="157"/>
      <c r="B19" s="65">
        <v>24</v>
      </c>
      <c r="C19" s="136" t="s">
        <v>116</v>
      </c>
      <c r="D19" s="138">
        <v>771</v>
      </c>
      <c r="E19" s="69">
        <v>4.3330000000000002</v>
      </c>
      <c r="F19" s="89">
        <f t="shared" si="5"/>
        <v>40088.915999999997</v>
      </c>
      <c r="G19" s="114">
        <f>+References!B21</f>
        <v>47</v>
      </c>
      <c r="H19" s="89">
        <f t="shared" si="6"/>
        <v>1884179.0519999999</v>
      </c>
      <c r="I19" s="68">
        <f t="shared" si="0"/>
        <v>1261033.9214843321</v>
      </c>
      <c r="J19" s="66">
        <f>(References!$C$49*I19)</f>
        <v>16778.056325349036</v>
      </c>
      <c r="K19" s="66">
        <f>J19/References!$G$57</f>
        <v>17241.33088626292</v>
      </c>
      <c r="L19" s="24">
        <v>35.020000000000003</v>
      </c>
      <c r="M19" s="66">
        <f t="shared" si="1"/>
        <v>1.86</v>
      </c>
      <c r="N19" s="66">
        <f t="shared" si="2"/>
        <v>36.880000000000003</v>
      </c>
      <c r="O19" s="66">
        <f t="shared" si="7"/>
        <v>0</v>
      </c>
      <c r="P19" s="66">
        <f t="shared" si="8"/>
        <v>36.880000000000003</v>
      </c>
      <c r="Q19" s="66">
        <f t="shared" si="3"/>
        <v>324005.04000000004</v>
      </c>
      <c r="R19" s="67">
        <f t="shared" si="9"/>
        <v>36.880000000000003</v>
      </c>
      <c r="S19" s="67">
        <f t="shared" si="4"/>
        <v>341213.76</v>
      </c>
      <c r="T19" s="67">
        <f t="shared" si="10"/>
        <v>17208.719999999972</v>
      </c>
      <c r="W19" s="135">
        <f t="shared" si="11"/>
        <v>5.3112507138777909E-2</v>
      </c>
      <c r="X19" s="104"/>
    </row>
    <row r="20" spans="1:24" x14ac:dyDescent="0.25">
      <c r="A20" s="157"/>
      <c r="B20" s="65">
        <v>24</v>
      </c>
      <c r="C20" s="136" t="s">
        <v>117</v>
      </c>
      <c r="D20" s="138">
        <v>12</v>
      </c>
      <c r="E20" s="69">
        <v>4.3330000000000002</v>
      </c>
      <c r="F20" s="89">
        <f t="shared" si="5"/>
        <v>623.952</v>
      </c>
      <c r="G20" s="114">
        <f>+G19*2</f>
        <v>94</v>
      </c>
      <c r="H20" s="89">
        <f t="shared" si="6"/>
        <v>58651.487999999998</v>
      </c>
      <c r="I20" s="68">
        <f t="shared" si="0"/>
        <v>39253.974209629014</v>
      </c>
      <c r="J20" s="66">
        <f>(References!$C$49*I20)</f>
        <v>522.27412685911395</v>
      </c>
      <c r="K20" s="66">
        <f>J20/References!$G$57</f>
        <v>536.69512486421536</v>
      </c>
      <c r="L20" s="24">
        <v>70.050000000000011</v>
      </c>
      <c r="M20" s="66">
        <f>+M19*2</f>
        <v>3.72</v>
      </c>
      <c r="N20" s="66">
        <f t="shared" si="2"/>
        <v>73.77000000000001</v>
      </c>
      <c r="O20" s="66">
        <f t="shared" si="7"/>
        <v>0</v>
      </c>
      <c r="P20" s="66">
        <f t="shared" si="8"/>
        <v>73.77000000000001</v>
      </c>
      <c r="Q20" s="66">
        <f t="shared" si="3"/>
        <v>10087.200000000001</v>
      </c>
      <c r="R20" s="67">
        <f t="shared" si="9"/>
        <v>73.77000000000001</v>
      </c>
      <c r="S20" s="67">
        <f t="shared" si="4"/>
        <v>10622.880000000001</v>
      </c>
      <c r="T20" s="67">
        <f t="shared" si="10"/>
        <v>535.68000000000029</v>
      </c>
      <c r="W20" s="135">
        <f t="shared" si="11"/>
        <v>5.3104925053533147E-2</v>
      </c>
      <c r="X20" s="104"/>
    </row>
    <row r="21" spans="1:24" x14ac:dyDescent="0.25">
      <c r="A21" s="157"/>
      <c r="B21" s="65">
        <v>24</v>
      </c>
      <c r="C21" s="136" t="s">
        <v>118</v>
      </c>
      <c r="D21" s="138">
        <v>238</v>
      </c>
      <c r="E21" s="69">
        <v>4.3330000000000002</v>
      </c>
      <c r="F21" s="89">
        <f t="shared" si="5"/>
        <v>12375.048000000003</v>
      </c>
      <c r="G21" s="114">
        <f>+References!B22</f>
        <v>68</v>
      </c>
      <c r="H21" s="89">
        <f t="shared" si="6"/>
        <v>841503.2640000002</v>
      </c>
      <c r="I21" s="68">
        <f t="shared" si="0"/>
        <v>563197.09096510301</v>
      </c>
      <c r="J21" s="66">
        <f>(References!$C$49*I21)</f>
        <v>7493.3372952906939</v>
      </c>
      <c r="K21" s="66">
        <f>J21/References!$G$57</f>
        <v>7700.2428198603411</v>
      </c>
      <c r="L21" s="24">
        <v>47.6</v>
      </c>
      <c r="M21" s="66">
        <f t="shared" si="1"/>
        <v>2.7</v>
      </c>
      <c r="N21" s="66">
        <f t="shared" si="2"/>
        <v>50.300000000000004</v>
      </c>
      <c r="O21" s="66">
        <f t="shared" si="7"/>
        <v>0</v>
      </c>
      <c r="P21" s="66">
        <f t="shared" si="8"/>
        <v>50.300000000000004</v>
      </c>
      <c r="Q21" s="66">
        <f t="shared" si="3"/>
        <v>135945.60000000001</v>
      </c>
      <c r="R21" s="67">
        <f t="shared" si="9"/>
        <v>50.300000000000004</v>
      </c>
      <c r="S21" s="67">
        <f t="shared" si="4"/>
        <v>143656.80000000002</v>
      </c>
      <c r="T21" s="67">
        <f t="shared" si="10"/>
        <v>7711.2000000000116</v>
      </c>
      <c r="W21" s="135">
        <f t="shared" si="11"/>
        <v>5.6722689075630273E-2</v>
      </c>
      <c r="X21" s="104"/>
    </row>
    <row r="22" spans="1:24" x14ac:dyDescent="0.25">
      <c r="A22" s="157"/>
      <c r="B22" s="65">
        <v>24</v>
      </c>
      <c r="C22" s="136" t="s">
        <v>119</v>
      </c>
      <c r="D22" s="138">
        <v>14</v>
      </c>
      <c r="E22" s="69">
        <v>4.3330000000000002</v>
      </c>
      <c r="F22" s="89">
        <f t="shared" si="5"/>
        <v>727.94400000000007</v>
      </c>
      <c r="G22" s="114">
        <f>+G21*2</f>
        <v>136</v>
      </c>
      <c r="H22" s="89">
        <f t="shared" si="6"/>
        <v>99000.384000000005</v>
      </c>
      <c r="I22" s="68">
        <f t="shared" si="0"/>
        <v>66258.481290012103</v>
      </c>
      <c r="J22" s="66">
        <f>(References!$C$49*I22)</f>
        <v>881.56909356361086</v>
      </c>
      <c r="K22" s="66">
        <f>J22/References!$G$57</f>
        <v>905.91091998356933</v>
      </c>
      <c r="L22" s="24">
        <v>94.8</v>
      </c>
      <c r="M22" s="66">
        <f>+M21*2</f>
        <v>5.4</v>
      </c>
      <c r="N22" s="66">
        <f t="shared" si="2"/>
        <v>100.2</v>
      </c>
      <c r="O22" s="66">
        <f t="shared" si="7"/>
        <v>0</v>
      </c>
      <c r="P22" s="66">
        <f t="shared" si="8"/>
        <v>100.2</v>
      </c>
      <c r="Q22" s="66">
        <f t="shared" si="3"/>
        <v>15926.400000000001</v>
      </c>
      <c r="R22" s="67">
        <f t="shared" si="9"/>
        <v>100.2</v>
      </c>
      <c r="S22" s="67">
        <f t="shared" si="4"/>
        <v>16833.599999999999</v>
      </c>
      <c r="T22" s="67">
        <f t="shared" si="10"/>
        <v>907.19999999999709</v>
      </c>
      <c r="W22" s="135">
        <f t="shared" si="11"/>
        <v>5.6962025316455778E-2</v>
      </c>
      <c r="X22" s="104"/>
    </row>
    <row r="23" spans="1:24" x14ac:dyDescent="0.25">
      <c r="A23" s="157"/>
      <c r="B23" s="65">
        <v>25</v>
      </c>
      <c r="C23" s="136" t="s">
        <v>47</v>
      </c>
      <c r="D23" s="139">
        <v>675</v>
      </c>
      <c r="E23" s="69">
        <v>1</v>
      </c>
      <c r="F23" s="89">
        <f t="shared" si="5"/>
        <v>8100</v>
      </c>
      <c r="G23" s="114">
        <f>+References!B24</f>
        <v>34</v>
      </c>
      <c r="H23" s="89">
        <f t="shared" si="6"/>
        <v>275400</v>
      </c>
      <c r="I23" s="68">
        <f t="shared" si="0"/>
        <v>184318.33302049953</v>
      </c>
      <c r="J23" s="66">
        <f>(References!$C$49*I23)</f>
        <v>2452.3554208377459</v>
      </c>
      <c r="K23" s="66">
        <f>J23/References!$G$57</f>
        <v>2520.0696935021483</v>
      </c>
      <c r="L23" s="24">
        <v>5.5600000000000005</v>
      </c>
      <c r="M23" s="66">
        <f t="shared" si="1"/>
        <v>0.31</v>
      </c>
      <c r="N23" s="66">
        <f t="shared" si="2"/>
        <v>5.87</v>
      </c>
      <c r="O23" s="66">
        <f t="shared" si="7"/>
        <v>0</v>
      </c>
      <c r="P23" s="66">
        <f t="shared" si="8"/>
        <v>5.87</v>
      </c>
      <c r="Q23" s="66">
        <f t="shared" si="3"/>
        <v>45036.000000000007</v>
      </c>
      <c r="R23" s="67">
        <f t="shared" si="9"/>
        <v>5.87</v>
      </c>
      <c r="S23" s="67">
        <f t="shared" si="4"/>
        <v>47547</v>
      </c>
      <c r="T23" s="67">
        <f t="shared" si="10"/>
        <v>2510.9999999999927</v>
      </c>
      <c r="W23" s="135">
        <f t="shared" si="11"/>
        <v>5.5755395683453113E-2</v>
      </c>
      <c r="X23" s="104"/>
    </row>
    <row r="24" spans="1:24" x14ac:dyDescent="0.25">
      <c r="A24" s="72"/>
      <c r="B24" s="73"/>
      <c r="C24" s="74" t="s">
        <v>3</v>
      </c>
      <c r="D24" s="75">
        <f>SUM(D3:D23)</f>
        <v>5522</v>
      </c>
      <c r="E24" s="76"/>
      <c r="F24" s="75">
        <f>SUM(F3:F23)</f>
        <v>246358.43799999999</v>
      </c>
      <c r="G24" s="116"/>
      <c r="H24" s="77">
        <f>SUM(H3:H23)</f>
        <v>9765302.5300000012</v>
      </c>
      <c r="I24" s="78">
        <f>SUM(I3:I23)</f>
        <v>6535672.7805754058</v>
      </c>
      <c r="J24" s="79"/>
      <c r="K24" s="79"/>
      <c r="L24" s="79"/>
      <c r="M24" s="79"/>
      <c r="N24" s="79"/>
      <c r="O24" s="79"/>
      <c r="P24" s="79"/>
      <c r="Q24" s="80">
        <f>SUM(Q3:Q23)</f>
        <v>1571868.3599999999</v>
      </c>
      <c r="R24" s="80"/>
      <c r="S24" s="80">
        <f>SUM(S3:S23)</f>
        <v>1661667</v>
      </c>
      <c r="T24" s="80">
        <f>SUM(T3:T23)</f>
        <v>89798.639999999956</v>
      </c>
      <c r="W24" s="143">
        <f>+T24/Q24</f>
        <v>5.7128600769087282E-2</v>
      </c>
      <c r="X24" s="104"/>
    </row>
    <row r="25" spans="1:24" ht="15" customHeight="1" x14ac:dyDescent="0.25">
      <c r="A25" s="158" t="s">
        <v>97</v>
      </c>
      <c r="B25" s="65">
        <v>36</v>
      </c>
      <c r="C25" s="136" t="s">
        <v>111</v>
      </c>
      <c r="D25" s="136">
        <v>1</v>
      </c>
      <c r="E25" s="136">
        <v>0.5</v>
      </c>
      <c r="F25" s="89">
        <f>+E25*D25*52</f>
        <v>26</v>
      </c>
      <c r="G25" s="115">
        <f>References!$B$26</f>
        <v>29</v>
      </c>
      <c r="H25" s="71">
        <f t="shared" ref="H25:H47" si="12">F25*G25</f>
        <v>754</v>
      </c>
      <c r="I25" s="68">
        <f t="shared" ref="I25:I64" si="13">$C$76*H25</f>
        <v>504.63334458045256</v>
      </c>
      <c r="J25" s="66">
        <f>References!$C$49*I25</f>
        <v>6.7141466496429203</v>
      </c>
      <c r="K25" s="66">
        <f>J25/References!$G$57</f>
        <v>6.8995372145992002</v>
      </c>
      <c r="L25" s="24">
        <v>4.87</v>
      </c>
      <c r="M25" s="66">
        <f t="shared" ref="M25:M59" si="14">ROUND((K25/F25),2)</f>
        <v>0.27</v>
      </c>
      <c r="N25" s="66">
        <f t="shared" ref="N25:N49" si="15">M25+L25</f>
        <v>5.1400000000000006</v>
      </c>
      <c r="O25" s="66">
        <f>ROUND(+$O$2*N25,2)</f>
        <v>0</v>
      </c>
      <c r="P25" s="66">
        <f>+O25+N25</f>
        <v>5.1400000000000006</v>
      </c>
      <c r="Q25" s="66">
        <f t="shared" ref="Q25:Q49" si="16">F25*L25</f>
        <v>126.62</v>
      </c>
      <c r="R25" s="67">
        <f t="shared" si="9"/>
        <v>5.1400000000000006</v>
      </c>
      <c r="S25" s="67">
        <f t="shared" ref="S25:S49" si="17">F25*R25</f>
        <v>133.64000000000001</v>
      </c>
      <c r="T25" s="67">
        <f t="shared" ref="T25:T43" si="18">S25-Q25</f>
        <v>7.0200000000000102</v>
      </c>
      <c r="W25" s="135">
        <f t="shared" si="11"/>
        <v>5.544147843942504E-2</v>
      </c>
      <c r="X25" s="104"/>
    </row>
    <row r="26" spans="1:24" x14ac:dyDescent="0.25">
      <c r="A26" s="157"/>
      <c r="B26" s="65">
        <v>36</v>
      </c>
      <c r="C26" s="136" t="s">
        <v>112</v>
      </c>
      <c r="D26" s="136">
        <v>4</v>
      </c>
      <c r="E26" s="136">
        <v>1</v>
      </c>
      <c r="F26" s="89">
        <f t="shared" ref="F26:F47" si="19">+E26*D26*52</f>
        <v>208</v>
      </c>
      <c r="G26" s="115">
        <f>References!$B$26</f>
        <v>29</v>
      </c>
      <c r="H26" s="71">
        <f t="shared" si="12"/>
        <v>6032</v>
      </c>
      <c r="I26" s="68">
        <f t="shared" si="13"/>
        <v>4037.0667566436205</v>
      </c>
      <c r="J26" s="66">
        <f>References!$C$49*I26</f>
        <v>53.713173197143362</v>
      </c>
      <c r="K26" s="66">
        <f>J26/References!$G$57</f>
        <v>55.196297716793602</v>
      </c>
      <c r="L26" s="24">
        <v>4.87</v>
      </c>
      <c r="M26" s="66">
        <f t="shared" si="14"/>
        <v>0.27</v>
      </c>
      <c r="N26" s="66">
        <f t="shared" si="15"/>
        <v>5.1400000000000006</v>
      </c>
      <c r="O26" s="66">
        <f t="shared" ref="O26:O49" si="20">ROUND(+$O$2*N26,2)</f>
        <v>0</v>
      </c>
      <c r="P26" s="66">
        <f t="shared" ref="P26:P49" si="21">+O26+N26</f>
        <v>5.1400000000000006</v>
      </c>
      <c r="Q26" s="66">
        <f t="shared" si="16"/>
        <v>1012.96</v>
      </c>
      <c r="R26" s="67">
        <f t="shared" si="9"/>
        <v>5.1400000000000006</v>
      </c>
      <c r="S26" s="67">
        <f t="shared" si="17"/>
        <v>1069.1200000000001</v>
      </c>
      <c r="T26" s="67">
        <f t="shared" si="18"/>
        <v>56.160000000000082</v>
      </c>
      <c r="W26" s="135">
        <f t="shared" si="11"/>
        <v>5.544147843942504E-2</v>
      </c>
      <c r="X26" s="104"/>
    </row>
    <row r="27" spans="1:24" x14ac:dyDescent="0.25">
      <c r="A27" s="157"/>
      <c r="B27" s="65">
        <v>36</v>
      </c>
      <c r="C27" s="136" t="s">
        <v>141</v>
      </c>
      <c r="D27" s="136">
        <v>1</v>
      </c>
      <c r="E27" s="136">
        <v>0.5</v>
      </c>
      <c r="F27" s="89">
        <f t="shared" si="19"/>
        <v>26</v>
      </c>
      <c r="G27" s="115">
        <v>37</v>
      </c>
      <c r="H27" s="71">
        <f t="shared" si="12"/>
        <v>962</v>
      </c>
      <c r="I27" s="68">
        <f t="shared" si="13"/>
        <v>643.84254308540505</v>
      </c>
      <c r="J27" s="66">
        <f>References!$C$49*I27</f>
        <v>8.5663250357513121</v>
      </c>
      <c r="K27" s="66">
        <f>J27/References!$G$57</f>
        <v>8.8028578255231178</v>
      </c>
      <c r="L27" s="24">
        <v>6.29</v>
      </c>
      <c r="M27" s="66">
        <f t="shared" si="14"/>
        <v>0.34</v>
      </c>
      <c r="N27" s="66">
        <f t="shared" si="15"/>
        <v>6.63</v>
      </c>
      <c r="O27" s="66">
        <f t="shared" si="20"/>
        <v>0</v>
      </c>
      <c r="P27" s="66">
        <f t="shared" si="21"/>
        <v>6.63</v>
      </c>
      <c r="Q27" s="66">
        <f t="shared" si="16"/>
        <v>163.54</v>
      </c>
      <c r="R27" s="67">
        <f t="shared" si="9"/>
        <v>6.63</v>
      </c>
      <c r="S27" s="67">
        <f t="shared" si="17"/>
        <v>172.38</v>
      </c>
      <c r="T27" s="67">
        <f t="shared" si="18"/>
        <v>8.8400000000000034</v>
      </c>
      <c r="W27" s="135">
        <f t="shared" si="11"/>
        <v>5.4054054054053946E-2</v>
      </c>
      <c r="X27" s="104"/>
    </row>
    <row r="28" spans="1:24" x14ac:dyDescent="0.25">
      <c r="A28" s="157"/>
      <c r="B28" s="65">
        <v>36</v>
      </c>
      <c r="C28" s="136" t="s">
        <v>149</v>
      </c>
      <c r="D28" s="136">
        <v>1</v>
      </c>
      <c r="E28" s="136">
        <v>0.5</v>
      </c>
      <c r="F28" s="89">
        <f t="shared" si="19"/>
        <v>26</v>
      </c>
      <c r="G28" s="115">
        <v>47</v>
      </c>
      <c r="H28" s="71">
        <f t="shared" si="12"/>
        <v>1222</v>
      </c>
      <c r="I28" s="68">
        <f t="shared" si="13"/>
        <v>817.85404121659553</v>
      </c>
      <c r="J28" s="66">
        <f>References!$C$49*I28</f>
        <v>10.881548018386802</v>
      </c>
      <c r="K28" s="66">
        <f>J28/References!$G$57</f>
        <v>11.182008589178015</v>
      </c>
      <c r="L28" s="24">
        <v>8.9599999999999991</v>
      </c>
      <c r="M28" s="66">
        <f t="shared" si="14"/>
        <v>0.43</v>
      </c>
      <c r="N28" s="66">
        <f t="shared" si="15"/>
        <v>9.3899999999999988</v>
      </c>
      <c r="O28" s="66">
        <f t="shared" si="20"/>
        <v>0</v>
      </c>
      <c r="P28" s="66">
        <f t="shared" si="21"/>
        <v>9.3899999999999988</v>
      </c>
      <c r="Q28" s="66">
        <f t="shared" si="16"/>
        <v>232.95999999999998</v>
      </c>
      <c r="R28" s="67">
        <f t="shared" si="9"/>
        <v>9.3899999999999988</v>
      </c>
      <c r="S28" s="67">
        <f t="shared" si="17"/>
        <v>244.13999999999996</v>
      </c>
      <c r="T28" s="67">
        <f t="shared" si="18"/>
        <v>11.179999999999978</v>
      </c>
      <c r="W28" s="135">
        <f t="shared" si="11"/>
        <v>4.7991071428571397E-2</v>
      </c>
      <c r="X28" s="104"/>
    </row>
    <row r="29" spans="1:24" x14ac:dyDescent="0.25">
      <c r="A29" s="157"/>
      <c r="B29" s="65">
        <v>36</v>
      </c>
      <c r="C29" s="136" t="s">
        <v>116</v>
      </c>
      <c r="D29" s="136">
        <v>2</v>
      </c>
      <c r="E29" s="136">
        <v>1</v>
      </c>
      <c r="F29" s="89">
        <f t="shared" si="19"/>
        <v>104</v>
      </c>
      <c r="G29" s="115">
        <v>47</v>
      </c>
      <c r="H29" s="71">
        <f t="shared" si="12"/>
        <v>4888</v>
      </c>
      <c r="I29" s="68">
        <f t="shared" si="13"/>
        <v>3271.4161648663821</v>
      </c>
      <c r="J29" s="66">
        <f>References!$C$49*I29</f>
        <v>43.526192073547207</v>
      </c>
      <c r="K29" s="66">
        <f>J29/References!$G$57</f>
        <v>44.728034356712058</v>
      </c>
      <c r="L29" s="24">
        <v>8.9599999999999991</v>
      </c>
      <c r="M29" s="66">
        <f t="shared" si="14"/>
        <v>0.43</v>
      </c>
      <c r="N29" s="66">
        <f t="shared" si="15"/>
        <v>9.3899999999999988</v>
      </c>
      <c r="O29" s="66">
        <f t="shared" si="20"/>
        <v>0</v>
      </c>
      <c r="P29" s="66">
        <f t="shared" si="21"/>
        <v>9.3899999999999988</v>
      </c>
      <c r="Q29" s="66">
        <f t="shared" si="16"/>
        <v>931.83999999999992</v>
      </c>
      <c r="R29" s="67">
        <f t="shared" si="9"/>
        <v>9.3899999999999988</v>
      </c>
      <c r="S29" s="67">
        <f t="shared" si="17"/>
        <v>976.55999999999983</v>
      </c>
      <c r="T29" s="67">
        <f t="shared" si="18"/>
        <v>44.719999999999914</v>
      </c>
      <c r="W29" s="135">
        <f t="shared" si="11"/>
        <v>4.7991071428571397E-2</v>
      </c>
      <c r="X29" s="105"/>
    </row>
    <row r="30" spans="1:24" x14ac:dyDescent="0.25">
      <c r="A30" s="157"/>
      <c r="B30" s="65">
        <v>36</v>
      </c>
      <c r="C30" s="136" t="s">
        <v>118</v>
      </c>
      <c r="D30" s="136">
        <v>3</v>
      </c>
      <c r="E30" s="136">
        <v>1</v>
      </c>
      <c r="F30" s="89">
        <f t="shared" si="19"/>
        <v>156</v>
      </c>
      <c r="G30" s="115">
        <v>68</v>
      </c>
      <c r="H30" s="71">
        <f t="shared" ref="H30:H36" si="22">F30*G30</f>
        <v>10608</v>
      </c>
      <c r="I30" s="68">
        <f t="shared" si="13"/>
        <v>7099.6691237525738</v>
      </c>
      <c r="J30" s="66">
        <f>References!$C$49*I30</f>
        <v>94.461097691527982</v>
      </c>
      <c r="K30" s="66">
        <f>J30/References!$G$57</f>
        <v>97.069351157119783</v>
      </c>
      <c r="L30" s="24">
        <v>12.350000000000001</v>
      </c>
      <c r="M30" s="66">
        <f t="shared" si="14"/>
        <v>0.62</v>
      </c>
      <c r="N30" s="66">
        <f t="shared" si="15"/>
        <v>12.97</v>
      </c>
      <c r="O30" s="66">
        <f t="shared" si="20"/>
        <v>0</v>
      </c>
      <c r="P30" s="66">
        <f t="shared" si="21"/>
        <v>12.97</v>
      </c>
      <c r="Q30" s="66">
        <f t="shared" si="16"/>
        <v>1926.6000000000001</v>
      </c>
      <c r="R30" s="67">
        <f t="shared" si="9"/>
        <v>12.97</v>
      </c>
      <c r="S30" s="67">
        <f t="shared" si="17"/>
        <v>2023.3200000000002</v>
      </c>
      <c r="T30" s="67">
        <f t="shared" ref="T30:T36" si="23">S30-Q30</f>
        <v>96.720000000000027</v>
      </c>
      <c r="W30" s="135">
        <f t="shared" si="11"/>
        <v>5.0202429149797556E-2</v>
      </c>
      <c r="X30" s="105"/>
    </row>
    <row r="31" spans="1:24" x14ac:dyDescent="0.25">
      <c r="A31" s="157"/>
      <c r="B31" s="65">
        <v>36</v>
      </c>
      <c r="C31" s="136" t="s">
        <v>167</v>
      </c>
      <c r="D31" s="136">
        <v>1</v>
      </c>
      <c r="E31" s="136">
        <v>1</v>
      </c>
      <c r="F31" s="89">
        <f t="shared" si="19"/>
        <v>52</v>
      </c>
      <c r="G31" s="115">
        <f>G26</f>
        <v>29</v>
      </c>
      <c r="H31" s="71">
        <f t="shared" si="22"/>
        <v>1508</v>
      </c>
      <c r="I31" s="68">
        <f t="shared" si="13"/>
        <v>1009.2666891609051</v>
      </c>
      <c r="J31" s="66">
        <f>References!$C$49*I31</f>
        <v>13.428293299285841</v>
      </c>
      <c r="K31" s="66">
        <f>J31/References!$G$57</f>
        <v>13.7990744291984</v>
      </c>
      <c r="L31" s="24">
        <v>17.53</v>
      </c>
      <c r="M31" s="66">
        <f>ROUND((K31/F31),2)</f>
        <v>0.27</v>
      </c>
      <c r="N31" s="66">
        <f>M31+L31</f>
        <v>17.8</v>
      </c>
      <c r="O31" s="66">
        <f>ROUND(+$O$2*N31,2)</f>
        <v>0</v>
      </c>
      <c r="P31" s="66">
        <f>+O31+N31</f>
        <v>17.8</v>
      </c>
      <c r="Q31" s="66">
        <f>F31*L31</f>
        <v>911.56000000000006</v>
      </c>
      <c r="R31" s="67">
        <f>+P31</f>
        <v>17.8</v>
      </c>
      <c r="S31" s="67">
        <f>F31*R31</f>
        <v>925.6</v>
      </c>
      <c r="T31" s="67">
        <f t="shared" si="23"/>
        <v>14.039999999999964</v>
      </c>
      <c r="W31" s="135"/>
      <c r="X31" s="105"/>
    </row>
    <row r="32" spans="1:24" x14ac:dyDescent="0.25">
      <c r="A32" s="157"/>
      <c r="B32" s="65">
        <v>36</v>
      </c>
      <c r="C32" s="136" t="s">
        <v>168</v>
      </c>
      <c r="D32" s="136">
        <v>1</v>
      </c>
      <c r="E32" s="136">
        <v>1</v>
      </c>
      <c r="F32" s="89">
        <f t="shared" si="19"/>
        <v>52</v>
      </c>
      <c r="G32" s="115">
        <f>G27</f>
        <v>37</v>
      </c>
      <c r="H32" s="71">
        <f t="shared" si="22"/>
        <v>1924</v>
      </c>
      <c r="I32" s="68">
        <f t="shared" si="13"/>
        <v>1287.6850861708101</v>
      </c>
      <c r="J32" s="66">
        <f>References!$C$49*I32</f>
        <v>17.132650071502624</v>
      </c>
      <c r="K32" s="66">
        <f>J32/References!$G$57</f>
        <v>17.605715651046236</v>
      </c>
      <c r="L32" s="24">
        <v>18.920000000000002</v>
      </c>
      <c r="M32" s="66">
        <f>ROUND((K32/F32),2)</f>
        <v>0.34</v>
      </c>
      <c r="N32" s="66">
        <f>M32+L32</f>
        <v>19.260000000000002</v>
      </c>
      <c r="O32" s="66">
        <f>ROUND(+$O$2*N32,2)</f>
        <v>0</v>
      </c>
      <c r="P32" s="66">
        <f>+O32+N32</f>
        <v>19.260000000000002</v>
      </c>
      <c r="Q32" s="66">
        <f>F32*L32</f>
        <v>983.84000000000015</v>
      </c>
      <c r="R32" s="67">
        <f>+P32</f>
        <v>19.260000000000002</v>
      </c>
      <c r="S32" s="67">
        <f>F32*R32</f>
        <v>1001.5200000000001</v>
      </c>
      <c r="T32" s="67">
        <f t="shared" si="23"/>
        <v>17.67999999999995</v>
      </c>
      <c r="W32" s="135"/>
      <c r="X32" s="105"/>
    </row>
    <row r="33" spans="1:24" x14ac:dyDescent="0.25">
      <c r="A33" s="157"/>
      <c r="B33" s="65">
        <v>36</v>
      </c>
      <c r="C33" s="136" t="s">
        <v>169</v>
      </c>
      <c r="D33" s="136">
        <v>1</v>
      </c>
      <c r="E33" s="136">
        <v>1</v>
      </c>
      <c r="F33" s="89">
        <f t="shared" si="19"/>
        <v>52</v>
      </c>
      <c r="G33" s="115">
        <f>G28</f>
        <v>47</v>
      </c>
      <c r="H33" s="71">
        <f t="shared" si="22"/>
        <v>2444</v>
      </c>
      <c r="I33" s="68">
        <f t="shared" si="13"/>
        <v>1635.7080824331911</v>
      </c>
      <c r="J33" s="66">
        <f>References!$C$49*I33</f>
        <v>21.763096036773604</v>
      </c>
      <c r="K33" s="66">
        <f>J33/References!$G$57</f>
        <v>22.364017178356029</v>
      </c>
      <c r="L33" s="24">
        <v>21.45</v>
      </c>
      <c r="M33" s="66">
        <f>ROUND((K33/F33),2)</f>
        <v>0.43</v>
      </c>
      <c r="N33" s="66">
        <f>M33+L33</f>
        <v>21.88</v>
      </c>
      <c r="O33" s="66">
        <f>ROUND(+$O$2*N33,2)</f>
        <v>0</v>
      </c>
      <c r="P33" s="66">
        <f>+O33+N33</f>
        <v>21.88</v>
      </c>
      <c r="Q33" s="66">
        <f>F33*L33</f>
        <v>1115.3999999999999</v>
      </c>
      <c r="R33" s="67">
        <f>+P33</f>
        <v>21.88</v>
      </c>
      <c r="S33" s="67">
        <f>F33*R33</f>
        <v>1137.76</v>
      </c>
      <c r="T33" s="67">
        <f t="shared" si="23"/>
        <v>22.360000000000127</v>
      </c>
      <c r="W33" s="135"/>
      <c r="X33" s="105"/>
    </row>
    <row r="34" spans="1:24" x14ac:dyDescent="0.25">
      <c r="A34" s="157"/>
      <c r="B34" s="65">
        <v>36</v>
      </c>
      <c r="C34" s="136" t="s">
        <v>170</v>
      </c>
      <c r="D34" s="136">
        <v>1</v>
      </c>
      <c r="E34" s="136">
        <v>1</v>
      </c>
      <c r="F34" s="89">
        <f t="shared" si="19"/>
        <v>52</v>
      </c>
      <c r="G34" s="115">
        <f>G30</f>
        <v>68</v>
      </c>
      <c r="H34" s="71">
        <f t="shared" si="22"/>
        <v>3536</v>
      </c>
      <c r="I34" s="68">
        <f t="shared" si="13"/>
        <v>2366.5563745841914</v>
      </c>
      <c r="J34" s="66">
        <f>References!$C$49*I34</f>
        <v>31.487032563842661</v>
      </c>
      <c r="K34" s="66">
        <f>J34/References!$G$57</f>
        <v>32.356450385706594</v>
      </c>
      <c r="L34" s="24">
        <v>24.83</v>
      </c>
      <c r="M34" s="66">
        <f>ROUND((K34/F34),2)</f>
        <v>0.62</v>
      </c>
      <c r="N34" s="66">
        <f>M34+L34</f>
        <v>25.45</v>
      </c>
      <c r="O34" s="66">
        <f>ROUND(+$O$2*N34,2)</f>
        <v>0</v>
      </c>
      <c r="P34" s="66">
        <f>+O34+N34</f>
        <v>25.45</v>
      </c>
      <c r="Q34" s="66">
        <f>F34*L34</f>
        <v>1291.1599999999999</v>
      </c>
      <c r="R34" s="67">
        <f>+P34</f>
        <v>25.45</v>
      </c>
      <c r="S34" s="67">
        <f>F34*R34</f>
        <v>1323.3999999999999</v>
      </c>
      <c r="T34" s="67">
        <f t="shared" si="23"/>
        <v>32.240000000000009</v>
      </c>
      <c r="W34" s="135"/>
      <c r="X34" s="105"/>
    </row>
    <row r="35" spans="1:24" x14ac:dyDescent="0.25">
      <c r="A35" s="157"/>
      <c r="B35" s="65">
        <v>35</v>
      </c>
      <c r="C35" s="136" t="s">
        <v>120</v>
      </c>
      <c r="D35" s="136">
        <v>9</v>
      </c>
      <c r="E35" s="136">
        <v>0.5</v>
      </c>
      <c r="F35" s="89">
        <f t="shared" si="19"/>
        <v>234</v>
      </c>
      <c r="G35" s="115">
        <f>+References!B27</f>
        <v>175</v>
      </c>
      <c r="H35" s="71">
        <f t="shared" si="22"/>
        <v>40950</v>
      </c>
      <c r="I35" s="68">
        <f t="shared" si="13"/>
        <v>27406.81095566251</v>
      </c>
      <c r="J35" s="66">
        <f>References!$C$49*I35</f>
        <v>364.64761976508964</v>
      </c>
      <c r="K35" s="66">
        <f>J35/References!$G$57</f>
        <v>374.71624527564626</v>
      </c>
      <c r="L35" s="24">
        <v>22.96</v>
      </c>
      <c r="M35" s="66">
        <f t="shared" si="14"/>
        <v>1.6</v>
      </c>
      <c r="N35" s="66">
        <f t="shared" si="15"/>
        <v>24.560000000000002</v>
      </c>
      <c r="O35" s="66">
        <f t="shared" si="20"/>
        <v>0</v>
      </c>
      <c r="P35" s="66">
        <f t="shared" si="21"/>
        <v>24.560000000000002</v>
      </c>
      <c r="Q35" s="66">
        <f t="shared" si="16"/>
        <v>5372.64</v>
      </c>
      <c r="R35" s="67">
        <f t="shared" si="9"/>
        <v>24.560000000000002</v>
      </c>
      <c r="S35" s="67">
        <f t="shared" si="17"/>
        <v>5747.0400000000009</v>
      </c>
      <c r="T35" s="67">
        <f t="shared" si="23"/>
        <v>374.40000000000055</v>
      </c>
      <c r="W35" s="135">
        <f t="shared" si="11"/>
        <v>6.9686411149825878E-2</v>
      </c>
      <c r="X35" s="105"/>
    </row>
    <row r="36" spans="1:24" x14ac:dyDescent="0.25">
      <c r="A36" s="157"/>
      <c r="B36" s="65">
        <v>35</v>
      </c>
      <c r="C36" s="136" t="s">
        <v>121</v>
      </c>
      <c r="D36" s="136">
        <v>18</v>
      </c>
      <c r="E36" s="136">
        <v>1</v>
      </c>
      <c r="F36" s="89">
        <f t="shared" si="19"/>
        <v>936</v>
      </c>
      <c r="G36" s="115">
        <f>+G35</f>
        <v>175</v>
      </c>
      <c r="H36" s="71">
        <f t="shared" si="22"/>
        <v>163800</v>
      </c>
      <c r="I36" s="68">
        <f t="shared" si="13"/>
        <v>109627.24382265004</v>
      </c>
      <c r="J36" s="66">
        <f>References!$C$49*I36</f>
        <v>1458.5904790603586</v>
      </c>
      <c r="K36" s="66">
        <f>J36/References!$G$57</f>
        <v>1498.864981102585</v>
      </c>
      <c r="L36" s="24">
        <v>22.96</v>
      </c>
      <c r="M36" s="66">
        <f t="shared" si="14"/>
        <v>1.6</v>
      </c>
      <c r="N36" s="66">
        <f t="shared" si="15"/>
        <v>24.560000000000002</v>
      </c>
      <c r="O36" s="66">
        <f t="shared" si="20"/>
        <v>0</v>
      </c>
      <c r="P36" s="66">
        <f t="shared" si="21"/>
        <v>24.560000000000002</v>
      </c>
      <c r="Q36" s="66">
        <f t="shared" si="16"/>
        <v>21490.560000000001</v>
      </c>
      <c r="R36" s="67">
        <f t="shared" si="9"/>
        <v>24.560000000000002</v>
      </c>
      <c r="S36" s="67">
        <f t="shared" si="17"/>
        <v>22988.160000000003</v>
      </c>
      <c r="T36" s="67">
        <f t="shared" si="23"/>
        <v>1497.6000000000022</v>
      </c>
      <c r="W36" s="135">
        <f t="shared" si="11"/>
        <v>6.9686411149825878E-2</v>
      </c>
      <c r="X36" s="105"/>
    </row>
    <row r="37" spans="1:24" x14ac:dyDescent="0.25">
      <c r="A37" s="157"/>
      <c r="B37" s="65">
        <v>35</v>
      </c>
      <c r="C37" s="136" t="s">
        <v>122</v>
      </c>
      <c r="D37" s="136">
        <v>2</v>
      </c>
      <c r="E37" s="136">
        <v>0.5</v>
      </c>
      <c r="F37" s="89">
        <f t="shared" si="19"/>
        <v>52</v>
      </c>
      <c r="G37" s="115">
        <f>+References!B28</f>
        <v>250</v>
      </c>
      <c r="H37" s="71">
        <f t="shared" si="12"/>
        <v>13000</v>
      </c>
      <c r="I37" s="68">
        <f t="shared" si="13"/>
        <v>8700.5749065595264</v>
      </c>
      <c r="J37" s="66">
        <f>References!$C$49*I37</f>
        <v>115.76114913177447</v>
      </c>
      <c r="K37" s="66">
        <f>J37/References!$G$57</f>
        <v>118.95753818274483</v>
      </c>
      <c r="L37" s="24">
        <v>30.349999999999998</v>
      </c>
      <c r="M37" s="66">
        <f t="shared" si="14"/>
        <v>2.29</v>
      </c>
      <c r="N37" s="66">
        <f t="shared" si="15"/>
        <v>32.64</v>
      </c>
      <c r="O37" s="66">
        <f t="shared" si="20"/>
        <v>0</v>
      </c>
      <c r="P37" s="66">
        <f t="shared" si="21"/>
        <v>32.64</v>
      </c>
      <c r="Q37" s="66">
        <f t="shared" si="16"/>
        <v>1578.1999999999998</v>
      </c>
      <c r="R37" s="67">
        <f t="shared" si="9"/>
        <v>32.64</v>
      </c>
      <c r="S37" s="67">
        <f t="shared" si="17"/>
        <v>1697.28</v>
      </c>
      <c r="T37" s="67">
        <f t="shared" si="18"/>
        <v>119.08000000000015</v>
      </c>
      <c r="W37" s="135">
        <f t="shared" si="11"/>
        <v>7.5453047775947413E-2</v>
      </c>
      <c r="X37" s="105"/>
    </row>
    <row r="38" spans="1:24" x14ac:dyDescent="0.25">
      <c r="A38" s="157"/>
      <c r="B38" s="65">
        <v>35</v>
      </c>
      <c r="C38" s="136" t="s">
        <v>123</v>
      </c>
      <c r="D38" s="136">
        <v>9</v>
      </c>
      <c r="E38" s="136">
        <v>1</v>
      </c>
      <c r="F38" s="89">
        <f t="shared" si="19"/>
        <v>468</v>
      </c>
      <c r="G38" s="115">
        <f>+G37</f>
        <v>250</v>
      </c>
      <c r="H38" s="71">
        <f t="shared" si="12"/>
        <v>117000</v>
      </c>
      <c r="I38" s="68">
        <f t="shared" si="13"/>
        <v>78305.174159035741</v>
      </c>
      <c r="J38" s="66">
        <f>References!$C$49*I38</f>
        <v>1041.8503421859702</v>
      </c>
      <c r="K38" s="66">
        <f>J38/References!$G$57</f>
        <v>1070.6178436447033</v>
      </c>
      <c r="L38" s="24">
        <v>30.349999999999998</v>
      </c>
      <c r="M38" s="66">
        <f t="shared" si="14"/>
        <v>2.29</v>
      </c>
      <c r="N38" s="66">
        <f t="shared" si="15"/>
        <v>32.64</v>
      </c>
      <c r="O38" s="66">
        <f t="shared" si="20"/>
        <v>0</v>
      </c>
      <c r="P38" s="66">
        <f t="shared" si="21"/>
        <v>32.64</v>
      </c>
      <c r="Q38" s="66">
        <f t="shared" si="16"/>
        <v>14203.8</v>
      </c>
      <c r="R38" s="67">
        <f t="shared" si="9"/>
        <v>32.64</v>
      </c>
      <c r="S38" s="67">
        <f t="shared" si="17"/>
        <v>15275.52</v>
      </c>
      <c r="T38" s="67">
        <f t="shared" si="18"/>
        <v>1071.7200000000012</v>
      </c>
      <c r="W38" s="135">
        <f t="shared" si="11"/>
        <v>7.5453047775947413E-2</v>
      </c>
      <c r="X38" s="105"/>
    </row>
    <row r="39" spans="1:24" x14ac:dyDescent="0.25">
      <c r="A39" s="157"/>
      <c r="B39" s="65">
        <v>35</v>
      </c>
      <c r="C39" s="136" t="s">
        <v>124</v>
      </c>
      <c r="D39" s="136">
        <v>2</v>
      </c>
      <c r="E39" s="136">
        <v>2</v>
      </c>
      <c r="F39" s="89">
        <f t="shared" si="19"/>
        <v>208</v>
      </c>
      <c r="G39" s="115">
        <f>+G38</f>
        <v>250</v>
      </c>
      <c r="H39" s="71">
        <f t="shared" si="12"/>
        <v>52000</v>
      </c>
      <c r="I39" s="68">
        <f t="shared" si="13"/>
        <v>34802.299626238106</v>
      </c>
      <c r="J39" s="66">
        <f>References!$C$49*I39</f>
        <v>463.04459652709789</v>
      </c>
      <c r="K39" s="66">
        <f>J39/References!$G$57</f>
        <v>475.83015273097931</v>
      </c>
      <c r="L39" s="24">
        <v>30.349999999999998</v>
      </c>
      <c r="M39" s="66">
        <f t="shared" si="14"/>
        <v>2.29</v>
      </c>
      <c r="N39" s="66">
        <f t="shared" si="15"/>
        <v>32.64</v>
      </c>
      <c r="O39" s="66">
        <f t="shared" si="20"/>
        <v>0</v>
      </c>
      <c r="P39" s="66">
        <f t="shared" si="21"/>
        <v>32.64</v>
      </c>
      <c r="Q39" s="66">
        <f t="shared" si="16"/>
        <v>6312.7999999999993</v>
      </c>
      <c r="R39" s="67">
        <f t="shared" si="9"/>
        <v>32.64</v>
      </c>
      <c r="S39" s="67">
        <f t="shared" si="17"/>
        <v>6789.12</v>
      </c>
      <c r="T39" s="67">
        <f t="shared" si="18"/>
        <v>476.32000000000062</v>
      </c>
      <c r="W39" s="135">
        <f t="shared" si="11"/>
        <v>7.5453047775947413E-2</v>
      </c>
      <c r="X39" s="105"/>
    </row>
    <row r="40" spans="1:24" x14ac:dyDescent="0.25">
      <c r="A40" s="157"/>
      <c r="B40" s="65">
        <v>35</v>
      </c>
      <c r="C40" s="136" t="s">
        <v>125</v>
      </c>
      <c r="D40" s="136">
        <v>9</v>
      </c>
      <c r="E40" s="136">
        <v>0.5</v>
      </c>
      <c r="F40" s="89">
        <f t="shared" si="19"/>
        <v>234</v>
      </c>
      <c r="G40" s="115">
        <f>+References!B29</f>
        <v>324</v>
      </c>
      <c r="H40" s="71">
        <f t="shared" si="12"/>
        <v>75816</v>
      </c>
      <c r="I40" s="68">
        <f t="shared" si="13"/>
        <v>50741.752855055165</v>
      </c>
      <c r="J40" s="66">
        <f>References!$C$49*I40</f>
        <v>675.11902173650878</v>
      </c>
      <c r="K40" s="66">
        <f>J40/References!$G$57</f>
        <v>693.7603626817679</v>
      </c>
      <c r="L40" s="24">
        <v>37.420000000000009</v>
      </c>
      <c r="M40" s="66">
        <f t="shared" si="14"/>
        <v>2.96</v>
      </c>
      <c r="N40" s="66">
        <f t="shared" si="15"/>
        <v>40.38000000000001</v>
      </c>
      <c r="O40" s="66">
        <f t="shared" si="20"/>
        <v>0</v>
      </c>
      <c r="P40" s="66">
        <f t="shared" si="21"/>
        <v>40.38000000000001</v>
      </c>
      <c r="Q40" s="66">
        <f t="shared" si="16"/>
        <v>8756.2800000000025</v>
      </c>
      <c r="R40" s="67">
        <f t="shared" si="9"/>
        <v>40.38000000000001</v>
      </c>
      <c r="S40" s="67">
        <f t="shared" si="17"/>
        <v>9448.9200000000019</v>
      </c>
      <c r="T40" s="67">
        <f t="shared" si="18"/>
        <v>692.63999999999942</v>
      </c>
      <c r="W40" s="135">
        <f t="shared" si="11"/>
        <v>7.9102084446819987E-2</v>
      </c>
      <c r="X40" s="105"/>
    </row>
    <row r="41" spans="1:24" x14ac:dyDescent="0.25">
      <c r="A41" s="157"/>
      <c r="B41" s="65">
        <v>35</v>
      </c>
      <c r="C41" s="136" t="s">
        <v>126</v>
      </c>
      <c r="D41" s="136">
        <v>17</v>
      </c>
      <c r="E41" s="136">
        <v>1</v>
      </c>
      <c r="F41" s="89">
        <f t="shared" si="19"/>
        <v>884</v>
      </c>
      <c r="G41" s="115">
        <f>+G40</f>
        <v>324</v>
      </c>
      <c r="H41" s="71">
        <f t="shared" si="12"/>
        <v>286416</v>
      </c>
      <c r="I41" s="68">
        <f t="shared" si="13"/>
        <v>191691.0663413195</v>
      </c>
      <c r="J41" s="66">
        <f>References!$C$49*I41</f>
        <v>2550.4496376712555</v>
      </c>
      <c r="K41" s="66">
        <f>J41/References!$G$57</f>
        <v>2620.8724812422342</v>
      </c>
      <c r="L41" s="24">
        <v>37.420000000000009</v>
      </c>
      <c r="M41" s="66">
        <f t="shared" si="14"/>
        <v>2.96</v>
      </c>
      <c r="N41" s="66">
        <f t="shared" si="15"/>
        <v>40.38000000000001</v>
      </c>
      <c r="O41" s="66">
        <f t="shared" si="20"/>
        <v>0</v>
      </c>
      <c r="P41" s="66">
        <f t="shared" si="21"/>
        <v>40.38000000000001</v>
      </c>
      <c r="Q41" s="66">
        <f t="shared" si="16"/>
        <v>33079.280000000006</v>
      </c>
      <c r="R41" s="67">
        <f t="shared" si="9"/>
        <v>40.38000000000001</v>
      </c>
      <c r="S41" s="67">
        <f t="shared" si="17"/>
        <v>35695.920000000006</v>
      </c>
      <c r="T41" s="67">
        <f t="shared" si="18"/>
        <v>2616.6399999999994</v>
      </c>
      <c r="W41" s="135">
        <f t="shared" si="11"/>
        <v>7.9102084446819987E-2</v>
      </c>
      <c r="X41" s="105"/>
    </row>
    <row r="42" spans="1:24" x14ac:dyDescent="0.25">
      <c r="A42" s="157"/>
      <c r="B42" s="65">
        <v>35</v>
      </c>
      <c r="C42" s="136" t="s">
        <v>127</v>
      </c>
      <c r="D42" s="136">
        <v>5</v>
      </c>
      <c r="E42" s="136">
        <v>0.5</v>
      </c>
      <c r="F42" s="89">
        <f t="shared" si="19"/>
        <v>130</v>
      </c>
      <c r="G42" s="115">
        <f>+References!B30</f>
        <v>473</v>
      </c>
      <c r="H42" s="71">
        <f t="shared" si="12"/>
        <v>61490</v>
      </c>
      <c r="I42" s="68">
        <f t="shared" si="13"/>
        <v>41153.719308026564</v>
      </c>
      <c r="J42" s="66">
        <f>References!$C$49*I42</f>
        <v>547.55023539329329</v>
      </c>
      <c r="K42" s="66">
        <f>J42/References!$G$57</f>
        <v>562.66915560438304</v>
      </c>
      <c r="L42" s="24">
        <v>52.089999999999989</v>
      </c>
      <c r="M42" s="66">
        <f t="shared" si="14"/>
        <v>4.33</v>
      </c>
      <c r="N42" s="66">
        <f t="shared" si="15"/>
        <v>56.419999999999987</v>
      </c>
      <c r="O42" s="66">
        <f t="shared" si="20"/>
        <v>0</v>
      </c>
      <c r="P42" s="66">
        <f t="shared" si="21"/>
        <v>56.419999999999987</v>
      </c>
      <c r="Q42" s="66">
        <f t="shared" si="16"/>
        <v>6771.6999999999989</v>
      </c>
      <c r="R42" s="67">
        <f t="shared" si="9"/>
        <v>56.419999999999987</v>
      </c>
      <c r="S42" s="67">
        <f t="shared" si="17"/>
        <v>7334.5999999999985</v>
      </c>
      <c r="T42" s="67">
        <f t="shared" si="18"/>
        <v>562.89999999999964</v>
      </c>
      <c r="W42" s="135">
        <f t="shared" si="11"/>
        <v>8.3125359953925892E-2</v>
      </c>
      <c r="X42" s="105"/>
    </row>
    <row r="43" spans="1:24" x14ac:dyDescent="0.25">
      <c r="A43" s="157"/>
      <c r="B43" s="65">
        <v>35</v>
      </c>
      <c r="C43" s="136" t="s">
        <v>128</v>
      </c>
      <c r="D43" s="136">
        <v>4</v>
      </c>
      <c r="E43" s="136">
        <v>1</v>
      </c>
      <c r="F43" s="89">
        <f t="shared" si="19"/>
        <v>208</v>
      </c>
      <c r="G43" s="115">
        <f>+G42</f>
        <v>473</v>
      </c>
      <c r="H43" s="71">
        <f t="shared" si="12"/>
        <v>98384</v>
      </c>
      <c r="I43" s="68">
        <f t="shared" si="13"/>
        <v>65845.950892842506</v>
      </c>
      <c r="J43" s="66">
        <f>References!$C$49*I43</f>
        <v>876.08037662926938</v>
      </c>
      <c r="K43" s="66">
        <f>J43/References!$G$57</f>
        <v>900.27064896701302</v>
      </c>
      <c r="L43" s="24">
        <v>52.089999999999989</v>
      </c>
      <c r="M43" s="66">
        <f t="shared" si="14"/>
        <v>4.33</v>
      </c>
      <c r="N43" s="66">
        <f t="shared" si="15"/>
        <v>56.419999999999987</v>
      </c>
      <c r="O43" s="66">
        <f t="shared" si="20"/>
        <v>0</v>
      </c>
      <c r="P43" s="66">
        <f t="shared" si="21"/>
        <v>56.419999999999987</v>
      </c>
      <c r="Q43" s="66">
        <f t="shared" si="16"/>
        <v>10834.719999999998</v>
      </c>
      <c r="R43" s="67">
        <f t="shared" si="9"/>
        <v>56.419999999999987</v>
      </c>
      <c r="S43" s="67">
        <f t="shared" si="17"/>
        <v>11735.359999999997</v>
      </c>
      <c r="T43" s="67">
        <f t="shared" si="18"/>
        <v>900.63999999999942</v>
      </c>
      <c r="W43" s="135">
        <f t="shared" si="11"/>
        <v>8.3125359953925892E-2</v>
      </c>
      <c r="X43" s="105"/>
    </row>
    <row r="44" spans="1:24" x14ac:dyDescent="0.25">
      <c r="A44" s="157"/>
      <c r="B44" s="65">
        <v>35</v>
      </c>
      <c r="C44" s="136" t="s">
        <v>131</v>
      </c>
      <c r="D44" s="136">
        <v>1</v>
      </c>
      <c r="E44" s="136">
        <v>0.5</v>
      </c>
      <c r="F44" s="89">
        <f t="shared" si="19"/>
        <v>26</v>
      </c>
      <c r="G44" s="115">
        <f>+References!B31</f>
        <v>613</v>
      </c>
      <c r="H44" s="71">
        <f t="shared" si="12"/>
        <v>15938</v>
      </c>
      <c r="I44" s="68">
        <f t="shared" si="13"/>
        <v>10666.904835441981</v>
      </c>
      <c r="J44" s="66">
        <f>References!$C$49*I44</f>
        <v>141.92316883555554</v>
      </c>
      <c r="K44" s="66">
        <f>J44/References!$G$57</f>
        <v>145.84194181204518</v>
      </c>
      <c r="L44" s="24">
        <v>66.45</v>
      </c>
      <c r="M44" s="66">
        <f t="shared" si="14"/>
        <v>5.61</v>
      </c>
      <c r="N44" s="66">
        <f t="shared" si="15"/>
        <v>72.06</v>
      </c>
      <c r="O44" s="66">
        <f t="shared" si="20"/>
        <v>0</v>
      </c>
      <c r="P44" s="66">
        <f t="shared" si="21"/>
        <v>72.06</v>
      </c>
      <c r="Q44" s="66">
        <f t="shared" si="16"/>
        <v>1727.7</v>
      </c>
      <c r="R44" s="67">
        <f t="shared" si="9"/>
        <v>72.06</v>
      </c>
      <c r="S44" s="67">
        <f t="shared" si="17"/>
        <v>1873.56</v>
      </c>
      <c r="T44" s="67">
        <f t="shared" ref="T44:T49" si="24">S44-Q44</f>
        <v>145.8599999999999</v>
      </c>
      <c r="W44" s="135">
        <f t="shared" si="11"/>
        <v>8.4424379232505675E-2</v>
      </c>
      <c r="X44" s="105"/>
    </row>
    <row r="45" spans="1:24" x14ac:dyDescent="0.25">
      <c r="A45" s="157"/>
      <c r="B45" s="65">
        <v>35</v>
      </c>
      <c r="C45" s="136" t="s">
        <v>130</v>
      </c>
      <c r="D45" s="136">
        <v>8</v>
      </c>
      <c r="E45" s="136">
        <v>1</v>
      </c>
      <c r="F45" s="89">
        <f t="shared" si="19"/>
        <v>416</v>
      </c>
      <c r="G45" s="115">
        <f>+G44</f>
        <v>613</v>
      </c>
      <c r="H45" s="71">
        <f t="shared" si="12"/>
        <v>255008</v>
      </c>
      <c r="I45" s="68">
        <f t="shared" si="13"/>
        <v>170670.4773670717</v>
      </c>
      <c r="J45" s="66">
        <f>References!$C$49*I45</f>
        <v>2270.7707013688887</v>
      </c>
      <c r="K45" s="66">
        <f>J45/References!$G$57</f>
        <v>2333.4710689927228</v>
      </c>
      <c r="L45" s="24">
        <v>66.45</v>
      </c>
      <c r="M45" s="66">
        <f t="shared" si="14"/>
        <v>5.61</v>
      </c>
      <c r="N45" s="66">
        <f t="shared" si="15"/>
        <v>72.06</v>
      </c>
      <c r="O45" s="66">
        <f t="shared" si="20"/>
        <v>0</v>
      </c>
      <c r="P45" s="66">
        <f t="shared" si="21"/>
        <v>72.06</v>
      </c>
      <c r="Q45" s="66">
        <f t="shared" si="16"/>
        <v>27643.200000000001</v>
      </c>
      <c r="R45" s="67">
        <f t="shared" si="9"/>
        <v>72.06</v>
      </c>
      <c r="S45" s="67">
        <f t="shared" si="17"/>
        <v>29976.959999999999</v>
      </c>
      <c r="T45" s="67">
        <f t="shared" si="24"/>
        <v>2333.7599999999984</v>
      </c>
      <c r="W45" s="135">
        <f t="shared" si="11"/>
        <v>8.4424379232505675E-2</v>
      </c>
      <c r="X45" s="105"/>
    </row>
    <row r="46" spans="1:24" x14ac:dyDescent="0.25">
      <c r="A46" s="157"/>
      <c r="B46" s="65">
        <v>35</v>
      </c>
      <c r="C46" s="136" t="s">
        <v>132</v>
      </c>
      <c r="D46" s="136">
        <v>2</v>
      </c>
      <c r="E46" s="136">
        <v>0.5</v>
      </c>
      <c r="F46" s="89">
        <f t="shared" si="19"/>
        <v>52</v>
      </c>
      <c r="G46" s="115">
        <f>+References!B32</f>
        <v>840</v>
      </c>
      <c r="H46" s="71">
        <f t="shared" si="12"/>
        <v>43680</v>
      </c>
      <c r="I46" s="68">
        <f t="shared" si="13"/>
        <v>29233.93168604001</v>
      </c>
      <c r="J46" s="66">
        <f>References!$C$49*I46</f>
        <v>388.95746108276228</v>
      </c>
      <c r="K46" s="66">
        <f>J46/References!$G$57</f>
        <v>399.69732829402267</v>
      </c>
      <c r="L46" s="24">
        <v>92.37</v>
      </c>
      <c r="M46" s="66">
        <f t="shared" si="14"/>
        <v>7.69</v>
      </c>
      <c r="N46" s="66">
        <f t="shared" si="15"/>
        <v>100.06</v>
      </c>
      <c r="O46" s="66">
        <f t="shared" si="20"/>
        <v>0</v>
      </c>
      <c r="P46" s="66">
        <f t="shared" si="21"/>
        <v>100.06</v>
      </c>
      <c r="Q46" s="66">
        <f t="shared" si="16"/>
        <v>4803.24</v>
      </c>
      <c r="R46" s="67">
        <f t="shared" si="9"/>
        <v>100.06</v>
      </c>
      <c r="S46" s="67">
        <f t="shared" si="17"/>
        <v>5203.12</v>
      </c>
      <c r="T46" s="67">
        <f t="shared" si="24"/>
        <v>399.88000000000011</v>
      </c>
      <c r="W46" s="135">
        <f t="shared" si="11"/>
        <v>8.3252138140088805E-2</v>
      </c>
      <c r="X46" s="105"/>
    </row>
    <row r="47" spans="1:24" x14ac:dyDescent="0.25">
      <c r="A47" s="157"/>
      <c r="B47" s="65">
        <v>35</v>
      </c>
      <c r="C47" s="136" t="s">
        <v>133</v>
      </c>
      <c r="D47" s="136">
        <v>4</v>
      </c>
      <c r="E47" s="136">
        <v>1</v>
      </c>
      <c r="F47" s="89">
        <f t="shared" si="19"/>
        <v>208</v>
      </c>
      <c r="G47" s="115">
        <f>+G46</f>
        <v>840</v>
      </c>
      <c r="H47" s="71">
        <f t="shared" si="12"/>
        <v>174720</v>
      </c>
      <c r="I47" s="68">
        <f t="shared" si="13"/>
        <v>116935.72674416004</v>
      </c>
      <c r="J47" s="66">
        <f>References!$C$49*I47</f>
        <v>1555.8298443310491</v>
      </c>
      <c r="K47" s="66">
        <f>J47/References!$G$57</f>
        <v>1598.7893131760907</v>
      </c>
      <c r="L47" s="24">
        <v>92.37</v>
      </c>
      <c r="M47" s="66">
        <f t="shared" si="14"/>
        <v>7.69</v>
      </c>
      <c r="N47" s="66">
        <f t="shared" si="15"/>
        <v>100.06</v>
      </c>
      <c r="O47" s="66">
        <f t="shared" si="20"/>
        <v>0</v>
      </c>
      <c r="P47" s="66">
        <f t="shared" si="21"/>
        <v>100.06</v>
      </c>
      <c r="Q47" s="66">
        <f t="shared" si="16"/>
        <v>19212.96</v>
      </c>
      <c r="R47" s="67">
        <f t="shared" si="9"/>
        <v>100.06</v>
      </c>
      <c r="S47" s="67">
        <f t="shared" si="17"/>
        <v>20812.48</v>
      </c>
      <c r="T47" s="67">
        <f t="shared" si="24"/>
        <v>1599.5200000000004</v>
      </c>
      <c r="W47" s="135">
        <f t="shared" si="11"/>
        <v>8.3252138140088805E-2</v>
      </c>
      <c r="X47" s="105"/>
    </row>
    <row r="48" spans="1:24" x14ac:dyDescent="0.25">
      <c r="A48" s="157"/>
      <c r="B48" s="65">
        <v>35</v>
      </c>
      <c r="C48" s="136" t="s">
        <v>134</v>
      </c>
      <c r="D48" s="136">
        <v>1</v>
      </c>
      <c r="E48" s="136">
        <v>0.5</v>
      </c>
      <c r="F48" s="89">
        <f>+E48*D48*52</f>
        <v>26</v>
      </c>
      <c r="G48" s="115">
        <f>+References!B33</f>
        <v>980</v>
      </c>
      <c r="H48" s="71">
        <f t="shared" ref="H48:H64" si="25">F48*G48</f>
        <v>25480</v>
      </c>
      <c r="I48" s="68">
        <f t="shared" si="13"/>
        <v>17053.126816856675</v>
      </c>
      <c r="J48" s="66">
        <f>References!$C$49*I48</f>
        <v>226.89185229827802</v>
      </c>
      <c r="K48" s="66">
        <f>J48/References!$G$57</f>
        <v>233.1567748381799</v>
      </c>
      <c r="L48" s="24">
        <v>116.46</v>
      </c>
      <c r="M48" s="66">
        <f t="shared" si="14"/>
        <v>8.9700000000000006</v>
      </c>
      <c r="N48" s="66">
        <f t="shared" si="15"/>
        <v>125.42999999999999</v>
      </c>
      <c r="O48" s="66">
        <f t="shared" si="20"/>
        <v>0</v>
      </c>
      <c r="P48" s="66">
        <f t="shared" si="21"/>
        <v>125.42999999999999</v>
      </c>
      <c r="Q48" s="66">
        <f t="shared" si="16"/>
        <v>3027.96</v>
      </c>
      <c r="R48" s="67">
        <f t="shared" si="9"/>
        <v>125.42999999999999</v>
      </c>
      <c r="S48" s="67">
        <f t="shared" si="17"/>
        <v>3261.18</v>
      </c>
      <c r="T48" s="67">
        <f t="shared" si="24"/>
        <v>233.2199999999998</v>
      </c>
      <c r="W48" s="135">
        <f t="shared" si="11"/>
        <v>7.7022153529108683E-2</v>
      </c>
      <c r="X48" s="105"/>
    </row>
    <row r="49" spans="1:24" x14ac:dyDescent="0.25">
      <c r="A49" s="157"/>
      <c r="B49" s="65">
        <v>35</v>
      </c>
      <c r="C49" s="136" t="s">
        <v>129</v>
      </c>
      <c r="D49" s="137">
        <v>1</v>
      </c>
      <c r="E49" s="136">
        <v>3</v>
      </c>
      <c r="F49" s="89">
        <f>+E49*D49*52</f>
        <v>156</v>
      </c>
      <c r="G49" s="115">
        <f>+G48</f>
        <v>980</v>
      </c>
      <c r="H49" s="71">
        <f t="shared" si="25"/>
        <v>152880</v>
      </c>
      <c r="I49" s="68">
        <f t="shared" si="13"/>
        <v>102318.76090114003</v>
      </c>
      <c r="J49" s="66">
        <f>References!$C$49*I49</f>
        <v>1361.3511137896678</v>
      </c>
      <c r="K49" s="66">
        <f>J49/References!$G$57</f>
        <v>1398.9406490290792</v>
      </c>
      <c r="L49" s="24">
        <v>116.46</v>
      </c>
      <c r="M49" s="66">
        <f t="shared" si="14"/>
        <v>8.9700000000000006</v>
      </c>
      <c r="N49" s="66">
        <f t="shared" si="15"/>
        <v>125.42999999999999</v>
      </c>
      <c r="O49" s="66">
        <f t="shared" si="20"/>
        <v>0</v>
      </c>
      <c r="P49" s="66">
        <f t="shared" si="21"/>
        <v>125.42999999999999</v>
      </c>
      <c r="Q49" s="66">
        <f t="shared" si="16"/>
        <v>18167.759999999998</v>
      </c>
      <c r="R49" s="67">
        <f t="shared" si="9"/>
        <v>125.42999999999999</v>
      </c>
      <c r="S49" s="67">
        <f t="shared" si="17"/>
        <v>19567.079999999998</v>
      </c>
      <c r="T49" s="67">
        <f t="shared" si="24"/>
        <v>1399.3199999999997</v>
      </c>
      <c r="W49" s="135">
        <f t="shared" si="11"/>
        <v>7.7022153529108683E-2</v>
      </c>
      <c r="X49" s="105"/>
    </row>
    <row r="50" spans="1:24" x14ac:dyDescent="0.25">
      <c r="A50" s="149"/>
      <c r="B50" s="65">
        <v>35</v>
      </c>
      <c r="C50" s="136" t="s">
        <v>159</v>
      </c>
      <c r="D50" s="137">
        <v>0</v>
      </c>
      <c r="E50" s="136">
        <v>0</v>
      </c>
      <c r="F50" s="89">
        <v>1</v>
      </c>
      <c r="G50" s="115">
        <f>References!B27</f>
        <v>175</v>
      </c>
      <c r="H50" s="71">
        <f t="shared" si="25"/>
        <v>175</v>
      </c>
      <c r="I50" s="68">
        <f t="shared" si="13"/>
        <v>117.12312374214748</v>
      </c>
      <c r="J50" s="66">
        <f>References!$C$49*I50</f>
        <v>1.5583231613892721</v>
      </c>
      <c r="K50" s="66">
        <f>J50/References!$G$57</f>
        <v>1.6013514755369498</v>
      </c>
      <c r="L50" s="24">
        <v>32.549999999999997</v>
      </c>
      <c r="M50" s="66">
        <f t="shared" ref="M50:M56" si="26">ROUND((K50/F50),2)</f>
        <v>1.6</v>
      </c>
      <c r="N50" s="66">
        <f t="shared" ref="N50:N56" si="27">M50+L50</f>
        <v>34.15</v>
      </c>
      <c r="O50" s="66">
        <f t="shared" ref="O50:O56" si="28">ROUND(+$O$2*N50,2)</f>
        <v>0</v>
      </c>
      <c r="P50" s="66">
        <f t="shared" ref="P50:P56" si="29">+O50+N50</f>
        <v>34.15</v>
      </c>
      <c r="Q50" s="66">
        <f t="shared" ref="Q50:Q56" si="30">F50*L50</f>
        <v>32.549999999999997</v>
      </c>
      <c r="R50" s="67">
        <f t="shared" ref="R50:R56" si="31">+P50</f>
        <v>34.15</v>
      </c>
      <c r="S50" s="67">
        <f t="shared" ref="S50:S56" si="32">F50*R50</f>
        <v>34.15</v>
      </c>
      <c r="T50" s="67">
        <f t="shared" ref="T50:T56" si="33">S50-Q50</f>
        <v>1.6000000000000014</v>
      </c>
      <c r="W50" s="135"/>
      <c r="X50" s="105"/>
    </row>
    <row r="51" spans="1:24" x14ac:dyDescent="0.25">
      <c r="A51" s="149"/>
      <c r="B51" s="65">
        <v>35</v>
      </c>
      <c r="C51" s="136" t="s">
        <v>165</v>
      </c>
      <c r="D51" s="137">
        <v>0</v>
      </c>
      <c r="E51" s="136">
        <v>0</v>
      </c>
      <c r="F51" s="89">
        <v>1</v>
      </c>
      <c r="G51" s="115">
        <f>References!B28</f>
        <v>250</v>
      </c>
      <c r="H51" s="71">
        <f t="shared" si="25"/>
        <v>250</v>
      </c>
      <c r="I51" s="68">
        <f t="shared" si="13"/>
        <v>167.31874820306783</v>
      </c>
      <c r="J51" s="66">
        <f>References!$C$49*I51</f>
        <v>2.2261759448418168</v>
      </c>
      <c r="K51" s="66">
        <f>J51/References!$G$57</f>
        <v>2.287644965052785</v>
      </c>
      <c r="L51" s="24">
        <v>39.769999999999996</v>
      </c>
      <c r="M51" s="66">
        <f>ROUND((K51/F51),2)</f>
        <v>2.29</v>
      </c>
      <c r="N51" s="66">
        <f>M51+L51</f>
        <v>42.059999999999995</v>
      </c>
      <c r="O51" s="66">
        <f>ROUND(+$O$2*N51,2)</f>
        <v>0</v>
      </c>
      <c r="P51" s="66">
        <f>+O51+N51</f>
        <v>42.059999999999995</v>
      </c>
      <c r="Q51" s="66">
        <f>F51*L51</f>
        <v>39.769999999999996</v>
      </c>
      <c r="R51" s="67">
        <f>+P51</f>
        <v>42.059999999999995</v>
      </c>
      <c r="S51" s="67">
        <f>F51*R51</f>
        <v>42.059999999999995</v>
      </c>
      <c r="T51" s="67">
        <f>S51-Q51</f>
        <v>2.2899999999999991</v>
      </c>
      <c r="W51" s="135"/>
      <c r="X51" s="105"/>
    </row>
    <row r="52" spans="1:24" x14ac:dyDescent="0.25">
      <c r="A52" s="149"/>
      <c r="B52" s="65">
        <v>35</v>
      </c>
      <c r="C52" s="136" t="s">
        <v>160</v>
      </c>
      <c r="D52" s="137">
        <v>0</v>
      </c>
      <c r="E52" s="136">
        <v>0</v>
      </c>
      <c r="F52" s="89">
        <v>1</v>
      </c>
      <c r="G52" s="115">
        <f>References!B29</f>
        <v>324</v>
      </c>
      <c r="H52" s="71">
        <f t="shared" si="25"/>
        <v>324</v>
      </c>
      <c r="I52" s="68">
        <f t="shared" si="13"/>
        <v>216.84509767117592</v>
      </c>
      <c r="J52" s="66">
        <f>References!$C$49*I52</f>
        <v>2.8851240245149952</v>
      </c>
      <c r="K52" s="66">
        <f>J52/References!$G$57</f>
        <v>2.96478787470841</v>
      </c>
      <c r="L52" s="24">
        <v>46.67</v>
      </c>
      <c r="M52" s="66">
        <f t="shared" si="26"/>
        <v>2.96</v>
      </c>
      <c r="N52" s="66">
        <f t="shared" si="27"/>
        <v>49.63</v>
      </c>
      <c r="O52" s="66">
        <f t="shared" si="28"/>
        <v>0</v>
      </c>
      <c r="P52" s="66">
        <f t="shared" si="29"/>
        <v>49.63</v>
      </c>
      <c r="Q52" s="66">
        <f t="shared" si="30"/>
        <v>46.67</v>
      </c>
      <c r="R52" s="67">
        <f t="shared" si="31"/>
        <v>49.63</v>
      </c>
      <c r="S52" s="67">
        <f t="shared" si="32"/>
        <v>49.63</v>
      </c>
      <c r="T52" s="67">
        <f t="shared" si="33"/>
        <v>2.9600000000000009</v>
      </c>
      <c r="W52" s="135"/>
      <c r="X52" s="105"/>
    </row>
    <row r="53" spans="1:24" x14ac:dyDescent="0.25">
      <c r="A53" s="149"/>
      <c r="B53" s="65">
        <v>35</v>
      </c>
      <c r="C53" s="136" t="s">
        <v>161</v>
      </c>
      <c r="D53" s="137">
        <v>0</v>
      </c>
      <c r="E53" s="136">
        <v>0</v>
      </c>
      <c r="F53" s="89">
        <v>1</v>
      </c>
      <c r="G53" s="115">
        <f>References!B30</f>
        <v>473</v>
      </c>
      <c r="H53" s="71">
        <f t="shared" si="25"/>
        <v>473</v>
      </c>
      <c r="I53" s="68">
        <f t="shared" si="13"/>
        <v>316.56707160020432</v>
      </c>
      <c r="J53" s="66">
        <f>References!$C$49*I53</f>
        <v>4.2119248876407172</v>
      </c>
      <c r="K53" s="66">
        <f>J53/References!$G$57</f>
        <v>4.3282242738798686</v>
      </c>
      <c r="L53" s="24">
        <v>60.989999999999995</v>
      </c>
      <c r="M53" s="66">
        <f t="shared" si="26"/>
        <v>4.33</v>
      </c>
      <c r="N53" s="66">
        <f t="shared" si="27"/>
        <v>65.319999999999993</v>
      </c>
      <c r="O53" s="66">
        <f t="shared" si="28"/>
        <v>0</v>
      </c>
      <c r="P53" s="66">
        <f t="shared" si="29"/>
        <v>65.319999999999993</v>
      </c>
      <c r="Q53" s="66">
        <f t="shared" si="30"/>
        <v>60.989999999999995</v>
      </c>
      <c r="R53" s="67">
        <f t="shared" si="31"/>
        <v>65.319999999999993</v>
      </c>
      <c r="S53" s="67">
        <f t="shared" si="32"/>
        <v>65.319999999999993</v>
      </c>
      <c r="T53" s="67">
        <f t="shared" si="33"/>
        <v>4.3299999999999983</v>
      </c>
      <c r="W53" s="135"/>
      <c r="X53" s="105"/>
    </row>
    <row r="54" spans="1:24" x14ac:dyDescent="0.25">
      <c r="A54" s="149"/>
      <c r="B54" s="65">
        <v>35</v>
      </c>
      <c r="C54" s="136" t="s">
        <v>162</v>
      </c>
      <c r="D54" s="137">
        <v>0</v>
      </c>
      <c r="E54" s="136">
        <v>0</v>
      </c>
      <c r="F54" s="89">
        <v>1</v>
      </c>
      <c r="G54" s="115">
        <f>References!B31</f>
        <v>613</v>
      </c>
      <c r="H54" s="71">
        <f t="shared" si="25"/>
        <v>613</v>
      </c>
      <c r="I54" s="68">
        <f t="shared" si="13"/>
        <v>410.26557059392229</v>
      </c>
      <c r="J54" s="66">
        <f>References!$C$49*I54</f>
        <v>5.458583416752135</v>
      </c>
      <c r="K54" s="66">
        <f>J54/References!$G$57</f>
        <v>5.6093054543094292</v>
      </c>
      <c r="L54" s="24">
        <v>75.02</v>
      </c>
      <c r="M54" s="66">
        <f t="shared" si="26"/>
        <v>5.61</v>
      </c>
      <c r="N54" s="66">
        <f t="shared" si="27"/>
        <v>80.63</v>
      </c>
      <c r="O54" s="66">
        <f t="shared" si="28"/>
        <v>0</v>
      </c>
      <c r="P54" s="66">
        <f t="shared" si="29"/>
        <v>80.63</v>
      </c>
      <c r="Q54" s="66">
        <f t="shared" si="30"/>
        <v>75.02</v>
      </c>
      <c r="R54" s="67">
        <f t="shared" si="31"/>
        <v>80.63</v>
      </c>
      <c r="S54" s="67">
        <f t="shared" si="32"/>
        <v>80.63</v>
      </c>
      <c r="T54" s="67">
        <f t="shared" si="33"/>
        <v>5.6099999999999994</v>
      </c>
      <c r="W54" s="135"/>
      <c r="X54" s="105"/>
    </row>
    <row r="55" spans="1:24" x14ac:dyDescent="0.25">
      <c r="A55" s="149"/>
      <c r="B55" s="65">
        <v>35</v>
      </c>
      <c r="C55" s="136" t="s">
        <v>163</v>
      </c>
      <c r="D55" s="137">
        <v>0</v>
      </c>
      <c r="E55" s="136">
        <v>0</v>
      </c>
      <c r="F55" s="89">
        <v>1</v>
      </c>
      <c r="G55" s="115">
        <f>References!B32</f>
        <v>840</v>
      </c>
      <c r="H55" s="71">
        <f t="shared" si="25"/>
        <v>840</v>
      </c>
      <c r="I55" s="68">
        <f t="shared" si="13"/>
        <v>562.19099396230786</v>
      </c>
      <c r="J55" s="66">
        <f>References!$C$49*I55</f>
        <v>7.4799511746685043</v>
      </c>
      <c r="K55" s="66">
        <f>J55/References!$G$57</f>
        <v>7.6864870825773579</v>
      </c>
      <c r="L55" s="24">
        <v>100.41</v>
      </c>
      <c r="M55" s="66">
        <f t="shared" si="26"/>
        <v>7.69</v>
      </c>
      <c r="N55" s="66">
        <f t="shared" si="27"/>
        <v>108.1</v>
      </c>
      <c r="O55" s="66">
        <f t="shared" si="28"/>
        <v>0</v>
      </c>
      <c r="P55" s="66">
        <f t="shared" si="29"/>
        <v>108.1</v>
      </c>
      <c r="Q55" s="66">
        <f t="shared" si="30"/>
        <v>100.41</v>
      </c>
      <c r="R55" s="67">
        <f t="shared" si="31"/>
        <v>108.1</v>
      </c>
      <c r="S55" s="67">
        <f t="shared" si="32"/>
        <v>108.1</v>
      </c>
      <c r="T55" s="67">
        <f t="shared" si="33"/>
        <v>7.6899999999999977</v>
      </c>
      <c r="W55" s="135"/>
      <c r="X55" s="105"/>
    </row>
    <row r="56" spans="1:24" x14ac:dyDescent="0.25">
      <c r="A56" s="149"/>
      <c r="B56" s="65">
        <v>35</v>
      </c>
      <c r="C56" s="136" t="s">
        <v>164</v>
      </c>
      <c r="D56" s="137">
        <v>0</v>
      </c>
      <c r="E56" s="136">
        <v>0</v>
      </c>
      <c r="F56" s="89">
        <v>1</v>
      </c>
      <c r="G56" s="115">
        <f>References!B33</f>
        <v>980</v>
      </c>
      <c r="H56" s="71">
        <f t="shared" si="25"/>
        <v>980</v>
      </c>
      <c r="I56" s="68">
        <f t="shared" si="13"/>
        <v>655.88949295602595</v>
      </c>
      <c r="J56" s="66">
        <f>References!$C$49*I56</f>
        <v>8.7266097037799231</v>
      </c>
      <c r="K56" s="66">
        <f>J56/References!$G$57</f>
        <v>8.9675682630069193</v>
      </c>
      <c r="L56" s="24">
        <v>124.17999999999999</v>
      </c>
      <c r="M56" s="66">
        <f t="shared" si="26"/>
        <v>8.9700000000000006</v>
      </c>
      <c r="N56" s="66">
        <f t="shared" si="27"/>
        <v>133.15</v>
      </c>
      <c r="O56" s="66">
        <f t="shared" si="28"/>
        <v>0</v>
      </c>
      <c r="P56" s="66">
        <f t="shared" si="29"/>
        <v>133.15</v>
      </c>
      <c r="Q56" s="66">
        <f t="shared" si="30"/>
        <v>124.17999999999999</v>
      </c>
      <c r="R56" s="67">
        <f t="shared" si="31"/>
        <v>133.15</v>
      </c>
      <c r="S56" s="67">
        <f t="shared" si="32"/>
        <v>133.15</v>
      </c>
      <c r="T56" s="67">
        <f t="shared" si="33"/>
        <v>8.9700000000000131</v>
      </c>
      <c r="W56" s="135"/>
      <c r="X56" s="105"/>
    </row>
    <row r="57" spans="1:24" x14ac:dyDescent="0.25">
      <c r="A57" s="149"/>
      <c r="B57" s="65">
        <v>27</v>
      </c>
      <c r="C57" s="136" t="s">
        <v>156</v>
      </c>
      <c r="D57" s="137">
        <v>0</v>
      </c>
      <c r="E57" s="136">
        <v>0</v>
      </c>
      <c r="F57" s="89">
        <v>1</v>
      </c>
      <c r="G57" s="115">
        <f>References!B27</f>
        <v>175</v>
      </c>
      <c r="H57" s="71">
        <f t="shared" si="25"/>
        <v>175</v>
      </c>
      <c r="I57" s="68">
        <f t="shared" si="13"/>
        <v>117.12312374214748</v>
      </c>
      <c r="J57" s="66">
        <f>References!$C$49*I57</f>
        <v>1.5583231613892721</v>
      </c>
      <c r="K57" s="66">
        <f>J57/References!$G$57</f>
        <v>1.6013514755369498</v>
      </c>
      <c r="L57" s="24">
        <v>23.580000000000002</v>
      </c>
      <c r="M57" s="66">
        <f t="shared" si="14"/>
        <v>1.6</v>
      </c>
      <c r="N57" s="66">
        <f t="shared" ref="N57:N64" si="34">M57+L57</f>
        <v>25.180000000000003</v>
      </c>
      <c r="O57" s="66">
        <f t="shared" ref="O57:O64" si="35">ROUND(+$O$2*N57,2)</f>
        <v>0</v>
      </c>
      <c r="P57" s="66">
        <f t="shared" ref="P57:P64" si="36">+O57+N57</f>
        <v>25.180000000000003</v>
      </c>
      <c r="Q57" s="66">
        <f t="shared" ref="Q57:Q64" si="37">F57*L57</f>
        <v>23.580000000000002</v>
      </c>
      <c r="R57" s="67">
        <f t="shared" ref="R57:R64" si="38">+P57</f>
        <v>25.180000000000003</v>
      </c>
      <c r="S57" s="67">
        <f t="shared" ref="S57:S64" si="39">F57*R57</f>
        <v>25.180000000000003</v>
      </c>
      <c r="T57" s="67">
        <f t="shared" ref="T57:T64" si="40">S57-Q57</f>
        <v>1.6000000000000014</v>
      </c>
      <c r="W57" s="135"/>
      <c r="X57" s="105"/>
    </row>
    <row r="58" spans="1:24" x14ac:dyDescent="0.25">
      <c r="A58" s="149"/>
      <c r="B58" s="65">
        <v>27</v>
      </c>
      <c r="C58" s="136" t="s">
        <v>157</v>
      </c>
      <c r="D58" s="137">
        <v>0</v>
      </c>
      <c r="E58" s="136">
        <v>0</v>
      </c>
      <c r="F58" s="89">
        <v>1</v>
      </c>
      <c r="G58" s="115">
        <f>AVERAGE(References!B27:B31)</f>
        <v>367</v>
      </c>
      <c r="H58" s="71">
        <f t="shared" si="25"/>
        <v>367</v>
      </c>
      <c r="I58" s="68">
        <f t="shared" si="13"/>
        <v>245.62392236210357</v>
      </c>
      <c r="J58" s="66">
        <f>References!$C$49*I58</f>
        <v>3.2680262870277872</v>
      </c>
      <c r="K58" s="66">
        <f>J58/References!$G$57</f>
        <v>3.3582628086974884</v>
      </c>
      <c r="L58" s="24">
        <v>33.85</v>
      </c>
      <c r="M58" s="66">
        <f t="shared" si="14"/>
        <v>3.36</v>
      </c>
      <c r="N58" s="66">
        <f t="shared" si="34"/>
        <v>37.21</v>
      </c>
      <c r="O58" s="66">
        <f t="shared" si="35"/>
        <v>0</v>
      </c>
      <c r="P58" s="66">
        <f t="shared" si="36"/>
        <v>37.21</v>
      </c>
      <c r="Q58" s="66">
        <f t="shared" si="37"/>
        <v>33.85</v>
      </c>
      <c r="R58" s="67">
        <f t="shared" si="38"/>
        <v>37.21</v>
      </c>
      <c r="S58" s="67">
        <f t="shared" si="39"/>
        <v>37.21</v>
      </c>
      <c r="T58" s="67">
        <f t="shared" si="40"/>
        <v>3.3599999999999994</v>
      </c>
      <c r="W58" s="135"/>
      <c r="X58" s="105"/>
    </row>
    <row r="59" spans="1:24" x14ac:dyDescent="0.25">
      <c r="A59" s="149"/>
      <c r="B59" s="65">
        <v>27</v>
      </c>
      <c r="C59" s="136" t="s">
        <v>158</v>
      </c>
      <c r="D59" s="137">
        <v>0</v>
      </c>
      <c r="E59" s="136">
        <v>0</v>
      </c>
      <c r="F59" s="89">
        <v>1</v>
      </c>
      <c r="G59" s="115">
        <f>G57</f>
        <v>175</v>
      </c>
      <c r="H59" s="71">
        <f t="shared" si="25"/>
        <v>175</v>
      </c>
      <c r="I59" s="68">
        <f t="shared" si="13"/>
        <v>117.12312374214748</v>
      </c>
      <c r="J59" s="66">
        <f>References!$C$49*I59</f>
        <v>1.5583231613892721</v>
      </c>
      <c r="K59" s="66">
        <f>J59/References!$G$57</f>
        <v>1.6013514755369498</v>
      </c>
      <c r="L59" s="24">
        <v>23.580000000000002</v>
      </c>
      <c r="M59" s="66">
        <f t="shared" si="14"/>
        <v>1.6</v>
      </c>
      <c r="N59" s="66">
        <f t="shared" si="34"/>
        <v>25.180000000000003</v>
      </c>
      <c r="O59" s="66">
        <f t="shared" si="35"/>
        <v>0</v>
      </c>
      <c r="P59" s="66">
        <f t="shared" si="36"/>
        <v>25.180000000000003</v>
      </c>
      <c r="Q59" s="66">
        <f t="shared" si="37"/>
        <v>23.580000000000002</v>
      </c>
      <c r="R59" s="67">
        <f t="shared" si="38"/>
        <v>25.180000000000003</v>
      </c>
      <c r="S59" s="67">
        <f t="shared" si="39"/>
        <v>25.180000000000003</v>
      </c>
      <c r="T59" s="67">
        <f t="shared" si="40"/>
        <v>1.6000000000000014</v>
      </c>
      <c r="W59" s="135"/>
      <c r="X59" s="105"/>
    </row>
    <row r="60" spans="1:24" x14ac:dyDescent="0.25">
      <c r="A60" s="149"/>
      <c r="B60" s="65">
        <v>27</v>
      </c>
      <c r="C60" s="136" t="s">
        <v>166</v>
      </c>
      <c r="D60" s="137">
        <v>0</v>
      </c>
      <c r="E60" s="136">
        <v>0</v>
      </c>
      <c r="F60" s="89">
        <v>1</v>
      </c>
      <c r="G60" s="115">
        <f>G59</f>
        <v>175</v>
      </c>
      <c r="H60" s="71">
        <f t="shared" si="25"/>
        <v>175</v>
      </c>
      <c r="I60" s="68">
        <f t="shared" si="13"/>
        <v>117.12312374214748</v>
      </c>
      <c r="J60" s="66">
        <f>References!$C$49*I60</f>
        <v>1.5583231613892721</v>
      </c>
      <c r="K60" s="66">
        <f>J60/References!$G$57</f>
        <v>1.6013514755369498</v>
      </c>
      <c r="L60" s="24">
        <v>23.11</v>
      </c>
      <c r="M60" s="66">
        <f>ROUND((K60/F60),2)</f>
        <v>1.6</v>
      </c>
      <c r="N60" s="66">
        <f t="shared" si="34"/>
        <v>24.71</v>
      </c>
      <c r="O60" s="66">
        <f t="shared" si="35"/>
        <v>0</v>
      </c>
      <c r="P60" s="66">
        <f t="shared" si="36"/>
        <v>24.71</v>
      </c>
      <c r="Q60" s="66">
        <f t="shared" si="37"/>
        <v>23.11</v>
      </c>
      <c r="R60" s="67">
        <f t="shared" si="38"/>
        <v>24.71</v>
      </c>
      <c r="S60" s="67">
        <f t="shared" si="39"/>
        <v>24.71</v>
      </c>
      <c r="T60" s="67">
        <f t="shared" si="40"/>
        <v>1.6000000000000014</v>
      </c>
      <c r="W60" s="135"/>
      <c r="X60" s="105"/>
    </row>
    <row r="61" spans="1:24" x14ac:dyDescent="0.25">
      <c r="A61" s="149"/>
      <c r="B61" s="65">
        <v>37</v>
      </c>
      <c r="C61" s="136" t="s">
        <v>171</v>
      </c>
      <c r="D61" s="137">
        <v>0</v>
      </c>
      <c r="E61" s="136">
        <v>0</v>
      </c>
      <c r="F61" s="89">
        <v>1</v>
      </c>
      <c r="G61" s="115">
        <f>References!B36</f>
        <v>892</v>
      </c>
      <c r="H61" s="71">
        <f t="shared" si="25"/>
        <v>892</v>
      </c>
      <c r="I61" s="68">
        <f t="shared" si="13"/>
        <v>596.99329358854607</v>
      </c>
      <c r="J61" s="66">
        <f>References!$C$49*I61</f>
        <v>7.9429957711956041</v>
      </c>
      <c r="K61" s="66">
        <f>J61/References!$G$57</f>
        <v>8.162317235308338</v>
      </c>
      <c r="L61" s="24">
        <v>91.600000000000009</v>
      </c>
      <c r="M61" s="66">
        <f>ROUND((K61/F61),2)</f>
        <v>8.16</v>
      </c>
      <c r="N61" s="66">
        <f t="shared" si="34"/>
        <v>99.76</v>
      </c>
      <c r="O61" s="66">
        <f t="shared" si="35"/>
        <v>0</v>
      </c>
      <c r="P61" s="66">
        <f t="shared" si="36"/>
        <v>99.76</v>
      </c>
      <c r="Q61" s="66">
        <f t="shared" si="37"/>
        <v>91.600000000000009</v>
      </c>
      <c r="R61" s="67">
        <f t="shared" si="38"/>
        <v>99.76</v>
      </c>
      <c r="S61" s="67">
        <f t="shared" si="39"/>
        <v>99.76</v>
      </c>
      <c r="T61" s="67">
        <f t="shared" si="40"/>
        <v>8.1599999999999966</v>
      </c>
      <c r="W61" s="135"/>
      <c r="X61" s="105"/>
    </row>
    <row r="62" spans="1:24" x14ac:dyDescent="0.25">
      <c r="A62" s="149"/>
      <c r="B62" s="65">
        <v>37</v>
      </c>
      <c r="C62" s="136" t="s">
        <v>172</v>
      </c>
      <c r="D62" s="137">
        <v>0</v>
      </c>
      <c r="E62" s="136">
        <v>0</v>
      </c>
      <c r="F62" s="89">
        <v>1</v>
      </c>
      <c r="G62" s="115">
        <f>References!B37</f>
        <v>1301</v>
      </c>
      <c r="H62" s="71">
        <f t="shared" si="25"/>
        <v>1301</v>
      </c>
      <c r="I62" s="68">
        <f t="shared" si="13"/>
        <v>870.72676564876497</v>
      </c>
      <c r="J62" s="66">
        <f>References!$C$49*I62</f>
        <v>11.585019616956815</v>
      </c>
      <c r="K62" s="66">
        <f>J62/References!$G$57</f>
        <v>11.904904398134693</v>
      </c>
      <c r="L62" s="24">
        <v>126.7</v>
      </c>
      <c r="M62" s="66">
        <f>ROUND((K62/F62),2)</f>
        <v>11.9</v>
      </c>
      <c r="N62" s="66">
        <f t="shared" si="34"/>
        <v>138.6</v>
      </c>
      <c r="O62" s="66">
        <f t="shared" si="35"/>
        <v>0</v>
      </c>
      <c r="P62" s="66">
        <f t="shared" si="36"/>
        <v>138.6</v>
      </c>
      <c r="Q62" s="66">
        <f t="shared" si="37"/>
        <v>126.7</v>
      </c>
      <c r="R62" s="67">
        <f t="shared" si="38"/>
        <v>138.6</v>
      </c>
      <c r="S62" s="67">
        <f t="shared" si="39"/>
        <v>138.6</v>
      </c>
      <c r="T62" s="67">
        <f t="shared" si="40"/>
        <v>11.899999999999991</v>
      </c>
      <c r="W62" s="135"/>
      <c r="X62" s="105"/>
    </row>
    <row r="63" spans="1:24" x14ac:dyDescent="0.25">
      <c r="A63" s="149"/>
      <c r="B63" s="65">
        <v>37</v>
      </c>
      <c r="C63" s="136" t="s">
        <v>173</v>
      </c>
      <c r="D63" s="137">
        <v>0</v>
      </c>
      <c r="E63" s="136">
        <v>0</v>
      </c>
      <c r="F63" s="89">
        <v>1</v>
      </c>
      <c r="G63" s="115">
        <f>References!B38</f>
        <v>1686</v>
      </c>
      <c r="H63" s="71">
        <f t="shared" si="25"/>
        <v>1686</v>
      </c>
      <c r="I63" s="68">
        <f t="shared" si="13"/>
        <v>1128.3976378814893</v>
      </c>
      <c r="J63" s="66">
        <f>References!$C$49*I63</f>
        <v>15.013330572013214</v>
      </c>
      <c r="K63" s="66">
        <f>J63/References!$G$57</f>
        <v>15.427877644315982</v>
      </c>
      <c r="L63" s="24">
        <v>162.65</v>
      </c>
      <c r="M63" s="66">
        <f>ROUND((K63/F63),2)</f>
        <v>15.43</v>
      </c>
      <c r="N63" s="66">
        <f t="shared" si="34"/>
        <v>178.08</v>
      </c>
      <c r="O63" s="66">
        <f t="shared" si="35"/>
        <v>0</v>
      </c>
      <c r="P63" s="66">
        <f t="shared" si="36"/>
        <v>178.08</v>
      </c>
      <c r="Q63" s="66">
        <f t="shared" si="37"/>
        <v>162.65</v>
      </c>
      <c r="R63" s="67">
        <f t="shared" si="38"/>
        <v>178.08</v>
      </c>
      <c r="S63" s="67">
        <f t="shared" si="39"/>
        <v>178.08</v>
      </c>
      <c r="T63" s="67">
        <f t="shared" si="40"/>
        <v>15.430000000000007</v>
      </c>
      <c r="W63" s="135"/>
      <c r="X63" s="105"/>
    </row>
    <row r="64" spans="1:24" x14ac:dyDescent="0.25">
      <c r="A64" s="149"/>
      <c r="B64" s="65">
        <v>37</v>
      </c>
      <c r="C64" s="136" t="s">
        <v>174</v>
      </c>
      <c r="D64" s="137">
        <v>0</v>
      </c>
      <c r="E64" s="136">
        <v>0</v>
      </c>
      <c r="F64" s="89">
        <v>1</v>
      </c>
      <c r="G64" s="115">
        <f>References!B40</f>
        <v>2310</v>
      </c>
      <c r="H64" s="71">
        <f t="shared" si="25"/>
        <v>2310</v>
      </c>
      <c r="I64" s="68">
        <f t="shared" si="13"/>
        <v>1546.0252333963467</v>
      </c>
      <c r="J64" s="66">
        <f>References!$C$49*I64</f>
        <v>20.569865730338389</v>
      </c>
      <c r="K64" s="66">
        <f>J64/References!$G$57</f>
        <v>21.137839477087734</v>
      </c>
      <c r="L64" s="24">
        <v>233.42</v>
      </c>
      <c r="M64" s="66">
        <f>ROUND((K64/F64),2)</f>
        <v>21.14</v>
      </c>
      <c r="N64" s="66">
        <f t="shared" si="34"/>
        <v>254.56</v>
      </c>
      <c r="O64" s="66">
        <f t="shared" si="35"/>
        <v>0</v>
      </c>
      <c r="P64" s="66">
        <f t="shared" si="36"/>
        <v>254.56</v>
      </c>
      <c r="Q64" s="66">
        <f t="shared" si="37"/>
        <v>233.42</v>
      </c>
      <c r="R64" s="67">
        <f t="shared" si="38"/>
        <v>254.56</v>
      </c>
      <c r="S64" s="67">
        <f t="shared" si="39"/>
        <v>254.56</v>
      </c>
      <c r="T64" s="67">
        <f t="shared" si="40"/>
        <v>21.140000000000015</v>
      </c>
      <c r="W64" s="135"/>
      <c r="X64" s="105"/>
    </row>
    <row r="65" spans="1:23" x14ac:dyDescent="0.25">
      <c r="A65" s="72"/>
      <c r="B65" s="56"/>
      <c r="C65" s="74" t="s">
        <v>3</v>
      </c>
      <c r="D65" s="75">
        <f>SUM(D25:D49)</f>
        <v>108</v>
      </c>
      <c r="E65" s="75"/>
      <c r="F65" s="75">
        <f>SUM(F25:F49)</f>
        <v>4992</v>
      </c>
      <c r="G65" s="117"/>
      <c r="H65" s="75">
        <f>SUM(H25:H49)</f>
        <v>1610440</v>
      </c>
      <c r="I65" s="78">
        <f>SUM(I25:I49)</f>
        <v>1077827.2194245942</v>
      </c>
      <c r="J65" s="80"/>
      <c r="K65" s="80"/>
      <c r="L65" s="80"/>
      <c r="M65" s="80"/>
      <c r="N65" s="80"/>
      <c r="O65" s="80"/>
      <c r="P65" s="80"/>
      <c r="Q65" s="80">
        <f>SUM(Q25:Q49)</f>
        <v>191679.28</v>
      </c>
      <c r="R65" s="80"/>
      <c r="S65" s="80">
        <f>SUM(S25:S49)</f>
        <v>206413.74000000002</v>
      </c>
      <c r="T65" s="80">
        <f>SUM(T25:T49)</f>
        <v>14734.460000000001</v>
      </c>
      <c r="W65" s="143">
        <f>+T65/Q65</f>
        <v>7.687038473850695E-2</v>
      </c>
    </row>
    <row r="66" spans="1:23" ht="25.5" customHeight="1" x14ac:dyDescent="0.4">
      <c r="C66" s="83" t="s">
        <v>98</v>
      </c>
      <c r="D66" s="84">
        <f>D24+D65</f>
        <v>5630</v>
      </c>
      <c r="E66" s="84"/>
      <c r="F66" s="84">
        <f>F24+F65</f>
        <v>251350.43799999999</v>
      </c>
      <c r="G66" s="84"/>
      <c r="H66" s="84">
        <f>H24+H65</f>
        <v>11375742.530000001</v>
      </c>
      <c r="I66" s="84">
        <f>I24+I65</f>
        <v>7613500</v>
      </c>
      <c r="J66" s="66"/>
      <c r="K66" s="85"/>
      <c r="L66" s="85"/>
      <c r="M66" s="85"/>
      <c r="N66" s="85"/>
      <c r="O66" s="85"/>
      <c r="P66" s="85"/>
      <c r="Q66" s="119">
        <f>Q24+Q65</f>
        <v>1763547.64</v>
      </c>
      <c r="R66" s="119"/>
      <c r="S66" s="119">
        <f>S24+S65</f>
        <v>1868080.74</v>
      </c>
      <c r="T66" s="119">
        <f>T24+T65</f>
        <v>104533.09999999996</v>
      </c>
      <c r="W66" s="143">
        <f>+T66/Q66</f>
        <v>5.927432728724015E-2</v>
      </c>
    </row>
    <row r="67" spans="1:23" x14ac:dyDescent="0.25">
      <c r="G67" s="118"/>
      <c r="J67" s="87"/>
      <c r="L67" s="151"/>
      <c r="P67" s="25"/>
    </row>
    <row r="68" spans="1:23" x14ac:dyDescent="0.25">
      <c r="G68" s="118"/>
      <c r="H68">
        <f>+H65/2000</f>
        <v>805.22</v>
      </c>
      <c r="I68">
        <f>+I65/2000</f>
        <v>538.9136097122971</v>
      </c>
      <c r="J68" s="87"/>
      <c r="L68" s="152"/>
      <c r="P68" s="25"/>
      <c r="T68" s="101">
        <f>+References!C57</f>
        <v>12414.726000000002</v>
      </c>
    </row>
    <row r="69" spans="1:23" x14ac:dyDescent="0.25">
      <c r="A69" s="70"/>
      <c r="C69" s="90"/>
    </row>
    <row r="70" spans="1:23" x14ac:dyDescent="0.25">
      <c r="A70" s="70"/>
      <c r="C70" s="90"/>
      <c r="T70" s="25">
        <f>+T66+T68</f>
        <v>116947.82599999997</v>
      </c>
    </row>
    <row r="71" spans="1:23" x14ac:dyDescent="0.25">
      <c r="A71" s="70"/>
      <c r="B71" s="153" t="s">
        <v>99</v>
      </c>
      <c r="C71" s="153"/>
      <c r="D71"/>
      <c r="H71" s="57"/>
    </row>
    <row r="72" spans="1:23" x14ac:dyDescent="0.25">
      <c r="A72" s="70"/>
      <c r="B72"/>
      <c r="C72" s="91" t="s">
        <v>3</v>
      </c>
      <c r="D72"/>
      <c r="E72" s="28"/>
      <c r="F72" s="28"/>
      <c r="H72" s="92" t="s">
        <v>100</v>
      </c>
      <c r="J72" s="47"/>
      <c r="Q72" s="86"/>
    </row>
    <row r="73" spans="1:23" x14ac:dyDescent="0.25">
      <c r="A73" s="70"/>
      <c r="B73" t="s">
        <v>101</v>
      </c>
      <c r="C73" s="113">
        <f>'Co. Pro Tonnage'!E9</f>
        <v>3806.75</v>
      </c>
      <c r="D73"/>
      <c r="E73" s="81"/>
      <c r="F73" s="81"/>
      <c r="G73" s="93"/>
      <c r="H73" s="111" t="s">
        <v>104</v>
      </c>
      <c r="I73" s="112"/>
      <c r="J73" s="47"/>
      <c r="Q73" s="86"/>
    </row>
    <row r="74" spans="1:23" x14ac:dyDescent="0.25">
      <c r="A74" s="70"/>
      <c r="B74" t="s">
        <v>102</v>
      </c>
      <c r="C74" s="94">
        <f>C73*2000</f>
        <v>7613500</v>
      </c>
      <c r="D74"/>
      <c r="E74" s="94"/>
      <c r="F74" s="94"/>
      <c r="G74" s="94"/>
      <c r="H74" s="95"/>
      <c r="J74" s="47"/>
      <c r="N74" s="150"/>
    </row>
    <row r="75" spans="1:23" x14ac:dyDescent="0.25">
      <c r="A75" s="70"/>
      <c r="B75" t="s">
        <v>103</v>
      </c>
      <c r="C75" s="94">
        <f>F24+F65</f>
        <v>251350.43799999999</v>
      </c>
      <c r="D75"/>
      <c r="E75" s="81"/>
      <c r="F75" s="81"/>
      <c r="G75" s="81"/>
      <c r="I75" s="89"/>
      <c r="J75" s="47"/>
      <c r="N75" s="150"/>
      <c r="Q75" s="86"/>
    </row>
    <row r="76" spans="1:23" x14ac:dyDescent="0.25">
      <c r="B76" s="57" t="s">
        <v>105</v>
      </c>
      <c r="C76" s="96">
        <f>C74/$H$66</f>
        <v>0.66927499281227132</v>
      </c>
      <c r="D76"/>
      <c r="E76" s="96"/>
      <c r="F76" s="96"/>
      <c r="G76" s="96"/>
      <c r="H76" s="97"/>
      <c r="J76" s="47"/>
      <c r="L76" s="98"/>
      <c r="N76" s="98"/>
      <c r="O76" s="98"/>
      <c r="P76" s="98"/>
      <c r="Q76" s="99"/>
    </row>
    <row r="77" spans="1:23" x14ac:dyDescent="0.25">
      <c r="E77" s="47"/>
      <c r="G77" s="100"/>
      <c r="H77" s="33"/>
      <c r="J77" s="47"/>
      <c r="L77" s="25"/>
      <c r="N77" s="101"/>
      <c r="O77" s="101"/>
      <c r="P77" s="101"/>
      <c r="Q77" s="88"/>
    </row>
    <row r="78" spans="1:23" x14ac:dyDescent="0.25">
      <c r="D78" s="102"/>
      <c r="E78" s="103"/>
      <c r="G78" s="100"/>
      <c r="H78" s="33"/>
      <c r="J78" s="47"/>
      <c r="L78" s="25"/>
      <c r="N78" s="101"/>
      <c r="O78" s="101"/>
      <c r="P78" s="101"/>
      <c r="Q78" s="88"/>
    </row>
    <row r="79" spans="1:23" x14ac:dyDescent="0.25">
      <c r="D79" s="102"/>
      <c r="E79" s="103"/>
      <c r="G79" s="100"/>
      <c r="H79" s="33"/>
      <c r="J79" s="47"/>
      <c r="K79" s="150">
        <v>45281</v>
      </c>
      <c r="L79" s="25"/>
      <c r="N79" s="101"/>
      <c r="O79" s="101"/>
      <c r="P79" s="101"/>
      <c r="Q79" s="88"/>
    </row>
    <row r="80" spans="1:23" x14ac:dyDescent="0.25">
      <c r="D80"/>
      <c r="I80"/>
      <c r="K80" s="150">
        <f>K79+45</f>
        <v>45326</v>
      </c>
    </row>
    <row r="81" spans="4:9" x14ac:dyDescent="0.25">
      <c r="D81"/>
      <c r="E81" s="47"/>
      <c r="I81"/>
    </row>
    <row r="82" spans="4:9" x14ac:dyDescent="0.25">
      <c r="D82"/>
      <c r="I82"/>
    </row>
    <row r="83" spans="4:9" x14ac:dyDescent="0.25">
      <c r="D83"/>
      <c r="I83"/>
    </row>
    <row r="84" spans="4:9" x14ac:dyDescent="0.25">
      <c r="D84"/>
    </row>
  </sheetData>
  <mergeCells count="3">
    <mergeCell ref="A3:A23"/>
    <mergeCell ref="A25:A49"/>
    <mergeCell ref="B71:C71"/>
  </mergeCells>
  <pageMargins left="0.45" right="0.2" top="0.25" bottom="0.25" header="0.3" footer="0.3"/>
  <pageSetup scale="4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21"/>
  <sheetViews>
    <sheetView workbookViewId="0">
      <selection activeCell="F6" sqref="F6"/>
    </sheetView>
  </sheetViews>
  <sheetFormatPr defaultRowHeight="15" x14ac:dyDescent="0.25"/>
  <cols>
    <col min="1" max="1" width="28.85546875" bestFit="1" customWidth="1"/>
    <col min="3" max="3" width="12.85546875" bestFit="1" customWidth="1"/>
    <col min="4" max="4" width="12.42578125" bestFit="1" customWidth="1"/>
    <col min="5" max="5" width="14.28515625" bestFit="1" customWidth="1"/>
    <col min="6" max="6" width="11" bestFit="1" customWidth="1"/>
    <col min="7" max="7" width="17.5703125" bestFit="1" customWidth="1"/>
    <col min="8" max="8" width="13.5703125" bestFit="1" customWidth="1"/>
    <col min="9" max="9" width="14.28515625" bestFit="1" customWidth="1"/>
    <col min="10" max="10" width="12.7109375" bestFit="1" customWidth="1"/>
    <col min="11" max="11" width="2.42578125" customWidth="1"/>
    <col min="12" max="13" width="10.42578125" bestFit="1" customWidth="1"/>
    <col min="14" max="14" width="14.42578125" bestFit="1" customWidth="1"/>
    <col min="15" max="15" width="14.42578125" customWidth="1"/>
    <col min="16" max="16" width="12.85546875" bestFit="1" customWidth="1"/>
    <col min="17" max="17" width="10" bestFit="1" customWidth="1"/>
    <col min="18" max="18" width="12.5703125" bestFit="1" customWidth="1"/>
  </cols>
  <sheetData>
    <row r="1" spans="1:18" ht="26.25" x14ac:dyDescent="0.4">
      <c r="A1" s="8" t="s">
        <v>109</v>
      </c>
      <c r="B1" s="1"/>
      <c r="C1" s="1"/>
      <c r="D1" s="1"/>
      <c r="E1" s="1"/>
      <c r="F1" s="1"/>
      <c r="G1" s="1"/>
      <c r="H1" s="1"/>
      <c r="I1" s="1"/>
      <c r="J1" s="1"/>
    </row>
    <row r="2" spans="1:18" ht="20.25" x14ac:dyDescent="0.3">
      <c r="A2" s="7" t="s">
        <v>147</v>
      </c>
      <c r="B2" s="1"/>
      <c r="C2" s="1"/>
      <c r="D2" s="1"/>
      <c r="E2" s="1"/>
      <c r="F2" s="1"/>
      <c r="G2" s="1"/>
      <c r="H2" s="1"/>
      <c r="I2" s="1"/>
      <c r="J2" s="1"/>
    </row>
    <row r="3" spans="1:18" ht="15.75" x14ac:dyDescent="0.25">
      <c r="A3" s="27" t="s">
        <v>110</v>
      </c>
      <c r="G3" s="5" t="s">
        <v>108</v>
      </c>
      <c r="I3" s="5" t="s">
        <v>12</v>
      </c>
      <c r="L3" s="35"/>
      <c r="M3" s="34"/>
      <c r="N3" s="34"/>
      <c r="O3" s="129"/>
      <c r="P3" s="36"/>
    </row>
    <row r="4" spans="1:18" ht="15.75" x14ac:dyDescent="0.25">
      <c r="A4" s="1"/>
      <c r="B4" s="1"/>
      <c r="C4" s="5" t="s">
        <v>3</v>
      </c>
      <c r="D4" s="5" t="s">
        <v>2</v>
      </c>
      <c r="E4" s="5" t="s">
        <v>12</v>
      </c>
      <c r="F4" s="6" t="s">
        <v>4</v>
      </c>
      <c r="G4" s="5" t="s">
        <v>12</v>
      </c>
      <c r="H4" s="6" t="s">
        <v>6</v>
      </c>
      <c r="I4" s="5" t="s">
        <v>0</v>
      </c>
      <c r="J4" s="5" t="s">
        <v>0</v>
      </c>
      <c r="L4" s="36"/>
      <c r="M4" s="36"/>
      <c r="N4" s="36"/>
      <c r="O4" s="36"/>
      <c r="P4" s="36"/>
    </row>
    <row r="5" spans="1:18" ht="20.25" x14ac:dyDescent="0.55000000000000004">
      <c r="A5" s="1"/>
      <c r="B5" s="1"/>
      <c r="C5" s="3" t="s">
        <v>7</v>
      </c>
      <c r="D5" s="3" t="s">
        <v>12</v>
      </c>
      <c r="E5" s="3" t="s">
        <v>7</v>
      </c>
      <c r="F5" s="4" t="s">
        <v>8</v>
      </c>
      <c r="G5" s="3" t="s">
        <v>5</v>
      </c>
      <c r="H5" s="4" t="s">
        <v>8</v>
      </c>
      <c r="I5" s="3" t="s">
        <v>9</v>
      </c>
      <c r="J5" s="3" t="s">
        <v>1</v>
      </c>
      <c r="L5" s="37"/>
      <c r="M5" s="37"/>
      <c r="N5" s="37"/>
      <c r="O5" s="37"/>
      <c r="P5" s="37"/>
      <c r="Q5" s="37"/>
    </row>
    <row r="6" spans="1:18" ht="15.75" x14ac:dyDescent="0.25">
      <c r="A6" s="2" t="s">
        <v>10</v>
      </c>
      <c r="B6" s="1">
        <v>648.89</v>
      </c>
      <c r="C6" s="16">
        <v>481.88</v>
      </c>
      <c r="D6" s="29">
        <v>1</v>
      </c>
      <c r="E6" s="31">
        <f>+D6*C6</f>
        <v>481.88</v>
      </c>
      <c r="F6" s="9">
        <v>109</v>
      </c>
      <c r="G6" s="11">
        <f>+F6*E6</f>
        <v>52524.92</v>
      </c>
      <c r="H6" s="10">
        <v>147</v>
      </c>
      <c r="I6" s="11">
        <f>+H6*E6</f>
        <v>70836.36</v>
      </c>
      <c r="J6" s="17">
        <f>+I6-G6</f>
        <v>18311.440000000002</v>
      </c>
      <c r="K6" s="26"/>
      <c r="L6" s="40"/>
      <c r="M6" s="40"/>
      <c r="N6" s="40"/>
      <c r="O6" s="40"/>
      <c r="P6" s="41"/>
      <c r="Q6" s="124"/>
      <c r="R6" s="25"/>
    </row>
    <row r="7" spans="1:18" ht="15.75" x14ac:dyDescent="0.25">
      <c r="A7" s="1"/>
      <c r="B7" s="1"/>
      <c r="C7" s="2"/>
      <c r="D7" s="11"/>
      <c r="E7" s="11"/>
      <c r="F7" s="9"/>
      <c r="G7" s="11"/>
      <c r="H7" s="10"/>
      <c r="I7" s="11"/>
      <c r="J7" s="17"/>
      <c r="L7" s="41"/>
      <c r="M7" s="41"/>
      <c r="N7" s="41"/>
      <c r="O7" s="41"/>
      <c r="P7" s="41"/>
    </row>
    <row r="8" spans="1:18" ht="18" x14ac:dyDescent="0.4">
      <c r="A8" s="2" t="s">
        <v>11</v>
      </c>
      <c r="B8" s="1">
        <v>3185.29</v>
      </c>
      <c r="C8" s="22">
        <v>3324.87</v>
      </c>
      <c r="D8" s="29">
        <v>1</v>
      </c>
      <c r="E8" s="32">
        <f>+D8*C8</f>
        <v>3324.87</v>
      </c>
      <c r="F8" s="9">
        <f>+F6</f>
        <v>109</v>
      </c>
      <c r="G8" s="12">
        <f>+F8*E8</f>
        <v>362410.83</v>
      </c>
      <c r="H8" s="10">
        <f>+H6</f>
        <v>147</v>
      </c>
      <c r="I8" s="12">
        <f>+H8*E8</f>
        <v>488755.88999999996</v>
      </c>
      <c r="J8" s="18">
        <f>+I8-G8</f>
        <v>126345.05999999994</v>
      </c>
      <c r="K8" s="26"/>
      <c r="L8" s="42"/>
      <c r="M8" s="42"/>
      <c r="N8" s="42"/>
      <c r="O8" s="42"/>
      <c r="P8" s="43"/>
      <c r="Q8" s="124"/>
      <c r="R8" s="25"/>
    </row>
    <row r="9" spans="1:18" ht="20.25" x14ac:dyDescent="0.55000000000000004">
      <c r="A9" s="2"/>
      <c r="B9" s="1"/>
      <c r="C9" s="19">
        <f>+C8+C6</f>
        <v>3806.75</v>
      </c>
      <c r="D9" s="12"/>
      <c r="E9" s="19">
        <f>+E8+E6</f>
        <v>3806.75</v>
      </c>
      <c r="F9" s="140"/>
      <c r="G9" s="141">
        <f>+G8+G6</f>
        <v>414935.75</v>
      </c>
      <c r="H9" s="142"/>
      <c r="I9" s="141">
        <f>+I8+I6</f>
        <v>559592.25</v>
      </c>
      <c r="J9" s="141">
        <f>+J8+J6</f>
        <v>144656.49999999994</v>
      </c>
      <c r="K9" s="30"/>
      <c r="L9" s="30"/>
      <c r="M9" s="30"/>
      <c r="N9" s="30"/>
      <c r="O9" s="30"/>
      <c r="P9" s="30"/>
      <c r="R9" s="25"/>
    </row>
    <row r="10" spans="1:18" ht="15.75" x14ac:dyDescent="0.25">
      <c r="A10" s="1"/>
      <c r="B10" s="1"/>
      <c r="C10" s="2"/>
      <c r="D10" s="11"/>
      <c r="E10" s="11"/>
      <c r="F10" s="9"/>
      <c r="G10" s="11"/>
      <c r="H10" s="10"/>
      <c r="I10" s="11"/>
      <c r="J10" s="17"/>
      <c r="L10" s="39"/>
      <c r="M10" s="39"/>
      <c r="N10" s="39"/>
      <c r="O10" s="39"/>
      <c r="P10" s="39"/>
    </row>
    <row r="11" spans="1:18" ht="15.75" x14ac:dyDescent="0.25">
      <c r="A11" s="2" t="s">
        <v>144</v>
      </c>
      <c r="B11" s="1"/>
      <c r="C11" s="16"/>
      <c r="D11" s="29"/>
      <c r="E11" s="16">
        <f>31.49+163.25</f>
        <v>194.74</v>
      </c>
      <c r="F11" s="9">
        <f>+F8</f>
        <v>109</v>
      </c>
      <c r="G11" s="11">
        <f>+F11*E11</f>
        <v>21226.66</v>
      </c>
      <c r="H11" s="10">
        <f>+H8</f>
        <v>147</v>
      </c>
      <c r="I11" s="11">
        <f>+H11*E11</f>
        <v>28626.780000000002</v>
      </c>
      <c r="J11" s="17">
        <f>+I11-G11</f>
        <v>7400.1200000000026</v>
      </c>
      <c r="L11" s="38"/>
      <c r="M11" s="38"/>
      <c r="N11" s="40"/>
      <c r="O11" s="40"/>
      <c r="P11" s="41"/>
    </row>
    <row r="12" spans="1:18" ht="15.75" x14ac:dyDescent="0.25">
      <c r="A12" s="2" t="s">
        <v>146</v>
      </c>
      <c r="B12" s="1"/>
      <c r="C12" s="16"/>
      <c r="D12" s="29"/>
      <c r="E12" s="16">
        <v>178.15</v>
      </c>
      <c r="F12" s="9">
        <v>136</v>
      </c>
      <c r="G12" s="11">
        <f>+F12*E12</f>
        <v>24228.400000000001</v>
      </c>
      <c r="H12" s="10">
        <v>164</v>
      </c>
      <c r="I12" s="11">
        <f>+H12*E12</f>
        <v>29216.600000000002</v>
      </c>
      <c r="J12" s="17">
        <f>+I12-G12</f>
        <v>4988.2000000000007</v>
      </c>
      <c r="L12" s="38"/>
      <c r="M12" s="38"/>
      <c r="N12" s="40"/>
      <c r="O12" s="40"/>
      <c r="P12" s="41"/>
    </row>
    <row r="13" spans="1:18" ht="17.25" x14ac:dyDescent="0.35">
      <c r="A13" s="2" t="s">
        <v>145</v>
      </c>
      <c r="B13" s="1"/>
      <c r="C13" s="16"/>
      <c r="D13" s="29"/>
      <c r="E13" s="22">
        <v>44.01</v>
      </c>
      <c r="F13" s="9">
        <v>170</v>
      </c>
      <c r="G13" s="12">
        <f>+F13*E13</f>
        <v>7481.7</v>
      </c>
      <c r="H13" s="10">
        <v>170.6</v>
      </c>
      <c r="I13" s="12">
        <f>+H13*E13</f>
        <v>7508.1059999999998</v>
      </c>
      <c r="J13" s="18">
        <f>+I13-G13</f>
        <v>26.405999999999949</v>
      </c>
      <c r="L13" s="38"/>
      <c r="M13" s="38"/>
      <c r="N13" s="40"/>
      <c r="O13" s="40"/>
      <c r="P13" s="41"/>
    </row>
    <row r="14" spans="1:18" ht="20.25" x14ac:dyDescent="0.55000000000000004">
      <c r="A14" s="1"/>
      <c r="B14" s="1"/>
      <c r="C14" s="19"/>
      <c r="D14" s="19"/>
      <c r="E14" s="19">
        <f>SUM(E11:E13)</f>
        <v>416.9</v>
      </c>
      <c r="F14" s="9"/>
      <c r="G14" s="14">
        <f>SUM(G11:G13)</f>
        <v>52936.759999999995</v>
      </c>
      <c r="H14" s="14"/>
      <c r="I14" s="14">
        <f>SUM(I11:I13)</f>
        <v>65351.486000000004</v>
      </c>
      <c r="J14" s="14">
        <f>SUM(J11:J13)</f>
        <v>12414.726000000002</v>
      </c>
      <c r="L14" s="14"/>
      <c r="M14" s="14"/>
      <c r="N14" s="14"/>
      <c r="O14" s="14"/>
      <c r="P14" s="14"/>
    </row>
    <row r="15" spans="1:18" ht="15.75" x14ac:dyDescent="0.25">
      <c r="A15" s="1"/>
      <c r="B15" s="1"/>
      <c r="C15" s="20"/>
      <c r="D15" s="20"/>
      <c r="E15" s="20"/>
      <c r="F15" s="9"/>
      <c r="G15" s="2"/>
      <c r="H15" s="2"/>
      <c r="I15" s="2"/>
      <c r="J15" s="2"/>
      <c r="L15" s="39"/>
      <c r="M15" s="39"/>
      <c r="N15" s="39"/>
      <c r="O15" s="39"/>
      <c r="P15" s="39"/>
    </row>
    <row r="16" spans="1:18" ht="18" x14ac:dyDescent="0.4">
      <c r="A16" s="1"/>
      <c r="B16" s="1"/>
      <c r="C16" s="21"/>
      <c r="D16" s="21"/>
      <c r="E16" s="21">
        <f>+E14+E9</f>
        <v>4223.6499999999996</v>
      </c>
      <c r="F16" s="9"/>
      <c r="G16" s="15">
        <f>+G14+G9</f>
        <v>467872.51</v>
      </c>
      <c r="H16" s="15"/>
      <c r="I16" s="15">
        <f>+I14+N9</f>
        <v>65351.486000000004</v>
      </c>
      <c r="J16" s="15">
        <f>+J14+J9</f>
        <v>157071.22599999994</v>
      </c>
      <c r="K16" s="15"/>
      <c r="L16" s="15"/>
      <c r="M16" s="15"/>
      <c r="N16" s="15"/>
      <c r="O16" s="15"/>
      <c r="P16" s="15"/>
    </row>
    <row r="17" spans="1:15" ht="17.25" x14ac:dyDescent="0.35">
      <c r="A17" s="1"/>
      <c r="B17" s="1"/>
      <c r="C17" s="22"/>
      <c r="D17" s="22"/>
      <c r="E17" s="22"/>
      <c r="F17" s="9"/>
      <c r="G17" s="12"/>
      <c r="H17" s="2"/>
      <c r="I17" s="2"/>
      <c r="J17" s="2"/>
      <c r="K17" s="1"/>
      <c r="L17" s="1"/>
      <c r="N17" s="1"/>
      <c r="O17" s="1"/>
    </row>
    <row r="18" spans="1:15" ht="15.75" x14ac:dyDescent="0.25">
      <c r="A18" s="1"/>
      <c r="B18" s="1"/>
      <c r="C18" s="16"/>
      <c r="D18" s="2"/>
      <c r="E18" s="2"/>
      <c r="F18" s="9"/>
      <c r="G18" s="13"/>
      <c r="H18" s="2"/>
      <c r="I18" s="2"/>
      <c r="J18" s="2"/>
      <c r="K18" s="1"/>
      <c r="L18" s="1"/>
      <c r="N18" s="1"/>
      <c r="O18" s="1"/>
    </row>
    <row r="19" spans="1:15" ht="15.75" x14ac:dyDescent="0.25">
      <c r="A19" s="1"/>
      <c r="B19" s="1"/>
      <c r="C19" s="16"/>
      <c r="D19" s="16"/>
      <c r="E19" s="16"/>
      <c r="F19" s="1"/>
      <c r="G19" s="2"/>
      <c r="H19" s="1"/>
      <c r="I19" s="1"/>
      <c r="J19" s="1"/>
      <c r="K19" s="1"/>
      <c r="L19" s="1"/>
      <c r="N19" s="1"/>
      <c r="O19" s="1"/>
    </row>
    <row r="20" spans="1:15" x14ac:dyDescent="0.25">
      <c r="G20" s="33"/>
    </row>
    <row r="21" spans="1:15" ht="15.75" x14ac:dyDescent="0.25">
      <c r="A21" s="1"/>
      <c r="B21" s="1"/>
      <c r="C21" s="1"/>
      <c r="D21" s="1"/>
      <c r="E21" s="1"/>
      <c r="F21" s="1"/>
      <c r="G21" s="23"/>
      <c r="H21" s="1"/>
      <c r="I21" s="1"/>
      <c r="J21" s="1"/>
      <c r="K21" s="1"/>
      <c r="L21" s="1"/>
      <c r="N21" s="1"/>
      <c r="O21" s="1"/>
    </row>
  </sheetData>
  <pageMargins left="0.45" right="0.2" top="0.75" bottom="0.75" header="0.3" footer="0.3"/>
  <pageSetup scale="62" orientation="landscape" verticalDpi="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2025-01-28T08:00:00+00:00</OpenedDate>
    <SignificantOrder xmlns="dc463f71-b30c-4ab2-9473-d307f9d35888">false</SignificantOrder>
    <Date1 xmlns="dc463f71-b30c-4ab2-9473-d307f9d35888">2025-01-28T08:00:00+00:00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Waste Management of Washington, Inc.  </CaseCompanyNames>
    <Nickname xmlns="http://schemas.microsoft.com/sharepoint/v3" xsi:nil="true"/>
    <DocketNumber xmlns="dc463f71-b30c-4ab2-9473-d307f9d35888">250059</DocketNumber>
    <DelegatedOrder xmlns="dc463f71-b30c-4ab2-9473-d307f9d35888">false</Delegated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C350C5BB9DB96489E65B0DD73C02BB9" ma:contentTypeVersion="19" ma:contentTypeDescription="" ma:contentTypeScope="" ma:versionID="207c4e5b084aefecd10139a7ee28535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31F08A9-A035-417B-B868-D6200CD69CFF}">
  <ds:schemaRefs>
    <ds:schemaRef ds:uri="http://schemas.microsoft.com/office/2006/metadata/properties"/>
    <ds:schemaRef ds:uri="http://schemas.microsoft.com/office/infopath/2007/PartnerControls"/>
    <ds:schemaRef ds:uri="dc463f71-b30c-4ab2-9473-d307f9d35888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4F9C6B0A-2210-4EC3-8A41-6D7FB10AF6ED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D3E2D827-E3D9-4A92-9BAF-4CDC86F2B94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A996B7A-0D8A-46BC-950D-5349EDB6697F}"/>
</file>

<file path=customXml/itemProps5.xml><?xml version="1.0" encoding="utf-8"?>
<ds:datastoreItem xmlns:ds="http://schemas.openxmlformats.org/officeDocument/2006/customXml" ds:itemID="{4838D390-C97C-448B-BF56-E71129251A80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References</vt:lpstr>
      <vt:lpstr>Calc. and priceout</vt:lpstr>
      <vt:lpstr>Co. Pro Tonnage</vt:lpstr>
      <vt:lpstr>'Calc. and priceout'!Print_Area</vt:lpstr>
      <vt:lpstr>'Co. Pro Tonnage'!Print_Area</vt:lpstr>
      <vt:lpstr>References!Print_Area</vt:lpstr>
      <vt:lpstr>'Calc. and priceout'!Print_Titles</vt:lpstr>
    </vt:vector>
  </TitlesOfParts>
  <Company>Waste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LaRue</dc:creator>
  <cp:lastModifiedBy>Booth, Avery (UTC)</cp:lastModifiedBy>
  <cp:lastPrinted>2019-06-05T19:11:46Z</cp:lastPrinted>
  <dcterms:created xsi:type="dcterms:W3CDTF">2013-04-10T21:01:30Z</dcterms:created>
  <dcterms:modified xsi:type="dcterms:W3CDTF">2025-01-29T20:56:20Z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IsEFSEC">
    <vt:lpwstr>0</vt:lpwstr>
  </property>
  <property fmtid="{D5CDD505-2E9C-101B-9397-08002B2CF9AE}" pid="5" name="_docset_NoMedatataSyncRequired">
    <vt:lpwstr>False</vt:lpwstr>
  </property>
  <property fmtid="{D5CDD505-2E9C-101B-9397-08002B2CF9AE}" pid="6" name="ContentTypeId">
    <vt:lpwstr>0x0101006E56B4D1795A2E4DB2F0B01679ED314A00FC350C5BB9DB96489E65B0DD73C02BB9</vt:lpwstr>
  </property>
</Properties>
</file>