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18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Txhous10fps03rf\orport01fps01\PUBLIC\Evan Burmester\WUTC\Commodity Rebate Filings\2024\Wenatchee\"/>
    </mc:Choice>
  </mc:AlternateContent>
  <xr:revisionPtr revIDLastSave="0" documentId="13_ncr:1_{2B36BE23-9F5B-4D0A-8B0D-77753A7301C3}" xr6:coauthVersionLast="47" xr6:coauthVersionMax="47" xr10:uidLastSave="{00000000-0000-0000-0000-000000000000}"/>
  <bookViews>
    <workbookView xWindow="-120" yWindow="-120" windowWidth="25440" windowHeight="15390" xr2:uid="{C067B418-F733-4553-9C1E-04EBF145E0B6}"/>
  </bookViews>
  <sheets>
    <sheet name="Rebate Calculation" sheetId="7" r:id="rId1"/>
    <sheet name="Recycling Revenue" sheetId="5" r:id="rId2"/>
    <sheet name="Customers" sheetId="6" r:id="rId3"/>
    <sheet name="Rebate Data" sheetId="4" r:id="rId4"/>
    <sheet name="SMaRT Tons Sold" sheetId="2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</externalReferences>
  <calcPr calcId="191029" calcOnSave="0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4" i="7" l="1"/>
  <c r="C11" i="7"/>
  <c r="C10" i="7"/>
  <c r="Q23" i="7"/>
  <c r="O12" i="7"/>
  <c r="Q24" i="7"/>
  <c r="R25" i="7"/>
  <c r="D10" i="7"/>
  <c r="E10" i="7"/>
  <c r="D11" i="7"/>
  <c r="E11" i="7"/>
  <c r="E12" i="7"/>
  <c r="E16" i="7"/>
  <c r="C12" i="7"/>
  <c r="E18" i="7"/>
  <c r="F20" i="7"/>
  <c r="E24" i="7"/>
  <c r="E23" i="7"/>
  <c r="F25" i="7"/>
  <c r="F27" i="7"/>
  <c r="D19" i="5"/>
  <c r="E19" i="5"/>
  <c r="C18" i="6"/>
  <c r="D18" i="6"/>
  <c r="X31" i="4"/>
  <c r="X30" i="4"/>
  <c r="X29" i="4"/>
  <c r="X28" i="4"/>
  <c r="X27" i="4"/>
  <c r="X26" i="4"/>
  <c r="X25" i="4"/>
  <c r="X24" i="4"/>
  <c r="X23" i="4"/>
  <c r="X22" i="4"/>
  <c r="X16" i="4"/>
  <c r="X15" i="4"/>
  <c r="X14" i="4"/>
  <c r="X13" i="4"/>
  <c r="X12" i="4"/>
  <c r="X11" i="4"/>
  <c r="X10" i="4"/>
  <c r="X9" i="4"/>
  <c r="X8" i="4"/>
  <c r="X7" i="4"/>
  <c r="X6" i="4"/>
  <c r="E18" i="5"/>
  <c r="D18" i="5"/>
  <c r="D17" i="6"/>
  <c r="C17" i="6"/>
  <c r="V31" i="4"/>
  <c r="V30" i="4"/>
  <c r="V29" i="4"/>
  <c r="V28" i="4"/>
  <c r="V27" i="4"/>
  <c r="V26" i="4"/>
  <c r="V25" i="4"/>
  <c r="V24" i="4"/>
  <c r="V23" i="4"/>
  <c r="V22" i="4"/>
  <c r="V16" i="4"/>
  <c r="V15" i="4"/>
  <c r="V14" i="4"/>
  <c r="V13" i="4"/>
  <c r="V12" i="4"/>
  <c r="V11" i="4"/>
  <c r="V10" i="4"/>
  <c r="V9" i="4"/>
  <c r="V8" i="4"/>
  <c r="V7" i="4"/>
  <c r="V6" i="4"/>
  <c r="E14" i="5"/>
  <c r="D14" i="5"/>
  <c r="E13" i="5"/>
  <c r="D13" i="5"/>
  <c r="E12" i="5"/>
  <c r="D12" i="5"/>
  <c r="E17" i="5"/>
  <c r="D17" i="5"/>
  <c r="D16" i="6"/>
  <c r="C16" i="6"/>
  <c r="T31" i="4"/>
  <c r="T30" i="4"/>
  <c r="T29" i="4"/>
  <c r="T28" i="4"/>
  <c r="T27" i="4"/>
  <c r="T26" i="4"/>
  <c r="T25" i="4"/>
  <c r="T24" i="4"/>
  <c r="T23" i="4"/>
  <c r="T22" i="4"/>
  <c r="T15" i="4"/>
  <c r="T16" i="4"/>
  <c r="T14" i="4"/>
  <c r="T13" i="4"/>
  <c r="T12" i="4"/>
  <c r="T11" i="4"/>
  <c r="T10" i="4"/>
  <c r="T9" i="4"/>
  <c r="T8" i="4"/>
  <c r="T7" i="4"/>
  <c r="T6" i="4"/>
  <c r="D15" i="6"/>
  <c r="C15" i="6"/>
  <c r="D16" i="5"/>
  <c r="E16" i="5"/>
  <c r="R31" i="4"/>
  <c r="R30" i="4"/>
  <c r="R29" i="4"/>
  <c r="R28" i="4"/>
  <c r="R27" i="4"/>
  <c r="R26" i="4"/>
  <c r="R25" i="4"/>
  <c r="R24" i="4"/>
  <c r="R23" i="4"/>
  <c r="R22" i="4"/>
  <c r="R16" i="4"/>
  <c r="R15" i="4"/>
  <c r="R14" i="4"/>
  <c r="R13" i="4"/>
  <c r="R12" i="4"/>
  <c r="R11" i="4"/>
  <c r="R10" i="4"/>
  <c r="R9" i="4"/>
  <c r="R8" i="4"/>
  <c r="R7" i="4"/>
  <c r="R6" i="4"/>
  <c r="D15" i="5"/>
  <c r="E15" i="5"/>
  <c r="P10" i="4"/>
  <c r="P16" i="4"/>
  <c r="P15" i="4"/>
  <c r="P14" i="4"/>
  <c r="P13" i="4"/>
  <c r="P12" i="4"/>
  <c r="P11" i="4"/>
  <c r="P9" i="4"/>
  <c r="P8" i="4"/>
  <c r="P7" i="4"/>
  <c r="P6" i="4"/>
  <c r="N31" i="4"/>
  <c r="N30" i="4"/>
  <c r="N29" i="4"/>
  <c r="N28" i="4"/>
  <c r="N27" i="4"/>
  <c r="N26" i="4"/>
  <c r="N25" i="4"/>
  <c r="N24" i="4"/>
  <c r="N23" i="4"/>
  <c r="N22" i="4"/>
  <c r="N16" i="4"/>
  <c r="N15" i="4"/>
  <c r="N14" i="4"/>
  <c r="N13" i="4"/>
  <c r="N12" i="4"/>
  <c r="N11" i="4"/>
  <c r="N10" i="4"/>
  <c r="N9" i="4"/>
  <c r="N8" i="4"/>
  <c r="N7" i="4"/>
  <c r="N6" i="4"/>
  <c r="D11" i="6"/>
  <c r="C11" i="6"/>
  <c r="D12" i="6"/>
  <c r="C12" i="6"/>
  <c r="H31" i="4"/>
  <c r="H30" i="4"/>
  <c r="H29" i="4"/>
  <c r="H28" i="4"/>
  <c r="H27" i="4"/>
  <c r="H26" i="4"/>
  <c r="H25" i="4"/>
  <c r="H24" i="4"/>
  <c r="H23" i="4"/>
  <c r="H22" i="4"/>
  <c r="J22" i="4"/>
  <c r="L22" i="4"/>
  <c r="J23" i="4"/>
  <c r="L23" i="4"/>
  <c r="J24" i="4"/>
  <c r="L24" i="4"/>
  <c r="J25" i="4"/>
  <c r="L25" i="4"/>
  <c r="J26" i="4"/>
  <c r="L26" i="4"/>
  <c r="J27" i="4"/>
  <c r="L27" i="4"/>
  <c r="J28" i="4"/>
  <c r="L28" i="4"/>
  <c r="J29" i="4"/>
  <c r="L29" i="4"/>
  <c r="J30" i="4"/>
  <c r="L30" i="4"/>
  <c r="J31" i="4"/>
  <c r="L31" i="4"/>
  <c r="L16" i="4"/>
  <c r="L15" i="4"/>
  <c r="L14" i="4"/>
  <c r="L13" i="4"/>
  <c r="L12" i="4"/>
  <c r="L11" i="4"/>
  <c r="L10" i="4"/>
  <c r="L9" i="4"/>
  <c r="L8" i="4"/>
  <c r="L7" i="4"/>
  <c r="L6" i="4"/>
  <c r="J16" i="4"/>
  <c r="J15" i="4"/>
  <c r="J14" i="4"/>
  <c r="J13" i="4"/>
  <c r="J12" i="4"/>
  <c r="J11" i="4"/>
  <c r="J10" i="4"/>
  <c r="J9" i="4"/>
  <c r="J8" i="4"/>
  <c r="J7" i="4"/>
  <c r="J6" i="4"/>
  <c r="H16" i="4"/>
  <c r="H15" i="4"/>
  <c r="H14" i="4"/>
  <c r="H13" i="4"/>
  <c r="H12" i="4"/>
  <c r="H11" i="4"/>
  <c r="H10" i="4"/>
  <c r="H9" i="4"/>
  <c r="H8" i="4"/>
  <c r="H7" i="4"/>
  <c r="H6" i="4"/>
  <c r="D10" i="6"/>
  <c r="C10" i="6"/>
  <c r="E11" i="5"/>
  <c r="D11" i="5"/>
  <c r="D9" i="6"/>
  <c r="C9" i="6"/>
  <c r="E10" i="5"/>
  <c r="D10" i="5"/>
  <c r="F31" i="4"/>
  <c r="F30" i="4"/>
  <c r="F29" i="4"/>
  <c r="F28" i="4"/>
  <c r="F27" i="4"/>
  <c r="F26" i="4"/>
  <c r="F25" i="4"/>
  <c r="F24" i="4"/>
  <c r="F23" i="4"/>
  <c r="F22" i="4"/>
  <c r="F16" i="4"/>
  <c r="F15" i="4"/>
  <c r="F14" i="4"/>
  <c r="F13" i="4"/>
  <c r="F12" i="4"/>
  <c r="F11" i="4"/>
  <c r="F10" i="4"/>
  <c r="F9" i="4"/>
  <c r="F8" i="4"/>
  <c r="F7" i="4"/>
  <c r="F6" i="4"/>
  <c r="B31" i="4"/>
  <c r="B30" i="4"/>
  <c r="B29" i="4"/>
  <c r="B28" i="4"/>
  <c r="B27" i="4"/>
  <c r="B26" i="4"/>
  <c r="B25" i="4"/>
  <c r="B24" i="4"/>
  <c r="B23" i="4"/>
  <c r="B22" i="4"/>
  <c r="D31" i="4"/>
  <c r="D45" i="4"/>
  <c r="D30" i="4"/>
  <c r="D44" i="4"/>
  <c r="D29" i="4"/>
  <c r="D43" i="4"/>
  <c r="D28" i="4"/>
  <c r="D42" i="4"/>
  <c r="D27" i="4"/>
  <c r="D26" i="4"/>
  <c r="D40" i="4"/>
  <c r="D25" i="4"/>
  <c r="D24" i="4"/>
  <c r="D38" i="4"/>
  <c r="D23" i="4"/>
  <c r="D37" i="4"/>
  <c r="D22" i="4"/>
  <c r="D36" i="4"/>
  <c r="D16" i="4"/>
  <c r="D15" i="4"/>
  <c r="D14" i="4"/>
  <c r="D13" i="4"/>
  <c r="D12" i="4"/>
  <c r="D11" i="4"/>
  <c r="D10" i="4"/>
  <c r="D9" i="4"/>
  <c r="D8" i="4"/>
  <c r="D7" i="4"/>
  <c r="D6" i="4"/>
  <c r="B16" i="4"/>
  <c r="B15" i="4"/>
  <c r="B14" i="4"/>
  <c r="B13" i="4"/>
  <c r="B12" i="4"/>
  <c r="B11" i="4"/>
  <c r="B10" i="4"/>
  <c r="B9" i="4"/>
  <c r="B8" i="4"/>
  <c r="B7" i="4"/>
  <c r="B6" i="4"/>
  <c r="C8" i="6"/>
  <c r="E8" i="6"/>
  <c r="E7" i="6"/>
  <c r="C7" i="6"/>
  <c r="E9" i="5"/>
  <c r="D9" i="5"/>
  <c r="D8" i="5"/>
  <c r="E8" i="5"/>
  <c r="X45" i="4"/>
  <c r="X44" i="4"/>
  <c r="X43" i="4"/>
  <c r="X42" i="4"/>
  <c r="X41" i="4"/>
  <c r="X40" i="4"/>
  <c r="X39" i="4"/>
  <c r="X38" i="4"/>
  <c r="X37" i="4"/>
  <c r="X36" i="4"/>
  <c r="V45" i="4"/>
  <c r="V44" i="4"/>
  <c r="V43" i="4"/>
  <c r="V42" i="4"/>
  <c r="V41" i="4"/>
  <c r="V40" i="4"/>
  <c r="V39" i="4"/>
  <c r="V38" i="4"/>
  <c r="V37" i="4"/>
  <c r="V36" i="4"/>
  <c r="T45" i="4"/>
  <c r="T44" i="4"/>
  <c r="T43" i="4"/>
  <c r="T42" i="4"/>
  <c r="T41" i="4"/>
  <c r="T40" i="4"/>
  <c r="T39" i="4"/>
  <c r="T38" i="4"/>
  <c r="T37" i="4"/>
  <c r="T36" i="4"/>
  <c r="R45" i="4"/>
  <c r="R44" i="4"/>
  <c r="R43" i="4"/>
  <c r="R42" i="4"/>
  <c r="R41" i="4"/>
  <c r="R40" i="4"/>
  <c r="R39" i="4"/>
  <c r="R38" i="4"/>
  <c r="R37" i="4"/>
  <c r="R36" i="4"/>
  <c r="P45" i="4"/>
  <c r="P44" i="4"/>
  <c r="P43" i="4"/>
  <c r="P42" i="4"/>
  <c r="P41" i="4"/>
  <c r="P40" i="4"/>
  <c r="P39" i="4"/>
  <c r="P38" i="4"/>
  <c r="P37" i="4"/>
  <c r="P36" i="4"/>
  <c r="N45" i="4"/>
  <c r="N44" i="4"/>
  <c r="N43" i="4"/>
  <c r="N42" i="4"/>
  <c r="N41" i="4"/>
  <c r="N40" i="4"/>
  <c r="N39" i="4"/>
  <c r="N38" i="4"/>
  <c r="N37" i="4"/>
  <c r="N36" i="4"/>
  <c r="L45" i="4"/>
  <c r="L44" i="4"/>
  <c r="L43" i="4"/>
  <c r="L42" i="4"/>
  <c r="L41" i="4"/>
  <c r="L40" i="4"/>
  <c r="L39" i="4"/>
  <c r="L38" i="4"/>
  <c r="L37" i="4"/>
  <c r="L36" i="4"/>
  <c r="J45" i="4"/>
  <c r="J44" i="4"/>
  <c r="J43" i="4"/>
  <c r="J42" i="4"/>
  <c r="J41" i="4"/>
  <c r="J40" i="4"/>
  <c r="J39" i="4"/>
  <c r="J38" i="4"/>
  <c r="J37" i="4"/>
  <c r="J36" i="4"/>
  <c r="H45" i="4"/>
  <c r="H44" i="4"/>
  <c r="H43" i="4"/>
  <c r="H42" i="4"/>
  <c r="H41" i="4"/>
  <c r="H40" i="4"/>
  <c r="H39" i="4"/>
  <c r="H38" i="4"/>
  <c r="H37" i="4"/>
  <c r="H36" i="4"/>
  <c r="F45" i="4"/>
  <c r="F44" i="4"/>
  <c r="F43" i="4"/>
  <c r="F42" i="4"/>
  <c r="F41" i="4"/>
  <c r="F40" i="4"/>
  <c r="F39" i="4"/>
  <c r="F38" i="4"/>
  <c r="F37" i="4"/>
  <c r="F36" i="4"/>
  <c r="D41" i="4"/>
  <c r="D39" i="4"/>
  <c r="D8" i="6"/>
  <c r="W23" i="7"/>
  <c r="U12" i="7"/>
  <c r="W24" i="7"/>
  <c r="X25" i="7"/>
  <c r="P11" i="7"/>
  <c r="G23" i="7"/>
  <c r="C19" i="5"/>
  <c r="M23" i="7"/>
  <c r="Q18" i="7"/>
  <c r="C18" i="5"/>
  <c r="C17" i="5"/>
  <c r="W18" i="7"/>
  <c r="AC10" i="7"/>
  <c r="AA12" i="7"/>
  <c r="AC18" i="7"/>
  <c r="AC24" i="7"/>
  <c r="B53" i="4"/>
  <c r="D53" i="4"/>
  <c r="F53" i="4"/>
  <c r="H53" i="4"/>
  <c r="J53" i="4"/>
  <c r="L53" i="4"/>
  <c r="N53" i="4"/>
  <c r="P53" i="4"/>
  <c r="R53" i="4"/>
  <c r="T53" i="4"/>
  <c r="V53" i="4"/>
  <c r="X53" i="4"/>
  <c r="X46" i="4"/>
  <c r="C19" i="2"/>
  <c r="X52" i="4"/>
  <c r="X54" i="4"/>
  <c r="V52" i="4"/>
  <c r="V54" i="4"/>
  <c r="V46" i="4"/>
  <c r="C18" i="2"/>
  <c r="AI10" i="7"/>
  <c r="T46" i="4"/>
  <c r="C17" i="2"/>
  <c r="T52" i="4"/>
  <c r="T54" i="4"/>
  <c r="B45" i="4"/>
  <c r="B44" i="4"/>
  <c r="B43" i="4"/>
  <c r="B42" i="4"/>
  <c r="B41" i="4"/>
  <c r="B40" i="4"/>
  <c r="B39" i="4"/>
  <c r="B38" i="4"/>
  <c r="B37" i="4"/>
  <c r="B36" i="4"/>
  <c r="D52" i="4"/>
  <c r="D54" i="4"/>
  <c r="B52" i="4"/>
  <c r="B46" i="4"/>
  <c r="C8" i="2"/>
  <c r="D46" i="4"/>
  <c r="C9" i="2"/>
  <c r="B54" i="4"/>
  <c r="D17" i="4"/>
  <c r="B17" i="4"/>
  <c r="C11" i="5"/>
  <c r="E17" i="4"/>
  <c r="D48" i="4"/>
  <c r="B9" i="2"/>
  <c r="C17" i="4"/>
  <c r="B48" i="4"/>
  <c r="B8" i="2"/>
  <c r="E7" i="4"/>
  <c r="E8" i="4"/>
  <c r="E11" i="4"/>
  <c r="E12" i="4"/>
  <c r="E13" i="4"/>
  <c r="E16" i="4"/>
  <c r="F9" i="5"/>
  <c r="G9" i="5"/>
  <c r="H9" i="5"/>
  <c r="C9" i="4"/>
  <c r="C11" i="4"/>
  <c r="C15" i="4"/>
  <c r="C16" i="4"/>
  <c r="F8" i="5"/>
  <c r="G8" i="5"/>
  <c r="H8" i="5"/>
  <c r="E9" i="4"/>
  <c r="E15" i="4"/>
  <c r="C7" i="4"/>
  <c r="C12" i="4"/>
  <c r="C8" i="4"/>
  <c r="C13" i="4"/>
  <c r="E6" i="4"/>
  <c r="E10" i="4"/>
  <c r="E14" i="4"/>
  <c r="C6" i="4"/>
  <c r="C10" i="4"/>
  <c r="C14" i="4"/>
  <c r="C16" i="5"/>
  <c r="D50" i="4"/>
  <c r="B50" i="4"/>
  <c r="X17" i="4"/>
  <c r="V17" i="4"/>
  <c r="T17" i="4"/>
  <c r="R17" i="4"/>
  <c r="S15" i="4"/>
  <c r="R52" i="4"/>
  <c r="R54" i="4"/>
  <c r="Y17" i="4"/>
  <c r="X48" i="4"/>
  <c r="B19" i="2"/>
  <c r="W17" i="4"/>
  <c r="V48" i="4"/>
  <c r="B18" i="2"/>
  <c r="U17" i="4"/>
  <c r="T48" i="4"/>
  <c r="B17" i="2"/>
  <c r="Y10" i="4"/>
  <c r="Y8" i="4"/>
  <c r="Y6" i="4"/>
  <c r="Y12" i="4"/>
  <c r="Y7" i="4"/>
  <c r="Y13" i="4"/>
  <c r="Y9" i="4"/>
  <c r="Y15" i="4"/>
  <c r="Y11" i="4"/>
  <c r="W13" i="4"/>
  <c r="W9" i="4"/>
  <c r="W6" i="4"/>
  <c r="W7" i="4"/>
  <c r="W11" i="4"/>
  <c r="W16" i="4"/>
  <c r="F18" i="5"/>
  <c r="G18" i="5"/>
  <c r="H18" i="5"/>
  <c r="W8" i="4"/>
  <c r="W12" i="4"/>
  <c r="W10" i="4"/>
  <c r="W15" i="4"/>
  <c r="U6" i="4"/>
  <c r="U14" i="4"/>
  <c r="U10" i="4"/>
  <c r="U11" i="4"/>
  <c r="U12" i="4"/>
  <c r="U16" i="4"/>
  <c r="F17" i="5"/>
  <c r="G17" i="5"/>
  <c r="H17" i="5"/>
  <c r="U7" i="4"/>
  <c r="U15" i="4"/>
  <c r="U8" i="4"/>
  <c r="U9" i="4"/>
  <c r="U13" i="4"/>
  <c r="S7" i="4"/>
  <c r="S11" i="4"/>
  <c r="S8" i="4"/>
  <c r="S12" i="4"/>
  <c r="S9" i="4"/>
  <c r="S13" i="4"/>
  <c r="S6" i="4"/>
  <c r="S10" i="4"/>
  <c r="S14" i="4"/>
  <c r="S17" i="4"/>
  <c r="R48" i="4"/>
  <c r="B16" i="2"/>
  <c r="R46" i="4"/>
  <c r="C16" i="2"/>
  <c r="Y14" i="4"/>
  <c r="Y16" i="4"/>
  <c r="F19" i="5"/>
  <c r="G19" i="5"/>
  <c r="H19" i="5"/>
  <c r="W14" i="4"/>
  <c r="S16" i="4"/>
  <c r="F16" i="5"/>
  <c r="G16" i="5"/>
  <c r="X50" i="4"/>
  <c r="I19" i="5"/>
  <c r="J19" i="5"/>
  <c r="D18" i="2"/>
  <c r="I18" i="5"/>
  <c r="J18" i="5"/>
  <c r="V50" i="4"/>
  <c r="D17" i="2"/>
  <c r="I17" i="5"/>
  <c r="J17" i="5"/>
  <c r="T50" i="4"/>
  <c r="R50" i="4"/>
  <c r="D16" i="2"/>
  <c r="I16" i="5"/>
  <c r="H16" i="5"/>
  <c r="D9" i="2"/>
  <c r="I9" i="5"/>
  <c r="J9" i="5"/>
  <c r="P17" i="4"/>
  <c r="P48" i="4"/>
  <c r="B15" i="2"/>
  <c r="F8" i="6"/>
  <c r="F9" i="6"/>
  <c r="F10" i="6"/>
  <c r="F11" i="6"/>
  <c r="F12" i="6"/>
  <c r="F13" i="6"/>
  <c r="F14" i="6"/>
  <c r="F15" i="6"/>
  <c r="F16" i="6"/>
  <c r="F17" i="6"/>
  <c r="F18" i="6"/>
  <c r="C19" i="6"/>
  <c r="C12" i="5"/>
  <c r="C15" i="5"/>
  <c r="P52" i="4"/>
  <c r="P54" i="4"/>
  <c r="Q16" i="4"/>
  <c r="F15" i="5"/>
  <c r="G15" i="5"/>
  <c r="H15" i="5"/>
  <c r="Q17" i="4"/>
  <c r="J16" i="5"/>
  <c r="D8" i="2"/>
  <c r="I8" i="5"/>
  <c r="J8" i="5"/>
  <c r="E20" i="5"/>
  <c r="C14" i="5"/>
  <c r="C13" i="5"/>
  <c r="C9" i="5"/>
  <c r="P46" i="4"/>
  <c r="C15" i="2"/>
  <c r="Q6" i="4"/>
  <c r="Q9" i="4"/>
  <c r="Q11" i="4"/>
  <c r="Q13" i="4"/>
  <c r="Q7" i="4"/>
  <c r="Q14" i="4"/>
  <c r="Q10" i="4"/>
  <c r="Q15" i="4"/>
  <c r="Q8" i="4"/>
  <c r="Q12" i="4"/>
  <c r="C8" i="5"/>
  <c r="C10" i="5"/>
  <c r="AI11" i="7"/>
  <c r="AI12" i="7"/>
  <c r="AI16" i="7"/>
  <c r="AG12" i="7"/>
  <c r="P50" i="4"/>
  <c r="D15" i="2"/>
  <c r="I15" i="5"/>
  <c r="J15" i="5"/>
  <c r="N17" i="4"/>
  <c r="O15" i="4"/>
  <c r="L17" i="4"/>
  <c r="M15" i="4"/>
  <c r="J17" i="4"/>
  <c r="K15" i="4"/>
  <c r="H17" i="4"/>
  <c r="H48" i="4"/>
  <c r="B11" i="2"/>
  <c r="F17" i="4"/>
  <c r="F48" i="4"/>
  <c r="B10" i="2"/>
  <c r="L52" i="4"/>
  <c r="L54" i="4"/>
  <c r="H52" i="4"/>
  <c r="H54" i="4"/>
  <c r="N52" i="4"/>
  <c r="N54" i="4"/>
  <c r="J52" i="4"/>
  <c r="J54" i="4"/>
  <c r="G9" i="4"/>
  <c r="F52" i="4"/>
  <c r="F46" i="4"/>
  <c r="C10" i="2"/>
  <c r="G14" i="4"/>
  <c r="AI18" i="7"/>
  <c r="AJ20" i="7"/>
  <c r="AI24" i="7"/>
  <c r="AJ25" i="7"/>
  <c r="AB11" i="7"/>
  <c r="L46" i="4"/>
  <c r="C13" i="2"/>
  <c r="I10" i="4"/>
  <c r="N46" i="4"/>
  <c r="C14" i="2"/>
  <c r="H46" i="4"/>
  <c r="C11" i="2"/>
  <c r="O7" i="4"/>
  <c r="J46" i="4"/>
  <c r="C12" i="2"/>
  <c r="I7" i="4"/>
  <c r="M12" i="4"/>
  <c r="O10" i="4"/>
  <c r="M7" i="4"/>
  <c r="O12" i="4"/>
  <c r="G17" i="4"/>
  <c r="I12" i="4"/>
  <c r="M10" i="4"/>
  <c r="N48" i="4"/>
  <c r="B14" i="2"/>
  <c r="K10" i="4"/>
  <c r="G16" i="4"/>
  <c r="F10" i="5"/>
  <c r="G10" i="5"/>
  <c r="G13" i="4"/>
  <c r="G8" i="4"/>
  <c r="I8" i="4"/>
  <c r="I13" i="4"/>
  <c r="I16" i="4"/>
  <c r="F11" i="5"/>
  <c r="G11" i="5"/>
  <c r="H11" i="5"/>
  <c r="K8" i="4"/>
  <c r="K13" i="4"/>
  <c r="K16" i="4"/>
  <c r="F12" i="5"/>
  <c r="G12" i="5"/>
  <c r="H12" i="5"/>
  <c r="M8" i="4"/>
  <c r="M13" i="4"/>
  <c r="M16" i="4"/>
  <c r="F13" i="5"/>
  <c r="G13" i="5"/>
  <c r="H13" i="5"/>
  <c r="O8" i="4"/>
  <c r="O13" i="4"/>
  <c r="O16" i="4"/>
  <c r="F14" i="5"/>
  <c r="G14" i="5"/>
  <c r="H14" i="5"/>
  <c r="L48" i="4"/>
  <c r="B13" i="2"/>
  <c r="K7" i="4"/>
  <c r="G10" i="4"/>
  <c r="G12" i="4"/>
  <c r="G7" i="4"/>
  <c r="I9" i="4"/>
  <c r="I14" i="4"/>
  <c r="I17" i="4"/>
  <c r="K9" i="4"/>
  <c r="K14" i="4"/>
  <c r="K17" i="4"/>
  <c r="M9" i="4"/>
  <c r="M14" i="4"/>
  <c r="M17" i="4"/>
  <c r="O9" i="4"/>
  <c r="O14" i="4"/>
  <c r="O17" i="4"/>
  <c r="J48" i="4"/>
  <c r="B12" i="2"/>
  <c r="K12" i="4"/>
  <c r="G6" i="4"/>
  <c r="G15" i="4"/>
  <c r="G11" i="4"/>
  <c r="I6" i="4"/>
  <c r="I11" i="4"/>
  <c r="I15" i="4"/>
  <c r="K6" i="4"/>
  <c r="K11" i="4"/>
  <c r="M6" i="4"/>
  <c r="M11" i="4"/>
  <c r="O6" i="4"/>
  <c r="O11" i="4"/>
  <c r="AC11" i="7"/>
  <c r="AC12" i="7"/>
  <c r="V10" i="7"/>
  <c r="W10" i="7"/>
  <c r="H10" i="5"/>
  <c r="H20" i="5"/>
  <c r="G20" i="5"/>
  <c r="F20" i="5"/>
  <c r="B20" i="2"/>
  <c r="D10" i="2"/>
  <c r="I10" i="5"/>
  <c r="F50" i="4"/>
  <c r="F54" i="4"/>
  <c r="AJ27" i="7"/>
  <c r="H50" i="4"/>
  <c r="D11" i="2"/>
  <c r="I11" i="5"/>
  <c r="J11" i="5"/>
  <c r="L50" i="4"/>
  <c r="D13" i="2"/>
  <c r="I13" i="5"/>
  <c r="J13" i="5"/>
  <c r="N50" i="4"/>
  <c r="D14" i="2"/>
  <c r="I14" i="5"/>
  <c r="J14" i="5"/>
  <c r="J50" i="4"/>
  <c r="D12" i="2"/>
  <c r="I12" i="5"/>
  <c r="J12" i="5"/>
  <c r="D19" i="2"/>
  <c r="J10" i="5"/>
  <c r="C20" i="2"/>
  <c r="D20" i="2"/>
  <c r="J20" i="5"/>
  <c r="Q11" i="7"/>
  <c r="I20" i="5"/>
  <c r="AC16" i="7"/>
  <c r="AD20" i="7"/>
  <c r="AC23" i="7"/>
  <c r="AD25" i="7"/>
  <c r="V11" i="7"/>
  <c r="W11" i="7"/>
  <c r="W12" i="7"/>
  <c r="W16" i="7"/>
  <c r="X20" i="7"/>
  <c r="X27" i="7"/>
  <c r="P10" i="7"/>
  <c r="Q10" i="7"/>
  <c r="Q12" i="7"/>
  <c r="AD27" i="7"/>
  <c r="C20" i="5"/>
  <c r="D20" i="5"/>
  <c r="Q16" i="7"/>
  <c r="R20" i="7"/>
  <c r="R27" i="7"/>
  <c r="E19" i="6"/>
  <c r="F19" i="6"/>
  <c r="D7" i="6"/>
  <c r="D19" i="6"/>
  <c r="F7" i="6"/>
</calcChain>
</file>

<file path=xl/sharedStrings.xml><?xml version="1.0" encoding="utf-8"?>
<sst xmlns="http://schemas.openxmlformats.org/spreadsheetml/2006/main" count="246" uniqueCount="84">
  <si>
    <t>Waste Management - Wenatchee</t>
  </si>
  <si>
    <t>SMaRT</t>
  </si>
  <si>
    <t>Tons</t>
  </si>
  <si>
    <t>Commodity</t>
  </si>
  <si>
    <t>Sold</t>
  </si>
  <si>
    <t>Revenue</t>
  </si>
  <si>
    <t>Rev./ton</t>
  </si>
  <si>
    <t>May</t>
  </si>
  <si>
    <t>Jun</t>
  </si>
  <si>
    <t>Jul</t>
  </si>
  <si>
    <t>Aug</t>
  </si>
  <si>
    <t>Sep</t>
  </si>
  <si>
    <t>Oct</t>
  </si>
  <si>
    <t>Nov</t>
  </si>
  <si>
    <t>Dec</t>
  </si>
  <si>
    <t>Total Customers</t>
  </si>
  <si>
    <t>Jan</t>
  </si>
  <si>
    <t>Feb</t>
  </si>
  <si>
    <t>Mar</t>
  </si>
  <si>
    <t>Apr</t>
  </si>
  <si>
    <t>OCC</t>
  </si>
  <si>
    <t>Glass</t>
  </si>
  <si>
    <t>PET</t>
  </si>
  <si>
    <t>Newspaper</t>
  </si>
  <si>
    <t>Mix Paper</t>
  </si>
  <si>
    <t>Aluminum</t>
  </si>
  <si>
    <t>HDPE Natl</t>
  </si>
  <si>
    <t>HDPE Col</t>
  </si>
  <si>
    <t>#3 - 7</t>
  </si>
  <si>
    <t>Tin Cans</t>
  </si>
  <si>
    <t>%</t>
  </si>
  <si>
    <t>Residue</t>
  </si>
  <si>
    <t>Commodities Sold</t>
  </si>
  <si>
    <t>Prices:</t>
  </si>
  <si>
    <t>Revenue:</t>
  </si>
  <si>
    <t>Revenue/ton</t>
  </si>
  <si>
    <t>SMaRT Processed Tons</t>
  </si>
  <si>
    <t>UTC</t>
  </si>
  <si>
    <t>Non-UTC</t>
  </si>
  <si>
    <t>Total</t>
  </si>
  <si>
    <t>Residual</t>
  </si>
  <si>
    <t>Tonnage</t>
  </si>
  <si>
    <t>Less:</t>
  </si>
  <si>
    <t>% Residual</t>
  </si>
  <si>
    <t>2019 - 2020 Rebate Calculation</t>
  </si>
  <si>
    <t>Residential</t>
  </si>
  <si>
    <t>Customers</t>
  </si>
  <si>
    <t>Credit</t>
  </si>
  <si>
    <t>Credits</t>
  </si>
  <si>
    <t xml:space="preserve">Actual Commodity Revenue </t>
  </si>
  <si>
    <t>Owe Customer (company)</t>
  </si>
  <si>
    <t>Adjust for Under/(Over) payment in 2018-2019</t>
  </si>
  <si>
    <t>Projected Value</t>
  </si>
  <si>
    <t>Residential Commodity Adjustment - as calculated</t>
  </si>
  <si>
    <t>WM Wenatchee</t>
  </si>
  <si>
    <t>Projected Revenue Nov. 2018- Oct. 2019</t>
  </si>
  <si>
    <t>Projected Rev. Nov 2019-Oct 2020 (based on most recent 6 mo. avg.)</t>
  </si>
  <si>
    <t>Nov - Dec projected value without adjustment factor</t>
  </si>
  <si>
    <t>Jan - Oct projected value without adjustment factor</t>
  </si>
  <si>
    <t>Average</t>
  </si>
  <si>
    <t>Rate/ton</t>
  </si>
  <si>
    <t>Total Customers (annualized)</t>
  </si>
  <si>
    <t>Initial</t>
  </si>
  <si>
    <t>Month</t>
  </si>
  <si>
    <t>Calculation of Recycling Revenue</t>
  </si>
  <si>
    <t>Adjust for Under/(Over) payment in 2019-2020</t>
  </si>
  <si>
    <t>Recycling Customers - per Enspire</t>
  </si>
  <si>
    <t xml:space="preserve">Projected Rev. Nov 2020-Oct 2021 </t>
  </si>
  <si>
    <t>2020 - 2021 Rebate Calculation</t>
  </si>
  <si>
    <t>Projected Revenue Nov. 2020- Oct. 2021</t>
  </si>
  <si>
    <t>2021 - 2022 Rebate Calculation</t>
  </si>
  <si>
    <t>Projected Revenue Nov. 2021- Oct. 2022</t>
  </si>
  <si>
    <t>Adjust for Under/(Over) payment in 2020-2021</t>
  </si>
  <si>
    <t xml:space="preserve">Projected Rev. Nov 2021-Oct 2022 </t>
  </si>
  <si>
    <t>Residential Single-Stream from WM</t>
  </si>
  <si>
    <t>2022 - 2023 Rebate Calculation</t>
  </si>
  <si>
    <t>Projected Revenue Nov. 2022- Oct. 2023</t>
  </si>
  <si>
    <t>2023 - 2024 Rebate Calculation</t>
  </si>
  <si>
    <t>Adjust for Under/(Over) payment in 2022-2023</t>
  </si>
  <si>
    <t>Nov., 2023</t>
  </si>
  <si>
    <t>Jan., 2024</t>
  </si>
  <si>
    <t>2024 - 2025 Rebate Calculation</t>
  </si>
  <si>
    <t>Adjust for Under/(Over) payment in 2024-2025</t>
  </si>
  <si>
    <t>Projected Revenue Nov. 2024- Oct.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</si>
</sst>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8" formatCode="&quot;$&quot;#,##0.00_);[Red]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0_)"/>
    <numFmt numFmtId="166" formatCode="_(* #,##0_);_(* \(#,##0\);_(* &quot;-&quot;??_);_(@_)"/>
    <numFmt numFmtId="167" formatCode="0.0%"/>
  </numFmts>
  <fonts count="7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name val="Arial"/>
      <family val="2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indexed="8"/>
      <name val="Arial"/>
      <family val="2"/>
    </font>
    <font>
      <b/>
      <u/>
      <sz val="11"/>
      <color theme="1"/>
      <name val="Calibri"/>
      <family val="2"/>
      <scheme val="minor"/>
    </font>
    <font>
      <u val="singleAccounting"/>
      <sz val="11"/>
      <color theme="1"/>
      <name val="Calibri"/>
      <family val="2"/>
      <scheme val="minor"/>
    </font>
    <font>
      <b/>
      <u val="doubleAccounting"/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sz val="9"/>
      <color theme="1"/>
      <name val="Arial"/>
      <family val="2"/>
    </font>
    <font>
      <b/>
      <u val="double"/>
      <sz val="9"/>
      <name val="Arial"/>
      <family val="2"/>
    </font>
    <font>
      <u val="singleAccounting"/>
      <sz val="9"/>
      <name val="Arial"/>
      <family val="2"/>
    </font>
    <font>
      <sz val="11"/>
      <name val="Calibri"/>
      <family val="2"/>
      <scheme val="minor"/>
    </font>
    <font>
      <sz val="12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b/>
      <sz val="12"/>
      <color indexed="10"/>
      <name val="Arial"/>
      <family val="2"/>
    </font>
    <font>
      <i/>
      <u/>
      <sz val="12"/>
      <name val="Arial"/>
      <family val="2"/>
    </font>
    <font>
      <b/>
      <u/>
      <sz val="12"/>
      <name val="Arial"/>
      <family val="2"/>
    </font>
    <font>
      <sz val="10"/>
      <name val="Arial"/>
      <family val="2"/>
    </font>
    <font>
      <b/>
      <sz val="12"/>
      <color indexed="12"/>
      <name val="Arial"/>
      <family val="2"/>
    </font>
    <font>
      <u val="singleAccounting"/>
      <sz val="12"/>
      <name val="Arial"/>
      <family val="2"/>
    </font>
    <font>
      <u val="doubleAccounting"/>
      <sz val="11"/>
      <color theme="1"/>
      <name val="Calibri"/>
      <family val="2"/>
      <scheme val="minor"/>
    </font>
    <font>
      <u val="singleAccounting"/>
      <sz val="11"/>
      <name val="Calibri"/>
      <family val="2"/>
      <scheme val="minor"/>
    </font>
    <font>
      <b/>
      <sz val="12"/>
      <color theme="1"/>
      <name val="Arial"/>
      <family val="2"/>
    </font>
    <font>
      <b/>
      <sz val="16"/>
      <color theme="1"/>
      <name val="Calibri"/>
      <family val="2"/>
      <scheme val="minor"/>
    </font>
    <font>
      <b/>
      <sz val="16"/>
      <color theme="1"/>
      <name val="Arial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8"/>
      <name val="Arial"/>
      <family val="2"/>
    </font>
    <font>
      <sz val="11"/>
      <color indexed="8"/>
      <name val="Calibri"/>
      <family val="2"/>
    </font>
    <font>
      <sz val="8"/>
      <color indexed="56"/>
      <name val="Arial"/>
      <family val="2"/>
    </font>
    <font>
      <sz val="10"/>
      <name val="MS Sans Serif"/>
      <family val="2"/>
    </font>
    <font>
      <b/>
      <sz val="10"/>
      <name val="MS Sans Serif"/>
      <family val="2"/>
    </font>
    <font>
      <sz val="10"/>
      <color theme="1"/>
      <name val="Times New Roman"/>
      <family val="2"/>
    </font>
    <font>
      <b/>
      <sz val="15"/>
      <color theme="3"/>
      <name val="Times New Roman"/>
      <family val="2"/>
    </font>
    <font>
      <b/>
      <sz val="13"/>
      <color theme="3"/>
      <name val="Times New Roman"/>
      <family val="2"/>
    </font>
    <font>
      <b/>
      <sz val="11"/>
      <color theme="3"/>
      <name val="Times New Roman"/>
      <family val="2"/>
    </font>
    <font>
      <sz val="10"/>
      <color rgb="FF006100"/>
      <name val="Times New Roman"/>
      <family val="2"/>
    </font>
    <font>
      <sz val="10"/>
      <color rgb="FF9C0006"/>
      <name val="Times New Roman"/>
      <family val="2"/>
    </font>
    <font>
      <sz val="10"/>
      <color rgb="FF9C6500"/>
      <name val="Times New Roman"/>
      <family val="2"/>
    </font>
    <font>
      <sz val="10"/>
      <color rgb="FF3F3F76"/>
      <name val="Times New Roman"/>
      <family val="2"/>
    </font>
    <font>
      <b/>
      <sz val="10"/>
      <color rgb="FF3F3F3F"/>
      <name val="Times New Roman"/>
      <family val="2"/>
    </font>
    <font>
      <b/>
      <sz val="10"/>
      <color rgb="FFFA7D00"/>
      <name val="Times New Roman"/>
      <family val="2"/>
    </font>
    <font>
      <sz val="10"/>
      <color rgb="FFFA7D00"/>
      <name val="Times New Roman"/>
      <family val="2"/>
    </font>
    <font>
      <b/>
      <sz val="10"/>
      <color theme="0"/>
      <name val="Times New Roman"/>
      <family val="2"/>
    </font>
    <font>
      <sz val="10"/>
      <color rgb="FFFF0000"/>
      <name val="Times New Roman"/>
      <family val="2"/>
    </font>
    <font>
      <i/>
      <sz val="10"/>
      <color rgb="FF7F7F7F"/>
      <name val="Times New Roman"/>
      <family val="2"/>
    </font>
    <font>
      <b/>
      <sz val="10"/>
      <color theme="1"/>
      <name val="Times New Roman"/>
      <family val="2"/>
    </font>
    <font>
      <sz val="10"/>
      <color theme="0"/>
      <name val="Times New Roman"/>
      <family val="2"/>
    </font>
    <font>
      <b/>
      <i/>
      <u/>
      <sz val="12"/>
      <color theme="1"/>
      <name val="Calibri"/>
      <family val="2"/>
      <scheme val="minor"/>
    </font>
    <font>
      <u/>
      <sz val="11"/>
      <name val="Calibri"/>
      <family val="2"/>
      <scheme val="minor"/>
    </font>
    <font>
      <sz val="9"/>
      <color rgb="FFFF0000"/>
      <name val="Arial"/>
      <family val="2"/>
    </font>
    <font>
      <u val="singleAccounting"/>
      <sz val="9"/>
      <color rgb="FFFF0000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mediumGray">
        <fgColor indexed="22"/>
      </patternFill>
    </fill>
  </fills>
  <borders count="2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32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23" fillId="0" borderId="0" applyFont="0" applyFill="0" applyBorder="0" applyAlignment="0" applyProtection="0"/>
    <xf numFmtId="0" fontId="32" fillId="0" borderId="14" applyNumberFormat="0" applyFill="0" applyAlignment="0" applyProtection="0"/>
    <xf numFmtId="0" fontId="33" fillId="0" borderId="15" applyNumberFormat="0" applyFill="0" applyAlignment="0" applyProtection="0"/>
    <xf numFmtId="0" fontId="34" fillId="0" borderId="16" applyNumberFormat="0" applyFill="0" applyAlignment="0" applyProtection="0"/>
    <xf numFmtId="0" fontId="34" fillId="0" borderId="0" applyNumberFormat="0" applyFill="0" applyBorder="0" applyAlignment="0" applyProtection="0"/>
    <xf numFmtId="0" fontId="35" fillId="5" borderId="0" applyNumberFormat="0" applyBorder="0" applyAlignment="0" applyProtection="0"/>
    <xf numFmtId="0" fontId="36" fillId="6" borderId="0" applyNumberFormat="0" applyBorder="0" applyAlignment="0" applyProtection="0"/>
    <xf numFmtId="0" fontId="38" fillId="8" borderId="17" applyNumberFormat="0" applyAlignment="0" applyProtection="0"/>
    <xf numFmtId="0" fontId="39" fillId="9" borderId="18" applyNumberFormat="0" applyAlignment="0" applyProtection="0"/>
    <xf numFmtId="0" fontId="40" fillId="9" borderId="17" applyNumberFormat="0" applyAlignment="0" applyProtection="0"/>
    <xf numFmtId="0" fontId="41" fillId="0" borderId="19" applyNumberFormat="0" applyFill="0" applyAlignment="0" applyProtection="0"/>
    <xf numFmtId="0" fontId="42" fillId="10" borderId="20" applyNumberFormat="0" applyAlignment="0" applyProtection="0"/>
    <xf numFmtId="0" fontId="43" fillId="0" borderId="0" applyNumberFormat="0" applyFill="0" applyBorder="0" applyAlignment="0" applyProtection="0"/>
    <xf numFmtId="0" fontId="1" fillId="11" borderId="21" applyNumberFormat="0" applyFont="0" applyAlignment="0" applyProtection="0"/>
    <xf numFmtId="0" fontId="44" fillId="0" borderId="0" applyNumberFormat="0" applyFill="0" applyBorder="0" applyAlignment="0" applyProtection="0"/>
    <xf numFmtId="0" fontId="2" fillId="0" borderId="22" applyNumberFormat="0" applyFill="0" applyAlignment="0" applyProtection="0"/>
    <xf numFmtId="0" fontId="45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45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45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45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45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45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46" fillId="0" borderId="0" applyNumberFormat="0" applyFill="0" applyBorder="0" applyAlignment="0" applyProtection="0"/>
    <xf numFmtId="0" fontId="47" fillId="7" borderId="0" applyNumberFormat="0" applyBorder="0" applyAlignment="0" applyProtection="0"/>
    <xf numFmtId="0" fontId="45" fillId="15" borderId="0" applyNumberFormat="0" applyBorder="0" applyAlignment="0" applyProtection="0"/>
    <xf numFmtId="0" fontId="45" fillId="19" borderId="0" applyNumberFormat="0" applyBorder="0" applyAlignment="0" applyProtection="0"/>
    <xf numFmtId="0" fontId="45" fillId="23" borderId="0" applyNumberFormat="0" applyBorder="0" applyAlignment="0" applyProtection="0"/>
    <xf numFmtId="0" fontId="45" fillId="27" borderId="0" applyNumberFormat="0" applyBorder="0" applyAlignment="0" applyProtection="0"/>
    <xf numFmtId="0" fontId="45" fillId="31" borderId="0" applyNumberFormat="0" applyBorder="0" applyAlignment="0" applyProtection="0"/>
    <xf numFmtId="0" fontId="45" fillId="35" borderId="0" applyNumberFormat="0" applyBorder="0" applyAlignment="0" applyProtection="0"/>
    <xf numFmtId="0" fontId="23" fillId="0" borderId="0"/>
    <xf numFmtId="9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3" fillId="0" borderId="0"/>
    <xf numFmtId="0" fontId="23" fillId="0" borderId="0"/>
    <xf numFmtId="43" fontId="23" fillId="0" borderId="0" applyFont="0" applyFill="0" applyBorder="0" applyAlignment="0" applyProtection="0"/>
    <xf numFmtId="0" fontId="23" fillId="0" borderId="0"/>
    <xf numFmtId="9" fontId="23" fillId="0" borderId="0" applyFont="0" applyFill="0" applyBorder="0" applyAlignment="0" applyProtection="0"/>
    <xf numFmtId="0" fontId="23" fillId="0" borderId="0"/>
    <xf numFmtId="9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23" fillId="0" borderId="0" applyFont="0" applyFill="0" applyBorder="0" applyAlignment="0" applyProtection="0"/>
    <xf numFmtId="0" fontId="48" fillId="37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23" fillId="0" borderId="0"/>
    <xf numFmtId="9" fontId="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38" fontId="50" fillId="0" borderId="0" applyNumberFormat="0" applyFont="0" applyFill="0" applyBorder="0">
      <alignment horizontal="left" indent="4"/>
      <protection locked="0"/>
    </xf>
    <xf numFmtId="0" fontId="51" fillId="0" borderId="0" applyNumberFormat="0" applyFont="0" applyFill="0" applyBorder="0" applyAlignment="0" applyProtection="0">
      <alignment horizontal="left"/>
    </xf>
    <xf numFmtId="15" fontId="51" fillId="0" borderId="0" applyFont="0" applyFill="0" applyBorder="0" applyAlignment="0" applyProtection="0"/>
    <xf numFmtId="4" fontId="51" fillId="0" borderId="0" applyFont="0" applyFill="0" applyBorder="0" applyAlignment="0" applyProtection="0"/>
    <xf numFmtId="0" fontId="52" fillId="0" borderId="12">
      <alignment horizontal="center"/>
    </xf>
    <xf numFmtId="3" fontId="51" fillId="0" borderId="0" applyFont="0" applyFill="0" applyBorder="0" applyAlignment="0" applyProtection="0"/>
    <xf numFmtId="0" fontId="51" fillId="38" borderId="0" applyNumberFormat="0" applyFont="0" applyBorder="0" applyAlignment="0" applyProtection="0"/>
    <xf numFmtId="166" fontId="17" fillId="36" borderId="0" applyFont="0" applyFill="0" applyBorder="0" applyAlignment="0" applyProtection="0">
      <alignment wrapText="1"/>
    </xf>
    <xf numFmtId="0" fontId="53" fillId="0" borderId="0"/>
    <xf numFmtId="43" fontId="53" fillId="0" borderId="0" applyFont="0" applyFill="0" applyBorder="0" applyAlignment="0" applyProtection="0"/>
    <xf numFmtId="0" fontId="54" fillId="0" borderId="14" applyNumberFormat="0" applyFill="0" applyAlignment="0" applyProtection="0"/>
    <xf numFmtId="0" fontId="55" fillId="0" borderId="15" applyNumberFormat="0" applyFill="0" applyAlignment="0" applyProtection="0"/>
    <xf numFmtId="0" fontId="56" fillId="0" borderId="16" applyNumberFormat="0" applyFill="0" applyAlignment="0" applyProtection="0"/>
    <xf numFmtId="0" fontId="56" fillId="0" borderId="0" applyNumberFormat="0" applyFill="0" applyBorder="0" applyAlignment="0" applyProtection="0"/>
    <xf numFmtId="0" fontId="57" fillId="5" borderId="0" applyNumberFormat="0" applyBorder="0" applyAlignment="0" applyProtection="0"/>
    <xf numFmtId="0" fontId="58" fillId="6" borderId="0" applyNumberFormat="0" applyBorder="0" applyAlignment="0" applyProtection="0"/>
    <xf numFmtId="0" fontId="59" fillId="7" borderId="0" applyNumberFormat="0" applyBorder="0" applyAlignment="0" applyProtection="0"/>
    <xf numFmtId="0" fontId="60" fillId="8" borderId="17" applyNumberFormat="0" applyAlignment="0" applyProtection="0"/>
    <xf numFmtId="0" fontId="61" fillId="9" borderId="18" applyNumberFormat="0" applyAlignment="0" applyProtection="0"/>
    <xf numFmtId="0" fontId="62" fillId="9" borderId="17" applyNumberFormat="0" applyAlignment="0" applyProtection="0"/>
    <xf numFmtId="0" fontId="63" fillId="0" borderId="19" applyNumberFormat="0" applyFill="0" applyAlignment="0" applyProtection="0"/>
    <xf numFmtId="0" fontId="64" fillId="10" borderId="20" applyNumberFormat="0" applyAlignment="0" applyProtection="0"/>
    <xf numFmtId="0" fontId="65" fillId="0" borderId="0" applyNumberFormat="0" applyFill="0" applyBorder="0" applyAlignment="0" applyProtection="0"/>
    <xf numFmtId="0" fontId="53" fillId="11" borderId="21" applyNumberFormat="0" applyFont="0" applyAlignment="0" applyProtection="0"/>
    <xf numFmtId="0" fontId="66" fillId="0" borderId="0" applyNumberFormat="0" applyFill="0" applyBorder="0" applyAlignment="0" applyProtection="0"/>
    <xf numFmtId="0" fontId="67" fillId="0" borderId="22" applyNumberFormat="0" applyFill="0" applyAlignment="0" applyProtection="0"/>
    <xf numFmtId="0" fontId="68" fillId="12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68" fillId="15" borderId="0" applyNumberFormat="0" applyBorder="0" applyAlignment="0" applyProtection="0"/>
    <xf numFmtId="0" fontId="68" fillId="16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68" fillId="19" borderId="0" applyNumberFormat="0" applyBorder="0" applyAlignment="0" applyProtection="0"/>
    <xf numFmtId="0" fontId="68" fillId="20" borderId="0" applyNumberFormat="0" applyBorder="0" applyAlignment="0" applyProtection="0"/>
    <xf numFmtId="0" fontId="53" fillId="21" borderId="0" applyNumberFormat="0" applyBorder="0" applyAlignment="0" applyProtection="0"/>
    <xf numFmtId="0" fontId="53" fillId="22" borderId="0" applyNumberFormat="0" applyBorder="0" applyAlignment="0" applyProtection="0"/>
    <xf numFmtId="0" fontId="68" fillId="23" borderId="0" applyNumberFormat="0" applyBorder="0" applyAlignment="0" applyProtection="0"/>
    <xf numFmtId="0" fontId="68" fillId="24" borderId="0" applyNumberFormat="0" applyBorder="0" applyAlignment="0" applyProtection="0"/>
    <xf numFmtId="0" fontId="53" fillId="25" borderId="0" applyNumberFormat="0" applyBorder="0" applyAlignment="0" applyProtection="0"/>
    <xf numFmtId="0" fontId="53" fillId="26" borderId="0" applyNumberFormat="0" applyBorder="0" applyAlignment="0" applyProtection="0"/>
    <xf numFmtId="0" fontId="68" fillId="27" borderId="0" applyNumberFormat="0" applyBorder="0" applyAlignment="0" applyProtection="0"/>
    <xf numFmtId="0" fontId="68" fillId="28" borderId="0" applyNumberFormat="0" applyBorder="0" applyAlignment="0" applyProtection="0"/>
    <xf numFmtId="0" fontId="53" fillId="29" borderId="0" applyNumberFormat="0" applyBorder="0" applyAlignment="0" applyProtection="0"/>
    <xf numFmtId="0" fontId="53" fillId="30" borderId="0" applyNumberFormat="0" applyBorder="0" applyAlignment="0" applyProtection="0"/>
    <xf numFmtId="0" fontId="68" fillId="31" borderId="0" applyNumberFormat="0" applyBorder="0" applyAlignment="0" applyProtection="0"/>
    <xf numFmtId="0" fontId="68" fillId="32" borderId="0" applyNumberFormat="0" applyBorder="0" applyAlignment="0" applyProtection="0"/>
    <xf numFmtId="0" fontId="53" fillId="33" borderId="0" applyNumberFormat="0" applyBorder="0" applyAlignment="0" applyProtection="0"/>
    <xf numFmtId="0" fontId="53" fillId="34" borderId="0" applyNumberFormat="0" applyBorder="0" applyAlignment="0" applyProtection="0"/>
    <xf numFmtId="0" fontId="68" fillId="35" borderId="0" applyNumberFormat="0" applyBorder="0" applyAlignment="0" applyProtection="0"/>
    <xf numFmtId="0" fontId="31" fillId="0" borderId="0" applyNumberFormat="0" applyFill="0" applyBorder="0" applyAlignment="0" applyProtection="0"/>
    <xf numFmtId="0" fontId="37" fillId="7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</cellStyleXfs>
  <cellXfs count="118">
    <xf numFmtId="0" fontId="0" fillId="0" borderId="0" xfId="0"/>
    <xf numFmtId="0" fontId="3" fillId="0" borderId="1" xfId="0" quotePrefix="1" applyFont="1" applyFill="1" applyBorder="1" applyAlignment="1">
      <alignment horizontal="left"/>
    </xf>
    <xf numFmtId="43" fontId="0" fillId="0" borderId="0" xfId="1" applyFont="1"/>
    <xf numFmtId="164" fontId="0" fillId="0" borderId="0" xfId="2" applyNumberFormat="1" applyFont="1"/>
    <xf numFmtId="0" fontId="4" fillId="0" borderId="0" xfId="0" applyFont="1"/>
    <xf numFmtId="0" fontId="5" fillId="0" borderId="0" xfId="0" applyFont="1"/>
    <xf numFmtId="165" fontId="6" fillId="2" borderId="0" xfId="0" applyNumberFormat="1" applyFont="1" applyFill="1" applyBorder="1" applyProtection="1"/>
    <xf numFmtId="43" fontId="2" fillId="0" borderId="0" xfId="1" applyFont="1" applyAlignment="1">
      <alignment horizontal="center"/>
    </xf>
    <xf numFmtId="164" fontId="2" fillId="0" borderId="0" xfId="2" applyNumberFormat="1" applyFont="1"/>
    <xf numFmtId="43" fontId="7" fillId="0" borderId="0" xfId="1" applyFont="1" applyAlignment="1">
      <alignment horizontal="center"/>
    </xf>
    <xf numFmtId="164" fontId="7" fillId="0" borderId="0" xfId="2" applyNumberFormat="1" applyFont="1" applyAlignment="1">
      <alignment horizontal="center"/>
    </xf>
    <xf numFmtId="44" fontId="7" fillId="0" borderId="0" xfId="2" applyFont="1" applyAlignment="1">
      <alignment horizontal="center"/>
    </xf>
    <xf numFmtId="0" fontId="7" fillId="0" borderId="0" xfId="0" applyFont="1" applyAlignment="1">
      <alignment horizontal="center"/>
    </xf>
    <xf numFmtId="0" fontId="2" fillId="0" borderId="0" xfId="0" applyFont="1"/>
    <xf numFmtId="44" fontId="0" fillId="0" borderId="0" xfId="2" applyFont="1" applyFill="1"/>
    <xf numFmtId="0" fontId="0" fillId="0" borderId="0" xfId="0" applyFill="1"/>
    <xf numFmtId="0" fontId="11" fillId="0" borderId="0" xfId="0" applyFont="1" applyBorder="1"/>
    <xf numFmtId="0" fontId="10" fillId="0" borderId="0" xfId="0" applyFont="1" applyBorder="1"/>
    <xf numFmtId="10" fontId="12" fillId="0" borderId="0" xfId="3" applyNumberFormat="1" applyFont="1" applyBorder="1" applyAlignment="1">
      <alignment horizontal="right"/>
    </xf>
    <xf numFmtId="0" fontId="13" fillId="0" borderId="0" xfId="0" applyFont="1" applyFill="1"/>
    <xf numFmtId="0" fontId="11" fillId="0" borderId="0" xfId="0" applyFont="1"/>
    <xf numFmtId="0" fontId="10" fillId="0" borderId="2" xfId="0" applyFont="1" applyBorder="1" applyAlignment="1">
      <alignment horizontal="center"/>
    </xf>
    <xf numFmtId="43" fontId="12" fillId="0" borderId="0" xfId="1" applyFont="1" applyBorder="1" applyAlignment="1" applyProtection="1">
      <alignment horizontal="right"/>
      <protection locked="0"/>
    </xf>
    <xf numFmtId="0" fontId="13" fillId="0" borderId="0" xfId="0" applyFont="1" applyBorder="1"/>
    <xf numFmtId="10" fontId="14" fillId="0" borderId="0" xfId="3" applyNumberFormat="1" applyFont="1" applyBorder="1" applyAlignment="1">
      <alignment horizontal="right"/>
    </xf>
    <xf numFmtId="43" fontId="13" fillId="0" borderId="3" xfId="1" applyFont="1" applyBorder="1"/>
    <xf numFmtId="10" fontId="15" fillId="0" borderId="0" xfId="3" applyNumberFormat="1" applyFont="1" applyBorder="1" applyAlignment="1">
      <alignment horizontal="right"/>
    </xf>
    <xf numFmtId="43" fontId="9" fillId="0" borderId="0" xfId="0" applyNumberFormat="1" applyFont="1"/>
    <xf numFmtId="0" fontId="13" fillId="0" borderId="0" xfId="0" applyFont="1" applyFill="1" applyBorder="1"/>
    <xf numFmtId="0" fontId="7" fillId="0" borderId="0" xfId="0" applyFont="1"/>
    <xf numFmtId="164" fontId="0" fillId="0" borderId="0" xfId="0" applyNumberFormat="1"/>
    <xf numFmtId="164" fontId="8" fillId="0" borderId="0" xfId="0" applyNumberFormat="1" applyFont="1"/>
    <xf numFmtId="164" fontId="9" fillId="0" borderId="0" xfId="0" applyNumberFormat="1" applyFont="1"/>
    <xf numFmtId="44" fontId="9" fillId="0" borderId="0" xfId="2" applyFont="1"/>
    <xf numFmtId="167" fontId="0" fillId="0" borderId="0" xfId="3" applyNumberFormat="1" applyFont="1"/>
    <xf numFmtId="166" fontId="0" fillId="0" borderId="0" xfId="1" applyNumberFormat="1" applyFont="1"/>
    <xf numFmtId="44" fontId="0" fillId="0" borderId="0" xfId="2" applyFont="1"/>
    <xf numFmtId="43" fontId="0" fillId="0" borderId="0" xfId="0" applyNumberFormat="1"/>
    <xf numFmtId="44" fontId="7" fillId="0" borderId="0" xfId="2" applyFont="1"/>
    <xf numFmtId="10" fontId="0" fillId="0" borderId="0" xfId="1" applyNumberFormat="1" applyFont="1"/>
    <xf numFmtId="0" fontId="3" fillId="4" borderId="4" xfId="0" applyFont="1" applyFill="1" applyBorder="1"/>
    <xf numFmtId="0" fontId="17" fillId="4" borderId="5" xfId="0" applyFont="1" applyFill="1" applyBorder="1"/>
    <xf numFmtId="0" fontId="18" fillId="4" borderId="5" xfId="0" applyFont="1" applyFill="1" applyBorder="1"/>
    <xf numFmtId="0" fontId="18" fillId="4" borderId="6" xfId="0" applyFont="1" applyFill="1" applyBorder="1"/>
    <xf numFmtId="0" fontId="19" fillId="4" borderId="7" xfId="0" applyFont="1" applyFill="1" applyBorder="1"/>
    <xf numFmtId="0" fontId="19" fillId="4" borderId="0" xfId="0" applyFont="1" applyFill="1" applyBorder="1"/>
    <xf numFmtId="0" fontId="20" fillId="4" borderId="0" xfId="0" applyFont="1" applyFill="1" applyBorder="1"/>
    <xf numFmtId="0" fontId="18" fillId="4" borderId="0" xfId="0" applyFont="1" applyFill="1" applyBorder="1"/>
    <xf numFmtId="0" fontId="18" fillId="4" borderId="8" xfId="0" applyFont="1" applyFill="1" applyBorder="1"/>
    <xf numFmtId="15" fontId="19" fillId="4" borderId="7" xfId="0" applyNumberFormat="1" applyFont="1" applyFill="1" applyBorder="1"/>
    <xf numFmtId="15" fontId="19" fillId="4" borderId="0" xfId="0" applyNumberFormat="1" applyFont="1" applyFill="1" applyBorder="1"/>
    <xf numFmtId="0" fontId="18" fillId="4" borderId="7" xfId="0" applyFont="1" applyFill="1" applyBorder="1"/>
    <xf numFmtId="0" fontId="19" fillId="4" borderId="0" xfId="0" applyFont="1" applyFill="1" applyBorder="1" applyAlignment="1">
      <alignment horizontal="center"/>
    </xf>
    <xf numFmtId="0" fontId="22" fillId="4" borderId="0" xfId="0" applyFont="1" applyFill="1" applyBorder="1" applyAlignment="1">
      <alignment horizontal="center"/>
    </xf>
    <xf numFmtId="0" fontId="19" fillId="4" borderId="9" xfId="0" applyFont="1" applyFill="1" applyBorder="1"/>
    <xf numFmtId="0" fontId="18" fillId="4" borderId="0" xfId="0" applyFont="1" applyFill="1" applyBorder="1" applyAlignment="1">
      <alignment horizontal="center"/>
    </xf>
    <xf numFmtId="41" fontId="18" fillId="4" borderId="0" xfId="0" applyNumberFormat="1" applyFont="1" applyFill="1" applyBorder="1"/>
    <xf numFmtId="44" fontId="24" fillId="4" borderId="0" xfId="4" applyFont="1" applyFill="1" applyBorder="1"/>
    <xf numFmtId="0" fontId="17" fillId="4" borderId="7" xfId="0" applyFont="1" applyFill="1" applyBorder="1"/>
    <xf numFmtId="0" fontId="17" fillId="4" borderId="0" xfId="0" applyFont="1" applyFill="1" applyBorder="1"/>
    <xf numFmtId="41" fontId="25" fillId="4" borderId="0" xfId="0" applyNumberFormat="1" applyFont="1" applyFill="1" applyBorder="1"/>
    <xf numFmtId="44" fontId="17" fillId="4" borderId="8" xfId="4" applyNumberFormat="1" applyFont="1" applyFill="1" applyBorder="1"/>
    <xf numFmtId="44" fontId="17" fillId="4" borderId="8" xfId="4" applyFont="1" applyFill="1" applyBorder="1"/>
    <xf numFmtId="164" fontId="17" fillId="4" borderId="0" xfId="4" applyNumberFormat="1" applyFont="1" applyFill="1" applyBorder="1"/>
    <xf numFmtId="44" fontId="25" fillId="4" borderId="8" xfId="4" applyNumberFormat="1" applyFont="1" applyFill="1" applyBorder="1"/>
    <xf numFmtId="44" fontId="19" fillId="4" borderId="10" xfId="4" applyNumberFormat="1" applyFont="1" applyFill="1" applyBorder="1"/>
    <xf numFmtId="44" fontId="19" fillId="4" borderId="8" xfId="4" applyNumberFormat="1" applyFont="1" applyFill="1" applyBorder="1"/>
    <xf numFmtId="0" fontId="0" fillId="4" borderId="11" xfId="0" applyFill="1" applyBorder="1"/>
    <xf numFmtId="0" fontId="0" fillId="4" borderId="12" xfId="0" applyFill="1" applyBorder="1"/>
    <xf numFmtId="0" fontId="0" fillId="4" borderId="13" xfId="0" applyFill="1" applyBorder="1"/>
    <xf numFmtId="166" fontId="8" fillId="0" borderId="0" xfId="1" applyNumberFormat="1" applyFont="1"/>
    <xf numFmtId="167" fontId="8" fillId="0" borderId="0" xfId="3" applyNumberFormat="1" applyFont="1"/>
    <xf numFmtId="166" fontId="9" fillId="0" borderId="0" xfId="1" applyNumberFormat="1" applyFont="1"/>
    <xf numFmtId="167" fontId="9" fillId="0" borderId="0" xfId="3" applyNumberFormat="1" applyFont="1"/>
    <xf numFmtId="43" fontId="9" fillId="0" borderId="0" xfId="0" applyNumberFormat="1" applyFont="1" applyFill="1"/>
    <xf numFmtId="164" fontId="9" fillId="0" borderId="0" xfId="2" applyNumberFormat="1" applyFont="1" applyFill="1"/>
    <xf numFmtId="44" fontId="9" fillId="0" borderId="0" xfId="2" applyFont="1" applyFill="1"/>
    <xf numFmtId="0" fontId="2" fillId="0" borderId="0" xfId="0" applyFont="1" applyAlignment="1">
      <alignment horizontal="center"/>
    </xf>
    <xf numFmtId="44" fontId="0" fillId="0" borderId="0" xfId="0" applyNumberFormat="1"/>
    <xf numFmtId="43" fontId="8" fillId="0" borderId="0" xfId="0" applyNumberFormat="1" applyFont="1"/>
    <xf numFmtId="164" fontId="8" fillId="0" borderId="0" xfId="2" applyNumberFormat="1" applyFont="1"/>
    <xf numFmtId="43" fontId="9" fillId="0" borderId="0" xfId="1" applyFont="1"/>
    <xf numFmtId="0" fontId="26" fillId="0" borderId="0" xfId="0" applyFont="1"/>
    <xf numFmtId="164" fontId="9" fillId="0" borderId="0" xfId="2" applyNumberFormat="1" applyFont="1"/>
    <xf numFmtId="10" fontId="16" fillId="0" borderId="0" xfId="1" applyNumberFormat="1" applyFont="1"/>
    <xf numFmtId="44" fontId="27" fillId="0" borderId="0" xfId="0" applyNumberFormat="1" applyFont="1"/>
    <xf numFmtId="10" fontId="27" fillId="0" borderId="0" xfId="1" applyNumberFormat="1" applyFont="1"/>
    <xf numFmtId="0" fontId="28" fillId="4" borderId="0" xfId="0" applyFont="1" applyFill="1" applyBorder="1" applyAlignment="1">
      <alignment horizontal="center"/>
    </xf>
    <xf numFmtId="10" fontId="9" fillId="0" borderId="0" xfId="3" applyNumberFormat="1" applyFont="1"/>
    <xf numFmtId="0" fontId="29" fillId="0" borderId="0" xfId="0" applyFont="1"/>
    <xf numFmtId="0" fontId="30" fillId="0" borderId="0" xfId="0" applyFont="1" applyFill="1"/>
    <xf numFmtId="0" fontId="16" fillId="0" borderId="0" xfId="0" applyFont="1"/>
    <xf numFmtId="44" fontId="16" fillId="0" borderId="0" xfId="2" applyFont="1" applyFill="1"/>
    <xf numFmtId="44" fontId="70" fillId="0" borderId="0" xfId="2" applyFont="1" applyFill="1"/>
    <xf numFmtId="44" fontId="43" fillId="0" borderId="0" xfId="2" applyFont="1"/>
    <xf numFmtId="43" fontId="70" fillId="0" borderId="0" xfId="0" applyNumberFormat="1" applyFont="1" applyFill="1"/>
    <xf numFmtId="164" fontId="70" fillId="0" borderId="0" xfId="2" applyNumberFormat="1" applyFont="1" applyFill="1"/>
    <xf numFmtId="43" fontId="8" fillId="0" borderId="0" xfId="1" applyFont="1"/>
    <xf numFmtId="43" fontId="43" fillId="0" borderId="0" xfId="1" applyFont="1"/>
    <xf numFmtId="166" fontId="43" fillId="0" borderId="0" xfId="1" applyNumberFormat="1" applyFont="1"/>
    <xf numFmtId="43" fontId="71" fillId="0" borderId="0" xfId="1" applyFont="1" applyBorder="1" applyAlignment="1">
      <alignment horizontal="right"/>
    </xf>
    <xf numFmtId="43" fontId="72" fillId="0" borderId="0" xfId="1" applyFont="1" applyBorder="1" applyAlignment="1" applyProtection="1">
      <alignment horizontal="right"/>
      <protection locked="0"/>
    </xf>
    <xf numFmtId="43" fontId="71" fillId="0" borderId="0" xfId="1" applyFont="1" applyBorder="1" applyAlignment="1" applyProtection="1">
      <alignment horizontal="right"/>
      <protection locked="0"/>
    </xf>
    <xf numFmtId="44" fontId="71" fillId="0" borderId="0" xfId="2" applyFont="1" applyFill="1" applyBorder="1" applyProtection="1">
      <protection locked="0"/>
    </xf>
    <xf numFmtId="0" fontId="71" fillId="0" borderId="0" xfId="0" applyFont="1" applyBorder="1"/>
    <xf numFmtId="44" fontId="71" fillId="0" borderId="0" xfId="2" applyFont="1" applyBorder="1"/>
    <xf numFmtId="0" fontId="43" fillId="0" borderId="0" xfId="0" applyFont="1"/>
    <xf numFmtId="43" fontId="0" fillId="0" borderId="0" xfId="1" applyFont="1" applyFill="1"/>
    <xf numFmtId="14" fontId="0" fillId="0" borderId="0" xfId="0" applyNumberFormat="1"/>
    <xf numFmtId="44" fontId="43" fillId="0" borderId="0" xfId="0" applyNumberFormat="1" applyFont="1"/>
    <xf numFmtId="8" fontId="71" fillId="0" borderId="0" xfId="2" applyNumberFormat="1" applyFont="1" applyFill="1" applyBorder="1" applyProtection="1">
      <protection locked="0"/>
    </xf>
    <xf numFmtId="8" fontId="43" fillId="0" borderId="0" xfId="0" applyNumberFormat="1" applyFont="1"/>
    <xf numFmtId="8" fontId="43" fillId="0" borderId="0" xfId="2" applyNumberFormat="1" applyFont="1"/>
    <xf numFmtId="0" fontId="21" fillId="4" borderId="7" xfId="0" applyFont="1" applyFill="1" applyBorder="1" applyAlignment="1">
      <alignment horizontal="center"/>
    </xf>
    <xf numFmtId="0" fontId="21" fillId="4" borderId="0" xfId="0" applyFont="1" applyFill="1" applyBorder="1" applyAlignment="1">
      <alignment horizontal="center"/>
    </xf>
    <xf numFmtId="0" fontId="21" fillId="4" borderId="8" xfId="0" applyFont="1" applyFill="1" applyBorder="1" applyAlignment="1">
      <alignment horizontal="center"/>
    </xf>
    <xf numFmtId="0" fontId="69" fillId="0" borderId="0" xfId="0" applyFont="1" applyAlignment="1">
      <alignment horizontal="center"/>
    </xf>
    <xf numFmtId="17" fontId="10" fillId="3" borderId="0" xfId="0" applyNumberFormat="1" applyFont="1" applyFill="1" applyBorder="1" applyAlignment="1">
      <alignment horizontal="center"/>
    </xf>
  </cellXfs>
  <cellStyles count="132">
    <cellStyle name="20% - Accent1" xfId="21" builtinId="30" customBuiltin="1"/>
    <cellStyle name="20% - Accent1 2" xfId="101" xr:uid="{A7308BCC-A86F-4BB5-BDAF-6C431F42249E}"/>
    <cellStyle name="20% - Accent2" xfId="24" builtinId="34" customBuiltin="1"/>
    <cellStyle name="20% - Accent2 2" xfId="105" xr:uid="{2A50BA10-636B-41C1-B2F3-6E3C789DC8AB}"/>
    <cellStyle name="20% - Accent3" xfId="27" builtinId="38" customBuiltin="1"/>
    <cellStyle name="20% - Accent3 2" xfId="109" xr:uid="{DAEBEFE7-06BD-4BD4-8D2E-DB4B9CABD863}"/>
    <cellStyle name="20% - Accent4" xfId="30" builtinId="42" customBuiltin="1"/>
    <cellStyle name="20% - Accent4 2" xfId="113" xr:uid="{71A57D59-64DE-4ADC-8054-681FD331C96D}"/>
    <cellStyle name="20% - Accent5" xfId="33" builtinId="46" customBuiltin="1"/>
    <cellStyle name="20% - Accent5 2" xfId="117" xr:uid="{4AE8975C-0394-442F-A1FF-2AA7670A5578}"/>
    <cellStyle name="20% - Accent6" xfId="36" builtinId="50" customBuiltin="1"/>
    <cellStyle name="20% - Accent6 2" xfId="121" xr:uid="{B8156916-7E29-4A00-942A-B8B0B2FB4413}"/>
    <cellStyle name="40% - Accent1" xfId="22" builtinId="31" customBuiltin="1"/>
    <cellStyle name="40% - Accent1 2" xfId="102" xr:uid="{52989DFC-B143-407B-886C-D44B7FBE2973}"/>
    <cellStyle name="40% - Accent2" xfId="25" builtinId="35" customBuiltin="1"/>
    <cellStyle name="40% - Accent2 2" xfId="106" xr:uid="{AAE1A59E-A87B-474B-A5B2-E9EB2D57A5A0}"/>
    <cellStyle name="40% - Accent3" xfId="28" builtinId="39" customBuiltin="1"/>
    <cellStyle name="40% - Accent3 2" xfId="110" xr:uid="{16D1E5D0-D056-4E07-9A48-0294545AF7EC}"/>
    <cellStyle name="40% - Accent4" xfId="31" builtinId="43" customBuiltin="1"/>
    <cellStyle name="40% - Accent4 2" xfId="114" xr:uid="{D6CDCB17-A557-4CD7-93BE-3E0A11E5C455}"/>
    <cellStyle name="40% - Accent5" xfId="34" builtinId="47" customBuiltin="1"/>
    <cellStyle name="40% - Accent5 2" xfId="118" xr:uid="{DFBA9A87-357C-4CAF-A303-BF848B33E2BB}"/>
    <cellStyle name="40% - Accent6" xfId="37" builtinId="51" customBuiltin="1"/>
    <cellStyle name="40% - Accent6 2" xfId="122" xr:uid="{98E378EA-C08D-4439-895A-387B63F26938}"/>
    <cellStyle name="60% - Accent1 2" xfId="103" xr:uid="{B158B34C-D723-4A60-B73C-68DC59874D78}"/>
    <cellStyle name="60% - Accent1 3" xfId="126" xr:uid="{5FC7D6A9-3CF2-48AA-B61E-7BAA0A594BFD}"/>
    <cellStyle name="60% - Accent1 4" xfId="40" xr:uid="{A73B4AC2-A6EF-4E49-ADC9-B55E899AC26B}"/>
    <cellStyle name="60% - Accent2 2" xfId="107" xr:uid="{6F707AF6-5DD9-4558-81EF-34F7A1BCB4C6}"/>
    <cellStyle name="60% - Accent2 3" xfId="127" xr:uid="{5688EAF5-D32F-453E-BD79-65494FCFE41E}"/>
    <cellStyle name="60% - Accent2 4" xfId="41" xr:uid="{74791420-0E3B-4AA9-BF7A-665649F337B6}"/>
    <cellStyle name="60% - Accent3 2" xfId="111" xr:uid="{86B686F4-0B0A-40F5-9C58-DDDAB1937A4F}"/>
    <cellStyle name="60% - Accent3 3" xfId="128" xr:uid="{3269D2D8-97B3-4641-A7CD-3479C84E6293}"/>
    <cellStyle name="60% - Accent3 4" xfId="42" xr:uid="{83CC273C-1B58-4360-92DD-FE7334BB6C76}"/>
    <cellStyle name="60% - Accent4 2" xfId="115" xr:uid="{5C79374A-32A6-4B55-8B09-2364F80F5471}"/>
    <cellStyle name="60% - Accent4 3" xfId="129" xr:uid="{901883FC-7CC3-4E7B-AEFA-E3AC40EE1AEE}"/>
    <cellStyle name="60% - Accent4 4" xfId="43" xr:uid="{3CAAB61A-BE3A-4FFC-A64E-A52F2C129AC3}"/>
    <cellStyle name="60% - Accent5 2" xfId="119" xr:uid="{86736EBA-9854-4F02-94A2-963B0AE3FE5E}"/>
    <cellStyle name="60% - Accent5 3" xfId="130" xr:uid="{E44B206E-B47F-460C-AEFA-03632396F7F4}"/>
    <cellStyle name="60% - Accent5 4" xfId="44" xr:uid="{558B842D-6D04-44C0-B8B4-26B6CDD1EB03}"/>
    <cellStyle name="60% - Accent6 2" xfId="123" xr:uid="{5A77059F-10C1-4115-9CA7-E37BD8183B92}"/>
    <cellStyle name="60% - Accent6 3" xfId="131" xr:uid="{57ABD572-5E7C-409F-8B7A-A2BE07346BAE}"/>
    <cellStyle name="60% - Accent6 4" xfId="45" xr:uid="{92464F6F-1B05-4C8B-87F2-EA3FEE9F7348}"/>
    <cellStyle name="Accent1" xfId="20" builtinId="29" customBuiltin="1"/>
    <cellStyle name="Accent1 2" xfId="100" xr:uid="{33B7577B-332E-4F5A-980A-FDD424516C4C}"/>
    <cellStyle name="Accent2" xfId="23" builtinId="33" customBuiltin="1"/>
    <cellStyle name="Accent2 2" xfId="104" xr:uid="{47E5533C-622F-4BB6-AED0-F976FD425244}"/>
    <cellStyle name="Accent3" xfId="26" builtinId="37" customBuiltin="1"/>
    <cellStyle name="Accent3 2" xfId="108" xr:uid="{F474B526-C1D5-4D7C-8675-B9109B788F08}"/>
    <cellStyle name="Accent4" xfId="29" builtinId="41" customBuiltin="1"/>
    <cellStyle name="Accent4 2" xfId="112" xr:uid="{4A5EB185-3A69-4B65-B06B-927D032E29B7}"/>
    <cellStyle name="Accent5" xfId="32" builtinId="45" customBuiltin="1"/>
    <cellStyle name="Accent5 2" xfId="116" xr:uid="{D9ADA78E-F27C-4782-8C4A-EA276709DC0D}"/>
    <cellStyle name="Accent6" xfId="35" builtinId="49" customBuiltin="1"/>
    <cellStyle name="Accent6 2" xfId="120" xr:uid="{B743C08A-0EC5-48EF-8FD9-F9C1C2B5F95C}"/>
    <cellStyle name="Bad" xfId="10" builtinId="27" customBuiltin="1"/>
    <cellStyle name="Bad 2" xfId="89" xr:uid="{154A9896-EDAA-4F3C-8BB3-E00C59CEE54D}"/>
    <cellStyle name="Calculation" xfId="13" builtinId="22" customBuiltin="1"/>
    <cellStyle name="Calculation 2" xfId="93" xr:uid="{14FA5736-7020-4A06-8A8F-CD21F87E81E3}"/>
    <cellStyle name="Check Cell" xfId="15" builtinId="23" customBuiltin="1"/>
    <cellStyle name="Check Cell 2" xfId="95" xr:uid="{DC73242D-EC3F-4DA6-9362-BA8974878676}"/>
    <cellStyle name="Comma" xfId="1" builtinId="3"/>
    <cellStyle name="Comma 2" xfId="51" xr:uid="{51C60B58-E62E-43D6-BDEB-FC5448490095}"/>
    <cellStyle name="Comma 2 2" xfId="57" xr:uid="{5CC4A9FC-8833-4A92-A53C-1D1547DD07C7}"/>
    <cellStyle name="Comma 3" xfId="48" xr:uid="{F884D44F-9C45-4960-ADB0-11569FAF96B7}"/>
    <cellStyle name="Comma 4" xfId="58" xr:uid="{A6E707C8-DA74-4250-AECB-C62C6538D427}"/>
    <cellStyle name="Comma 5" xfId="83" xr:uid="{8EF79FD1-A2B1-4D48-8717-BBC93D540C80}"/>
    <cellStyle name="Currency" xfId="2" builtinId="4"/>
    <cellStyle name="Currency 2" xfId="4" xr:uid="{D61A5A84-EAEF-435A-8928-3680D3EE44AF}"/>
    <cellStyle name="Currency 2 2" xfId="59" xr:uid="{91A12834-27AB-40DE-860E-7E9F5343ADD8}"/>
    <cellStyle name="Currency 3" xfId="60" xr:uid="{50E8C035-A4DC-4F6A-9F94-6B41ECA33C70}"/>
    <cellStyle name="Currency 4" xfId="61" xr:uid="{2EC64388-0B21-4725-9FA1-B05A51696A8B}"/>
    <cellStyle name="Currency 5" xfId="56" xr:uid="{2DA7073E-CC68-4D4A-88BA-F5C6E683317C}"/>
    <cellStyle name="Currency 6" xfId="62" xr:uid="{AC1B6868-A831-43EC-A260-40F35C77F4F9}"/>
    <cellStyle name="Explanatory Text" xfId="18" builtinId="53" customBuiltin="1"/>
    <cellStyle name="Explanatory Text 2" xfId="98" xr:uid="{A300748C-C891-403A-BDC9-2250E8A9AFC4}"/>
    <cellStyle name="Good" xfId="9" builtinId="26" customBuiltin="1"/>
    <cellStyle name="Good 2" xfId="88" xr:uid="{21CE4C8D-8AB4-4B87-960A-DBA0358826B6}"/>
    <cellStyle name="Heading 1" xfId="5" builtinId="16" customBuiltin="1"/>
    <cellStyle name="Heading 1 2" xfId="84" xr:uid="{9F32C357-5FE4-4DAF-956E-96095D4548A2}"/>
    <cellStyle name="Heading 2" xfId="6" builtinId="17" customBuiltin="1"/>
    <cellStyle name="Heading 2 2" xfId="85" xr:uid="{F1816ED9-2DC3-4BB8-B7FD-CDCB98D6C327}"/>
    <cellStyle name="Heading 3" xfId="7" builtinId="18" customBuiltin="1"/>
    <cellStyle name="Heading 3 2" xfId="86" xr:uid="{5428FE80-C0B3-4338-800E-3E5C856A93AE}"/>
    <cellStyle name="Heading 4" xfId="8" builtinId="19" customBuiltin="1"/>
    <cellStyle name="Heading 4 2" xfId="87" xr:uid="{20A4D9A4-0259-4691-A7B1-C7A34DCC256F}"/>
    <cellStyle name="Input" xfId="11" builtinId="20" customBuiltin="1"/>
    <cellStyle name="Input 2" xfId="91" xr:uid="{F3F7C9A0-DE53-42F8-A485-AB32243A59D7}"/>
    <cellStyle name="Lines" xfId="63" xr:uid="{6B068CEB-A5DD-4AF4-AE0D-335E212A085B}"/>
    <cellStyle name="Linked Cell" xfId="14" builtinId="24" customBuiltin="1"/>
    <cellStyle name="Linked Cell 2" xfId="94" xr:uid="{E9A9BB98-F17C-4384-B93F-C23D6AF5B922}"/>
    <cellStyle name="Neutral 2" xfId="90" xr:uid="{76122077-4FE4-4ECD-8AE1-8E49E8DE9B29}"/>
    <cellStyle name="Neutral 3" xfId="125" xr:uid="{D96521E8-5983-48D7-A7CA-91F042F958FE}"/>
    <cellStyle name="Neutral 4" xfId="39" xr:uid="{D8D60256-60D4-4FA1-88D7-40296927DFAD}"/>
    <cellStyle name="Normal" xfId="0" builtinId="0"/>
    <cellStyle name="Normal 2" xfId="46" xr:uid="{6973B987-B5C2-4C5D-AE7C-8FB249393546}"/>
    <cellStyle name="Normal 2 2" xfId="52" xr:uid="{EBF8DFC9-E9EE-423F-90BD-3782523F6DBB}"/>
    <cellStyle name="Normal 2 3" xfId="64" xr:uid="{1228E15D-9095-49D0-9529-512D056D3BC4}"/>
    <cellStyle name="Normal 3" xfId="49" xr:uid="{1E8A89B4-26CF-421D-A7A3-C64C07EB13DA}"/>
    <cellStyle name="Normal 3 2" xfId="65" xr:uid="{38F15C41-018B-4433-ACF4-7DEA4C03630D}"/>
    <cellStyle name="Normal 4" xfId="50" xr:uid="{16AA435F-AA90-48FF-9FAE-5AA6FABDC3AE}"/>
    <cellStyle name="Normal 4 2" xfId="66" xr:uid="{539881DB-D41F-4963-8207-19859D6B535D}"/>
    <cellStyle name="Normal 5" xfId="67" xr:uid="{561C372D-0923-4773-B981-FFB644CC2E10}"/>
    <cellStyle name="Normal 6" xfId="68" xr:uid="{62EFCE47-94B1-4009-A8A1-43C185385F87}"/>
    <cellStyle name="Normal 7" xfId="54" xr:uid="{53ECAF9A-004A-46BB-A3EE-9188174FF686}"/>
    <cellStyle name="Normal 8" xfId="69" xr:uid="{750A7B18-6433-4198-B302-480A2E81F533}"/>
    <cellStyle name="Normal 9" xfId="82" xr:uid="{3CE5E7C8-7B69-44CF-B624-C4DBD8BCE6FA}"/>
    <cellStyle name="Note" xfId="17" builtinId="10" customBuiltin="1"/>
    <cellStyle name="Note 2" xfId="97" xr:uid="{4F01346B-9F45-47D5-A2C6-7BB233581D67}"/>
    <cellStyle name="Output" xfId="12" builtinId="21" customBuiltin="1"/>
    <cellStyle name="Output 2" xfId="92" xr:uid="{7E7936CE-30E1-4C66-A7FA-68F4E0E0204C}"/>
    <cellStyle name="Percent" xfId="3" builtinId="5"/>
    <cellStyle name="Percent 2" xfId="47" xr:uid="{D1893EBA-3AA1-429E-8932-6ED4FF9D65C6}"/>
    <cellStyle name="Percent 2 2" xfId="70" xr:uid="{E4A3BA15-3D48-46BF-AA96-71B45F1C6234}"/>
    <cellStyle name="Percent 3" xfId="71" xr:uid="{75B26D66-D421-4E1B-B598-5D7A25E80263}"/>
    <cellStyle name="Percent 4" xfId="53" xr:uid="{0865CAD7-93E2-4604-8097-D0327BFCF866}"/>
    <cellStyle name="Percent 4 2" xfId="72" xr:uid="{FEC2F3E1-A0D9-4AED-BB0A-60CFB10D04B3}"/>
    <cellStyle name="Percent 5" xfId="55" xr:uid="{BA8B4AD0-6B8C-4469-8837-4F2A752AECA3}"/>
    <cellStyle name="Percent 6" xfId="73" xr:uid="{BC86196B-35B1-42E5-BC52-CAE0F3E7F1C4}"/>
    <cellStyle name="PS_Comma" xfId="74" xr:uid="{484B4459-84F5-4785-A75F-D23FA0288EE1}"/>
    <cellStyle name="PSChar" xfId="75" xr:uid="{D5989D88-C76C-4B4A-90BE-69BC2B20CDD7}"/>
    <cellStyle name="PSDate" xfId="76" xr:uid="{B2214066-571A-4431-857C-D6E4E9550506}"/>
    <cellStyle name="PSDec" xfId="77" xr:uid="{A134F99B-C1D4-4AAD-9DFC-FEEA1DF807C8}"/>
    <cellStyle name="PSHeading" xfId="78" xr:uid="{437478DF-F22B-4201-8EFF-3DE9968E8B25}"/>
    <cellStyle name="PSInt" xfId="79" xr:uid="{A2FC8760-41C1-4C33-84C6-DF250F44D9E2}"/>
    <cellStyle name="PSSpacer" xfId="80" xr:uid="{BA8CCA49-EC35-468C-A09A-800FECF2149C}"/>
    <cellStyle name="Title 2" xfId="124" xr:uid="{B7DA0CA4-EA4B-4BED-8D65-15CAA1ED6318}"/>
    <cellStyle name="Title 3" xfId="38" xr:uid="{27E756C7-AE2D-450D-AECA-5681431D2569}"/>
    <cellStyle name="Total" xfId="19" builtinId="25" customBuiltin="1"/>
    <cellStyle name="Total 2" xfId="99" xr:uid="{39CFAD6E-5941-4BE5-A7B1-F9263DAE1069}"/>
    <cellStyle name="Warning Text" xfId="16" builtinId="11" customBuiltin="1"/>
    <cellStyle name="Warning Text 2" xfId="96" xr:uid="{6F00FECA-AA49-4146-A801-1299856CC1D3}"/>
    <cellStyle name="WM_STANDARD" xfId="81" xr:uid="{4975EA3F-0C55-4FB4-816E-4BAF379DB26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8.xml"/><Relationship Id="rId18" Type="http://schemas.openxmlformats.org/officeDocument/2006/relationships/externalLink" Target="externalLinks/externalLink13.xml"/><Relationship Id="rId26" Type="http://schemas.openxmlformats.org/officeDocument/2006/relationships/externalLink" Target="externalLinks/externalLink2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6.xml"/><Relationship Id="rId34" Type="http://schemas.openxmlformats.org/officeDocument/2006/relationships/customXml" Target="../customXml/item4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externalLink" Target="externalLinks/externalLink12.xml"/><Relationship Id="rId25" Type="http://schemas.openxmlformats.org/officeDocument/2006/relationships/externalLink" Target="externalLinks/externalLink20.xml"/><Relationship Id="rId33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1.xml"/><Relationship Id="rId20" Type="http://schemas.openxmlformats.org/officeDocument/2006/relationships/externalLink" Target="externalLinks/externalLink15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24" Type="http://schemas.openxmlformats.org/officeDocument/2006/relationships/externalLink" Target="externalLinks/externalLink19.xml"/><Relationship Id="rId32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0.xml"/><Relationship Id="rId23" Type="http://schemas.openxmlformats.org/officeDocument/2006/relationships/externalLink" Target="externalLinks/externalLink18.xml"/><Relationship Id="rId28" Type="http://schemas.openxmlformats.org/officeDocument/2006/relationships/styles" Target="styles.xml"/><Relationship Id="rId10" Type="http://schemas.openxmlformats.org/officeDocument/2006/relationships/externalLink" Target="externalLinks/externalLink5.xml"/><Relationship Id="rId19" Type="http://schemas.openxmlformats.org/officeDocument/2006/relationships/externalLink" Target="externalLinks/externalLink14.xml"/><Relationship Id="rId31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externalLink" Target="externalLinks/externalLink9.xml"/><Relationship Id="rId22" Type="http://schemas.openxmlformats.org/officeDocument/2006/relationships/externalLink" Target="externalLinks/externalLink17.xml"/><Relationship Id="rId27" Type="http://schemas.openxmlformats.org/officeDocument/2006/relationships/theme" Target="theme/theme1.xml"/><Relationship Id="rId30" Type="http://schemas.openxmlformats.org/officeDocument/2006/relationships/calcChain" Target="calcChain.xml"/><Relationship Id="rId8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onnage%20Analysis/WEN%20TA%20November%2023.csv" TargetMode="External"/></Relationships>
</file>

<file path=xl/externalLinks/_rels/externalLink10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Txhous10fps03rf\orport01fps01\PUBLIC\Evan%20Burmester\WUTC\Commodity%20Rebate%20Filings\2024\Wenatchee\Customer%20Counts\WEN%20CC%20March%2024.csv" TargetMode="External"/><Relationship Id="rId1" Type="http://schemas.openxmlformats.org/officeDocument/2006/relationships/externalLinkPath" Target="Customer%20Counts/WEN%20CC%20March%2024.csv" TargetMode="External"/></Relationships>
</file>

<file path=xl/externalLinks/_rels/externalLink1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Txhous10fps03rf\orport01fps01\PUBLIC\Evan%20Burmester\WUTC\Commodity%20Rebate%20Filings\2024\Wenatchee\Customer%20Counts\WEN%20CC%20April%2024.csv" TargetMode="External"/><Relationship Id="rId1" Type="http://schemas.openxmlformats.org/officeDocument/2006/relationships/externalLinkPath" Target="Customer%20Counts/WEN%20CC%20April%2024.csv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xhous10fps01\WAKIRK03FPS01\Group\Finance\ACCT\Recycling%20Accounting%20Analysis\2023%20Recycling%20Acctg%20Analysis\12-2023\2023%20SMaRT%20Passback_Dec%20Recycling%20Analysis%20Copy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burmest\AppData\Local\Microsoft\Windows\INetCache\Content.Outlook\UGAOJRTF\SMaRT%20Passback_Jan.xlsx" TargetMode="External"/></Relationships>
</file>

<file path=xl/externalLinks/_rels/externalLink1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burmest\Downloads\2023%20CRC%20Passback_3.2024.xlsx" TargetMode="External"/><Relationship Id="rId1" Type="http://schemas.openxmlformats.org/officeDocument/2006/relationships/externalLinkPath" Target="file:///C:\Users\eburmest\Downloads\2023%20CRC%20Passback_3.2024.xlsx" TargetMode="External"/></Relationships>
</file>

<file path=xl/externalLinks/_rels/externalLink1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burmest\Downloads\2023%20CRC%20Passback_4.2024.xlsx" TargetMode="External"/><Relationship Id="rId1" Type="http://schemas.openxmlformats.org/officeDocument/2006/relationships/externalLinkPath" Target="file:///C:\Users\eburmest\Downloads\2023%20CRC%20Passback_4.2024.xlsx" TargetMode="External"/></Relationships>
</file>

<file path=xl/externalLinks/_rels/externalLink1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burmest\AppData\Local\Microsoft\Windows\INetCache\Content.Outlook\IC4FR9HZ\2023%20CRC%20Passback_5.2024.xlsx" TargetMode="External"/><Relationship Id="rId1" Type="http://schemas.openxmlformats.org/officeDocument/2006/relationships/externalLinkPath" Target="file:///C:\Users\eburmest\AppData\Local\Microsoft\Windows\INetCache\Content.Outlook\IC4FR9HZ\2023%20CRC%20Passback_5.2024.xlsx" TargetMode="External"/></Relationships>
</file>

<file path=xl/externalLinks/_rels/externalLink1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burmest\AppData\Local\Microsoft\Windows\INetCache\Content.Outlook\IC4FR9HZ\2024%20CRC%20Passback_6.2024.xlsx" TargetMode="External"/><Relationship Id="rId1" Type="http://schemas.openxmlformats.org/officeDocument/2006/relationships/externalLinkPath" Target="file:///C:\Users\eburmest\AppData\Local\Microsoft\Windows\INetCache\Content.Outlook\IC4FR9HZ\2024%20CRC%20Passback_6.2024.xlsx" TargetMode="External"/></Relationships>
</file>

<file path=xl/externalLinks/_rels/externalLink1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burmest\AppData\Local\Microsoft\Windows\INetCache\Content.Outlook\IC4FR9HZ\SMaRT%20Passback_July%20Residential%2007-2024.xlsx" TargetMode="External"/><Relationship Id="rId1" Type="http://schemas.openxmlformats.org/officeDocument/2006/relationships/externalLinkPath" Target="file:///C:\Users\eburmest\AppData\Local\Microsoft\Windows\INetCache\Content.Outlook\IC4FR9HZ\SMaRT%20Passback_July%20Residential%2007-2024.xlsx" TargetMode="External"/></Relationships>
</file>

<file path=xl/externalLinks/_rels/externalLink19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burmest\AppData\Local\Microsoft\Windows\INetCache\Content.Outlook\IC4FR9HZ\SMaRT%20Passback_August%20Residential%2008-2024.xlsx" TargetMode="External"/><Relationship Id="rId1" Type="http://schemas.openxmlformats.org/officeDocument/2006/relationships/externalLinkPath" Target="file:///C:\Users\eburmest\AppData\Local\Microsoft\Windows\INetCache\Content.Outlook\IC4FR9HZ\SMaRT%20Passback_August%20Residential%2008-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Tonnage%20Analysis/WEN%20TA%20December%2023.csv" TargetMode="External"/></Relationships>
</file>

<file path=xl/externalLinks/_rels/externalLink20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burmest\AppData\Local\Microsoft\Windows\INetCache\Content.Outlook\IC4FR9HZ\SMaRT%20Passback_September%20Residential%2009-2024.xlsx" TargetMode="External"/><Relationship Id="rId1" Type="http://schemas.openxmlformats.org/officeDocument/2006/relationships/externalLinkPath" Target="file:///C:\Users\eburmest\AppData\Local\Microsoft\Windows\INetCache\Content.Outlook\IC4FR9HZ\SMaRT%20Passback_September%20Residential%2009-2024.xlsx" TargetMode="External"/></Relationships>
</file>

<file path=xl/externalLinks/_rels/externalLink2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burmest\AppData\Local\Microsoft\Windows\INetCache\Content.Outlook\IC4FR9HZ\SMaRT%20Passback_October%20Residential%2010-2024.xlsx" TargetMode="External"/><Relationship Id="rId1" Type="http://schemas.openxmlformats.org/officeDocument/2006/relationships/externalLinkPath" Target="file:///C:\Users\eburmest\AppData\Local\Microsoft\Windows\INetCache\Content.Outlook\IC4FR9HZ\SMaRT%20Passback_October%20Residential%2010-2024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Txhous10fps03rf\orport01fps01\PUBLIC\Evan%20Burmester\WUTC\Commodity%20Rebate%20Filings\2024\Wenatchee\Tonnage%20Analysis\WEN%20TA%20January%2024.xlsx" TargetMode="External"/><Relationship Id="rId1" Type="http://schemas.openxmlformats.org/officeDocument/2006/relationships/externalLinkPath" Target="Tonnage%20Analysis/WEN%20TA%20January%2024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Txhous10fps03rf\orport01fps01\PUBLIC\Evan%20Burmester\WUTC\Commodity%20Rebate%20Filings\2024\Wenatchee\Tonnage%20Analysis\WEN%20TA%20February%2024.xlsx" TargetMode="External"/><Relationship Id="rId1" Type="http://schemas.openxmlformats.org/officeDocument/2006/relationships/externalLinkPath" Target="Tonnage%20Analysis/WEN%20TA%20February%2024.xlsx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Txhous10fps03rf\orport01fps01\PUBLIC\Evan%20Burmester\WUTC\Commodity%20Rebate%20Filings\2024\Wenatchee\Tonnage%20Analysis\WEN%20TA%20June%2024.csv" TargetMode="External"/><Relationship Id="rId1" Type="http://schemas.openxmlformats.org/officeDocument/2006/relationships/externalLinkPath" Target="Tonnage%20Analysis/WEN%20TA%20June%2024.csv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Customer%20Counts/WEN%20CC%20November%2023.csv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Customer%20Counts/WEN%20CC%20December%2023.csv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Txhous10fps03rf\orport01fps01\PUBLIC\Evan%20Burmester\WUTC\Commodity%20Rebate%20Filings\2024\Wenatchee\Customer%20Counts\WEN%20CC%20January%2024.xlsx" TargetMode="External"/><Relationship Id="rId1" Type="http://schemas.openxmlformats.org/officeDocument/2006/relationships/externalLinkPath" Target="Customer%20Counts/WEN%20CC%20January%2024.xlsx" TargetMode="External"/></Relationships>
</file>

<file path=xl/externalLinks/_rels/externalLink9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Txhous10fps03rf\orport01fps01\PUBLIC\Evan%20Burmester\WUTC\Commodity%20Rebate%20Filings\2024\Wenatchee\Customer%20Counts\WEN%20CC%20February%2024.xlsx" TargetMode="External"/><Relationship Id="rId1" Type="http://schemas.openxmlformats.org/officeDocument/2006/relationships/externalLinkPath" Target="Customer%20Counts/WEN%20CC%20February%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EN TA November 23"/>
    </sheetNames>
    <sheetDataSet>
      <sheetData sheetId="0">
        <row r="3">
          <cell r="D3">
            <v>54.1950846520824</v>
          </cell>
          <cell r="E3">
            <v>36.552341303028001</v>
          </cell>
          <cell r="J3">
            <v>361.10976725235099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WEN CC March 24"/>
    </sheetNames>
    <sheetDataSet>
      <sheetData sheetId="0">
        <row r="4">
          <cell r="C4">
            <v>899</v>
          </cell>
          <cell r="D4">
            <v>3922</v>
          </cell>
          <cell r="E4">
            <v>2847</v>
          </cell>
          <cell r="F4">
            <v>3736</v>
          </cell>
          <cell r="H4">
            <v>460</v>
          </cell>
          <cell r="J4">
            <v>9402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WEN CC April 24"/>
    </sheetNames>
    <sheetDataSet>
      <sheetData sheetId="0">
        <row r="3">
          <cell r="C3">
            <v>898</v>
          </cell>
          <cell r="D3">
            <v>3936</v>
          </cell>
          <cell r="E3">
            <v>2870</v>
          </cell>
          <cell r="F3">
            <v>3748</v>
          </cell>
          <cell r="G3">
            <v>465</v>
          </cell>
          <cell r="I3">
            <v>9451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lculation"/>
      <sheetName val="Composition"/>
      <sheetName val="Inbound Pivot"/>
      <sheetName val="RMT Inbound"/>
      <sheetName val="Prices"/>
      <sheetName val="Journal Entry"/>
      <sheetName val="OPUS Data"/>
      <sheetName val="OPUS PIVOT"/>
    </sheetNames>
    <sheetDataSet>
      <sheetData sheetId="0">
        <row r="2">
          <cell r="F2">
            <v>1055.9880000000005</v>
          </cell>
        </row>
      </sheetData>
      <sheetData sheetId="1">
        <row r="6">
          <cell r="V6">
            <v>256.95650799999999</v>
          </cell>
          <cell r="X6">
            <v>284.58733799999999</v>
          </cell>
        </row>
        <row r="7">
          <cell r="V7">
            <v>0</v>
          </cell>
          <cell r="X7">
            <v>0</v>
          </cell>
        </row>
        <row r="8">
          <cell r="V8">
            <v>705.40970099999993</v>
          </cell>
          <cell r="X8">
            <v>760.37382000000002</v>
          </cell>
        </row>
        <row r="9">
          <cell r="V9">
            <v>27.465659999999996</v>
          </cell>
          <cell r="X9">
            <v>31.979928000000001</v>
          </cell>
        </row>
        <row r="10">
          <cell r="V10">
            <v>184.01992199999998</v>
          </cell>
          <cell r="X10">
            <v>195.79200599999999</v>
          </cell>
        </row>
        <row r="11">
          <cell r="V11">
            <v>48.064904999999996</v>
          </cell>
          <cell r="X11">
            <v>52.222542000000004</v>
          </cell>
        </row>
        <row r="12">
          <cell r="V12">
            <v>13.275068999999998</v>
          </cell>
          <cell r="X12">
            <v>15.309539999999998</v>
          </cell>
        </row>
        <row r="13">
          <cell r="V13">
            <v>9.9181549999999987</v>
          </cell>
          <cell r="X13">
            <v>9.5259359999999997</v>
          </cell>
        </row>
        <row r="14">
          <cell r="V14">
            <v>0</v>
          </cell>
          <cell r="X14">
            <v>0</v>
          </cell>
        </row>
        <row r="15">
          <cell r="V15">
            <v>0</v>
          </cell>
          <cell r="X15">
            <v>0</v>
          </cell>
        </row>
        <row r="16">
          <cell r="V16">
            <v>0.91552199999999984</v>
          </cell>
          <cell r="X16">
            <v>1.190742</v>
          </cell>
        </row>
        <row r="17">
          <cell r="V17">
            <v>29.449290999999999</v>
          </cell>
          <cell r="X17">
            <v>37.253214</v>
          </cell>
        </row>
        <row r="18">
          <cell r="V18">
            <v>10.375915999999998</v>
          </cell>
          <cell r="X18">
            <v>10.20636</v>
          </cell>
        </row>
        <row r="19">
          <cell r="V19">
            <v>240.01935099999997</v>
          </cell>
          <cell r="X19">
            <v>302.44846799999999</v>
          </cell>
        </row>
      </sheetData>
      <sheetData sheetId="2"/>
      <sheetData sheetId="3"/>
      <sheetData sheetId="4">
        <row r="14">
          <cell r="B14">
            <v>50</v>
          </cell>
          <cell r="C14">
            <v>0</v>
          </cell>
          <cell r="D14">
            <v>88.06</v>
          </cell>
          <cell r="E14">
            <v>1201.7</v>
          </cell>
          <cell r="F14">
            <v>197.02</v>
          </cell>
          <cell r="G14">
            <v>-60.5</v>
          </cell>
          <cell r="H14">
            <v>120</v>
          </cell>
          <cell r="J14">
            <v>540</v>
          </cell>
          <cell r="K14">
            <v>300</v>
          </cell>
          <cell r="L14">
            <v>-205</v>
          </cell>
        </row>
        <row r="15">
          <cell r="B15">
            <v>60.63</v>
          </cell>
          <cell r="C15">
            <v>0</v>
          </cell>
          <cell r="D15">
            <v>101.53</v>
          </cell>
          <cell r="E15">
            <v>1422.93</v>
          </cell>
          <cell r="F15">
            <v>243.57</v>
          </cell>
          <cell r="G15">
            <v>-60.5</v>
          </cell>
          <cell r="H15">
            <v>143.30000000000001</v>
          </cell>
          <cell r="J15">
            <v>617.16</v>
          </cell>
          <cell r="K15">
            <v>352.74</v>
          </cell>
          <cell r="L15">
            <v>-205</v>
          </cell>
        </row>
      </sheetData>
      <sheetData sheetId="5"/>
      <sheetData sheetId="6"/>
      <sheetData sheetId="7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lculation"/>
      <sheetName val="Composition"/>
      <sheetName val="Inbound Pivot"/>
      <sheetName val="RMT Inbound"/>
      <sheetName val="Prices"/>
      <sheetName val="Pivot"/>
      <sheetName val="Inbound Tons By Period"/>
      <sheetName val="Journal Entry"/>
      <sheetName val="OPUS Data"/>
      <sheetName val="OPUS PIVOT"/>
    </sheetNames>
    <sheetDataSet>
      <sheetData sheetId="0" refreshError="1"/>
      <sheetData sheetId="1">
        <row r="6">
          <cell r="B6">
            <v>0</v>
          </cell>
        </row>
        <row r="7">
          <cell r="B7">
            <v>268.97435000000002</v>
          </cell>
        </row>
        <row r="8">
          <cell r="B8">
            <v>674.23905500000001</v>
          </cell>
        </row>
        <row r="9">
          <cell r="B9">
            <v>27.949289999999998</v>
          </cell>
        </row>
        <row r="10">
          <cell r="B10">
            <v>160.03222500000001</v>
          </cell>
        </row>
        <row r="11">
          <cell r="B11">
            <v>44.778970000000001</v>
          </cell>
        </row>
        <row r="12">
          <cell r="B12">
            <v>12.622260000000001</v>
          </cell>
        </row>
        <row r="13">
          <cell r="B13">
            <v>8.1143100000000015</v>
          </cell>
        </row>
        <row r="14">
          <cell r="B14">
            <v>0</v>
          </cell>
        </row>
        <row r="15">
          <cell r="B15">
            <v>0</v>
          </cell>
        </row>
        <row r="16">
          <cell r="B16">
            <v>0</v>
          </cell>
        </row>
        <row r="17">
          <cell r="B17">
            <v>33.058300000000003</v>
          </cell>
        </row>
        <row r="18">
          <cell r="B18">
            <v>6.6116600000000005</v>
          </cell>
        </row>
        <row r="19">
          <cell r="B19">
            <v>265.66852000000006</v>
          </cell>
        </row>
      </sheetData>
      <sheetData sheetId="2" refreshError="1"/>
      <sheetData sheetId="3" refreshError="1"/>
      <sheetData sheetId="4">
        <row r="4">
          <cell r="B4">
            <v>0</v>
          </cell>
          <cell r="C4">
            <v>46.61</v>
          </cell>
          <cell r="D4">
            <v>104.12</v>
          </cell>
          <cell r="E4">
            <v>1198.5899999999999</v>
          </cell>
          <cell r="F4">
            <v>208.69</v>
          </cell>
          <cell r="G4">
            <v>-60.55</v>
          </cell>
          <cell r="H4">
            <v>150</v>
          </cell>
          <cell r="J4">
            <v>590.4</v>
          </cell>
          <cell r="K4">
            <v>279.89</v>
          </cell>
          <cell r="L4">
            <v>-205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alculation"/>
      <sheetName val="Composition"/>
      <sheetName val="Fastlane RETI Inbound"/>
      <sheetName val="Prices"/>
      <sheetName val="Journal Entry"/>
      <sheetName val="Opus Info"/>
      <sheetName val="OPUS Data 3.2024"/>
      <sheetName val="OPUS PIVOT - Eastern WA"/>
    </sheetNames>
    <sheetDataSet>
      <sheetData sheetId="0"/>
      <sheetData sheetId="1">
        <row r="6">
          <cell r="D6">
            <v>296.33</v>
          </cell>
          <cell r="F6">
            <v>819.9</v>
          </cell>
        </row>
        <row r="7">
          <cell r="D7">
            <v>3340.49</v>
          </cell>
          <cell r="F7">
            <v>2319.38</v>
          </cell>
        </row>
        <row r="8">
          <cell r="D8">
            <v>1999.8300000000002</v>
          </cell>
          <cell r="F8">
            <v>2050.4450000000002</v>
          </cell>
        </row>
        <row r="9">
          <cell r="D9">
            <v>163.2235</v>
          </cell>
          <cell r="F9">
            <v>164.964</v>
          </cell>
        </row>
        <row r="10">
          <cell r="D10">
            <v>2306.9699999999998</v>
          </cell>
          <cell r="F10">
            <v>1481.9550000000002</v>
          </cell>
        </row>
        <row r="11">
          <cell r="D11">
            <v>314.61</v>
          </cell>
          <cell r="F11">
            <v>337.18500000000006</v>
          </cell>
        </row>
        <row r="12">
          <cell r="D12">
            <v>54.39</v>
          </cell>
          <cell r="F12">
            <v>48.17</v>
          </cell>
        </row>
        <row r="13">
          <cell r="D13">
            <v>68.62</v>
          </cell>
          <cell r="F13">
            <v>79.28</v>
          </cell>
        </row>
        <row r="14">
          <cell r="F14"/>
        </row>
        <row r="15">
          <cell r="D15">
            <v>22.912499999999994</v>
          </cell>
          <cell r="F15">
            <v>68.867500000000007</v>
          </cell>
        </row>
        <row r="16">
          <cell r="D16">
            <v>30.439999999999998</v>
          </cell>
          <cell r="F16">
            <v>22.729999999999997</v>
          </cell>
        </row>
        <row r="19">
          <cell r="D19">
            <v>158.19000000000003</v>
          </cell>
          <cell r="F19">
            <v>139.94</v>
          </cell>
        </row>
        <row r="20">
          <cell r="D20">
            <v>1131.1199999999999</v>
          </cell>
          <cell r="F20">
            <v>1717.6399999999999</v>
          </cell>
        </row>
      </sheetData>
      <sheetData sheetId="2"/>
      <sheetData sheetId="3">
        <row r="5">
          <cell r="B5">
            <v>93.21</v>
          </cell>
        </row>
      </sheetData>
      <sheetData sheetId="4"/>
      <sheetData sheetId="5"/>
      <sheetData sheetId="6"/>
      <sheetData sheetId="7">
        <row r="9">
          <cell r="D9">
            <v>953.27999999999975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alculation"/>
      <sheetName val="Composition"/>
      <sheetName val="Fastlane RETI Inbound"/>
      <sheetName val="Prices"/>
      <sheetName val="Journal Entry"/>
      <sheetName val="Opus Info"/>
      <sheetName val="OPUS Data 4.2024"/>
      <sheetName val="OPUS PIVOT - Eastern WA"/>
    </sheetNames>
    <sheetDataSet>
      <sheetData sheetId="0" refreshError="1"/>
      <sheetData sheetId="1">
        <row r="6">
          <cell r="H6">
            <v>1714.72</v>
          </cell>
        </row>
        <row r="7">
          <cell r="H7">
            <v>1560.01</v>
          </cell>
        </row>
        <row r="8">
          <cell r="H8">
            <v>2346.75</v>
          </cell>
        </row>
        <row r="9">
          <cell r="H9">
            <v>192.3</v>
          </cell>
        </row>
        <row r="10">
          <cell r="H10">
            <v>1601.49</v>
          </cell>
        </row>
        <row r="11">
          <cell r="H11">
            <v>343.04</v>
          </cell>
        </row>
        <row r="12">
          <cell r="H12">
            <v>50.92</v>
          </cell>
        </row>
        <row r="13">
          <cell r="H13">
            <v>85.07</v>
          </cell>
        </row>
        <row r="14">
          <cell r="H14"/>
        </row>
        <row r="15">
          <cell r="H15">
            <v>61.29</v>
          </cell>
        </row>
        <row r="16">
          <cell r="H16">
            <v>31.7</v>
          </cell>
        </row>
        <row r="18">
          <cell r="H18">
            <v>99.48</v>
          </cell>
        </row>
        <row r="19">
          <cell r="H19">
            <v>193.47</v>
          </cell>
        </row>
        <row r="20">
          <cell r="H20">
            <v>1852.1</v>
          </cell>
        </row>
      </sheetData>
      <sheetData sheetId="2" refreshError="1"/>
      <sheetData sheetId="3">
        <row r="5">
          <cell r="B5">
            <v>93.21</v>
          </cell>
          <cell r="C5">
            <v>66.900000000000006</v>
          </cell>
          <cell r="D5">
            <v>156.06</v>
          </cell>
          <cell r="E5">
            <v>1019.35</v>
          </cell>
          <cell r="F5">
            <v>254</v>
          </cell>
          <cell r="G5">
            <v>-46.73</v>
          </cell>
          <cell r="H5">
            <v>150</v>
          </cell>
          <cell r="J5">
            <v>560</v>
          </cell>
          <cell r="K5">
            <v>340</v>
          </cell>
          <cell r="L5">
            <v>-169.14</v>
          </cell>
        </row>
        <row r="6">
          <cell r="B6">
            <v>91.11</v>
          </cell>
          <cell r="C6">
            <v>66.67</v>
          </cell>
          <cell r="D6">
            <v>163.21</v>
          </cell>
          <cell r="E6">
            <v>1018.33</v>
          </cell>
          <cell r="F6">
            <v>188.25</v>
          </cell>
          <cell r="G6">
            <v>-46.73</v>
          </cell>
          <cell r="H6">
            <v>149.30000000000001</v>
          </cell>
          <cell r="J6">
            <v>560</v>
          </cell>
          <cell r="K6">
            <v>340</v>
          </cell>
          <cell r="L6">
            <v>-169.14</v>
          </cell>
        </row>
        <row r="7">
          <cell r="B7">
            <v>86.37</v>
          </cell>
          <cell r="C7">
            <v>77.12</v>
          </cell>
          <cell r="D7">
            <v>158.32</v>
          </cell>
          <cell r="E7">
            <v>1304.8</v>
          </cell>
          <cell r="F7">
            <v>187.8</v>
          </cell>
          <cell r="G7">
            <v>-12.43</v>
          </cell>
          <cell r="H7">
            <v>157.38</v>
          </cell>
          <cell r="J7">
            <v>560</v>
          </cell>
          <cell r="K7">
            <v>340</v>
          </cell>
          <cell r="L7">
            <v>-169.14</v>
          </cell>
        </row>
      </sheetData>
      <sheetData sheetId="4" refreshError="1"/>
      <sheetData sheetId="5" refreshError="1"/>
      <sheetData sheetId="6" refreshError="1"/>
      <sheetData sheetId="7">
        <row r="7">
          <cell r="D7">
            <v>1001.8699999999997</v>
          </cell>
        </row>
      </sheetData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alculation"/>
      <sheetName val="Composition"/>
      <sheetName val="Fastlane RETI Inbound"/>
      <sheetName val="Prices"/>
      <sheetName val="Journal Entry"/>
      <sheetName val="Opus Info"/>
      <sheetName val="OPUS Data 5.2024"/>
      <sheetName val="OPUS PIVOT - Eastern WA"/>
    </sheetNames>
    <sheetDataSet>
      <sheetData sheetId="0"/>
      <sheetData sheetId="1">
        <row r="6">
          <cell r="J6">
            <v>1672.05</v>
          </cell>
        </row>
        <row r="7">
          <cell r="J7">
            <v>1606</v>
          </cell>
        </row>
        <row r="8">
          <cell r="J8">
            <v>2275.81</v>
          </cell>
        </row>
        <row r="9">
          <cell r="J9">
            <v>187.55</v>
          </cell>
        </row>
        <row r="10">
          <cell r="J10">
            <v>1544.3</v>
          </cell>
        </row>
        <row r="11">
          <cell r="J11">
            <v>424.04</v>
          </cell>
        </row>
        <row r="12">
          <cell r="J12">
            <v>56.12</v>
          </cell>
        </row>
        <row r="13">
          <cell r="J13">
            <v>117.24</v>
          </cell>
        </row>
        <row r="15">
          <cell r="J15">
            <v>75.150000000000006</v>
          </cell>
        </row>
        <row r="16">
          <cell r="J16">
            <v>35.19</v>
          </cell>
        </row>
        <row r="18">
          <cell r="J18">
            <v>85.3</v>
          </cell>
        </row>
        <row r="19">
          <cell r="J19">
            <v>161.9</v>
          </cell>
        </row>
        <row r="20">
          <cell r="J20">
            <v>2007.27</v>
          </cell>
        </row>
      </sheetData>
      <sheetData sheetId="2"/>
      <sheetData sheetId="3">
        <row r="8">
          <cell r="B8">
            <v>93.08</v>
          </cell>
          <cell r="C8">
            <v>81.42</v>
          </cell>
          <cell r="D8">
            <v>169.85</v>
          </cell>
          <cell r="E8">
            <v>1293.8</v>
          </cell>
          <cell r="F8">
            <v>187.66</v>
          </cell>
          <cell r="G8">
            <v>-25.66</v>
          </cell>
          <cell r="H8">
            <v>210</v>
          </cell>
          <cell r="J8">
            <v>600</v>
          </cell>
          <cell r="K8">
            <v>346.65</v>
          </cell>
          <cell r="L8">
            <v>-169.14</v>
          </cell>
        </row>
      </sheetData>
      <sheetData sheetId="4"/>
      <sheetData sheetId="5"/>
      <sheetData sheetId="6"/>
      <sheetData sheetId="7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alculation"/>
      <sheetName val="Composition"/>
      <sheetName val="Fastlane RETI Inbound"/>
      <sheetName val="Prices"/>
      <sheetName val="Journal Entry"/>
      <sheetName val="Opus Info"/>
      <sheetName val="OPUS Data 6.2024"/>
      <sheetName val="OPUS PIVOT - Eastern WA"/>
    </sheetNames>
    <sheetDataSet>
      <sheetData sheetId="0"/>
      <sheetData sheetId="1">
        <row r="6">
          <cell r="L6">
            <v>559.96</v>
          </cell>
        </row>
        <row r="7">
          <cell r="L7">
            <v>1841.43</v>
          </cell>
        </row>
        <row r="8">
          <cell r="L8">
            <v>2489.25</v>
          </cell>
        </row>
        <row r="9">
          <cell r="L9">
            <v>151.91999999999999</v>
          </cell>
        </row>
        <row r="10">
          <cell r="L10">
            <v>1354.6</v>
          </cell>
        </row>
        <row r="11">
          <cell r="L11">
            <v>272.08</v>
          </cell>
        </row>
        <row r="12">
          <cell r="L12">
            <v>44.32</v>
          </cell>
        </row>
        <row r="13">
          <cell r="L13">
            <v>75.88</v>
          </cell>
        </row>
        <row r="15">
          <cell r="L15">
            <v>60.77</v>
          </cell>
        </row>
        <row r="16">
          <cell r="L16">
            <v>29.67</v>
          </cell>
        </row>
        <row r="18">
          <cell r="L18">
            <v>119.65</v>
          </cell>
        </row>
        <row r="19">
          <cell r="L19">
            <v>122.42</v>
          </cell>
        </row>
        <row r="20">
          <cell r="L20">
            <v>1485.93</v>
          </cell>
        </row>
      </sheetData>
      <sheetData sheetId="2"/>
      <sheetData sheetId="3">
        <row r="9">
          <cell r="B9">
            <v>115.15</v>
          </cell>
        </row>
      </sheetData>
      <sheetData sheetId="4"/>
      <sheetData sheetId="5"/>
      <sheetData sheetId="6"/>
      <sheetData sheetId="7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alculation"/>
      <sheetName val="Composition"/>
      <sheetName val="Inbound Pivot"/>
      <sheetName val="RMT Inbound"/>
      <sheetName val="Prices"/>
      <sheetName val="Journal Entry"/>
      <sheetName val="OPUS Data"/>
      <sheetName val="OPUS PIVOT"/>
    </sheetNames>
    <sheetDataSet>
      <sheetData sheetId="0" refreshError="1"/>
      <sheetData sheetId="1">
        <row r="6">
          <cell r="N6">
            <v>160.23249999999999</v>
          </cell>
        </row>
        <row r="7">
          <cell r="N7">
            <v>435.19749999999999</v>
          </cell>
        </row>
        <row r="8">
          <cell r="N8">
            <v>968.7249999999998</v>
          </cell>
        </row>
        <row r="9">
          <cell r="N9">
            <v>81.735375000000019</v>
          </cell>
        </row>
        <row r="10">
          <cell r="N10">
            <v>504.85850000000005</v>
          </cell>
        </row>
        <row r="11">
          <cell r="N11">
            <v>181.92609999999999</v>
          </cell>
        </row>
        <row r="12">
          <cell r="N12">
            <v>14.734</v>
          </cell>
        </row>
        <row r="13">
          <cell r="N13">
            <v>30.875</v>
          </cell>
        </row>
        <row r="14">
          <cell r="N14">
            <v>0</v>
          </cell>
        </row>
        <row r="17">
          <cell r="N17">
            <v>17.847000000000001</v>
          </cell>
        </row>
        <row r="18">
          <cell r="N18">
            <v>79.015209999999996</v>
          </cell>
        </row>
        <row r="20">
          <cell r="N20">
            <v>375.005</v>
          </cell>
        </row>
      </sheetData>
      <sheetData sheetId="2" refreshError="1"/>
      <sheetData sheetId="3" refreshError="1"/>
      <sheetData sheetId="4">
        <row r="10">
          <cell r="B10">
            <v>0</v>
          </cell>
          <cell r="C10">
            <v>83.3</v>
          </cell>
          <cell r="D10">
            <v>138.72999999999999</v>
          </cell>
          <cell r="E10">
            <v>1282.58</v>
          </cell>
          <cell r="F10">
            <v>186.28</v>
          </cell>
          <cell r="G10">
            <v>-32.163466539077618</v>
          </cell>
          <cell r="H10">
            <v>250</v>
          </cell>
          <cell r="J10">
            <v>640</v>
          </cell>
          <cell r="K10">
            <v>220</v>
          </cell>
          <cell r="L10">
            <v>-187.5</v>
          </cell>
        </row>
      </sheetData>
      <sheetData sheetId="5" refreshError="1"/>
      <sheetData sheetId="6" refreshError="1"/>
      <sheetData sheetId="7">
        <row r="12">
          <cell r="D12">
            <v>1554.3299999999997</v>
          </cell>
        </row>
      </sheetData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alculation"/>
      <sheetName val="Composition"/>
      <sheetName val="Inbound Pivot"/>
      <sheetName val="RMT Inbound"/>
      <sheetName val="Prices"/>
      <sheetName val="Journal Entry"/>
      <sheetName val="OPUS Data"/>
      <sheetName val="OPUS PIVOT"/>
    </sheetNames>
    <sheetDataSet>
      <sheetData sheetId="0"/>
      <sheetData sheetId="1">
        <row r="6">
          <cell r="P6">
            <v>0</v>
          </cell>
        </row>
        <row r="7">
          <cell r="P7">
            <v>964.69399999999996</v>
          </cell>
        </row>
        <row r="8">
          <cell r="P8">
            <v>974.6935000000002</v>
          </cell>
        </row>
        <row r="9">
          <cell r="P9">
            <v>86.358820000000009</v>
          </cell>
        </row>
        <row r="10">
          <cell r="P10">
            <v>464.54750000000001</v>
          </cell>
        </row>
        <row r="11">
          <cell r="P11">
            <v>175.66949199999999</v>
          </cell>
        </row>
        <row r="12">
          <cell r="P12">
            <v>41.783299999999997</v>
          </cell>
        </row>
        <row r="13">
          <cell r="P13">
            <v>35.377285999999998</v>
          </cell>
        </row>
        <row r="14">
          <cell r="P14">
            <v>49.288000000000004</v>
          </cell>
        </row>
        <row r="17">
          <cell r="P17">
            <v>1.7964999999999982</v>
          </cell>
        </row>
        <row r="18">
          <cell r="P18">
            <v>64.597102000000007</v>
          </cell>
        </row>
        <row r="20">
          <cell r="P20">
            <v>314.22499999999997</v>
          </cell>
        </row>
      </sheetData>
      <sheetData sheetId="2"/>
      <sheetData sheetId="3"/>
      <sheetData sheetId="4">
        <row r="11">
          <cell r="B11">
            <v>0</v>
          </cell>
          <cell r="C11">
            <v>77.48</v>
          </cell>
          <cell r="D11">
            <v>127.05</v>
          </cell>
          <cell r="E11">
            <v>1405.96</v>
          </cell>
          <cell r="F11">
            <v>186.28</v>
          </cell>
          <cell r="G11">
            <v>-44.395373510016441</v>
          </cell>
          <cell r="H11">
            <v>260</v>
          </cell>
          <cell r="J11">
            <v>405.56</v>
          </cell>
          <cell r="K11">
            <v>200</v>
          </cell>
          <cell r="L11">
            <v>-187.5</v>
          </cell>
        </row>
      </sheetData>
      <sheetData sheetId="5"/>
      <sheetData sheetId="6"/>
      <sheetData sheetId="7">
        <row r="12">
          <cell r="D12">
            <v>1532.7600000000007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EN TA December 23"/>
    </sheetNames>
    <sheetDataSet>
      <sheetData sheetId="0">
        <row r="3">
          <cell r="D3">
            <v>54.245329861544597</v>
          </cell>
          <cell r="E3">
            <v>39.602569019082097</v>
          </cell>
          <cell r="J3">
            <v>372.86210160356802</v>
          </cell>
        </row>
      </sheetData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alculation"/>
      <sheetName val="Composition"/>
      <sheetName val="Inbound Pivot"/>
      <sheetName val="RMT Inbound"/>
      <sheetName val="Prices"/>
      <sheetName val="Journal Entry"/>
      <sheetName val="OPUS Data"/>
      <sheetName val="OPUS PIVOT"/>
    </sheetNames>
    <sheetDataSet>
      <sheetData sheetId="0"/>
      <sheetData sheetId="1">
        <row r="6">
          <cell r="R6">
            <v>36.011000000000003</v>
          </cell>
        </row>
        <row r="7">
          <cell r="R7">
            <v>805.55408049999983</v>
          </cell>
        </row>
        <row r="8">
          <cell r="R8">
            <v>841.63441949999958</v>
          </cell>
        </row>
        <row r="9">
          <cell r="R9">
            <v>102.32389029999999</v>
          </cell>
        </row>
        <row r="10">
          <cell r="R10">
            <v>552.77549999999997</v>
          </cell>
        </row>
        <row r="11">
          <cell r="R11">
            <v>169.27680830000003</v>
          </cell>
        </row>
        <row r="12">
          <cell r="R12">
            <v>25.827331849999997</v>
          </cell>
        </row>
        <row r="13">
          <cell r="R13">
            <v>33.596259400000008</v>
          </cell>
        </row>
        <row r="14">
          <cell r="R14">
            <v>14.345999999999997</v>
          </cell>
        </row>
        <row r="17">
          <cell r="R17">
            <v>87.452500000000001</v>
          </cell>
        </row>
        <row r="18">
          <cell r="R18">
            <v>38.579356000000004</v>
          </cell>
        </row>
        <row r="19">
          <cell r="R19">
            <v>42.01</v>
          </cell>
        </row>
        <row r="20">
          <cell r="R20">
            <v>417.69</v>
          </cell>
        </row>
      </sheetData>
      <sheetData sheetId="2"/>
      <sheetData sheetId="3"/>
      <sheetData sheetId="4">
        <row r="12">
          <cell r="B12">
            <v>100</v>
          </cell>
          <cell r="C12">
            <v>77.319999999999993</v>
          </cell>
          <cell r="D12">
            <v>117.7</v>
          </cell>
          <cell r="E12">
            <v>1528.64</v>
          </cell>
          <cell r="F12">
            <v>237.65</v>
          </cell>
          <cell r="G12">
            <v>-44.395373510016441</v>
          </cell>
          <cell r="H12">
            <v>261.73</v>
          </cell>
          <cell r="J12">
            <v>405.56</v>
          </cell>
          <cell r="K12">
            <v>220</v>
          </cell>
          <cell r="L12">
            <v>-187.5</v>
          </cell>
        </row>
      </sheetData>
      <sheetData sheetId="5"/>
      <sheetData sheetId="6"/>
      <sheetData sheetId="7">
        <row r="12">
          <cell r="D12">
            <v>1532.7600000000007</v>
          </cell>
        </row>
      </sheetData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alculation"/>
      <sheetName val="Composition"/>
      <sheetName val="Inbound Pivot"/>
      <sheetName val="RMT Inbound"/>
      <sheetName val="Prices"/>
      <sheetName val="Journal Entry"/>
      <sheetName val="OPUS Data"/>
      <sheetName val="OPUS PIVOT"/>
    </sheetNames>
    <sheetDataSet>
      <sheetData sheetId="0" refreshError="1"/>
      <sheetData sheetId="1">
        <row r="6">
          <cell r="T6">
            <v>113.05432399999999</v>
          </cell>
        </row>
        <row r="7">
          <cell r="T7">
            <v>792.82663949999983</v>
          </cell>
        </row>
        <row r="8">
          <cell r="T8">
            <v>874.94103649999965</v>
          </cell>
        </row>
        <row r="9">
          <cell r="T9">
            <v>107.069</v>
          </cell>
        </row>
        <row r="10">
          <cell r="T10">
            <v>489.08850000000001</v>
          </cell>
        </row>
        <row r="11">
          <cell r="T11">
            <v>211.08249999999998</v>
          </cell>
        </row>
        <row r="12">
          <cell r="T12">
            <v>60.983499999999992</v>
          </cell>
        </row>
        <row r="13">
          <cell r="T13">
            <v>39.001000000000005</v>
          </cell>
        </row>
        <row r="14">
          <cell r="T14">
            <v>42.366</v>
          </cell>
        </row>
        <row r="17">
          <cell r="T17">
            <v>0</v>
          </cell>
        </row>
        <row r="18">
          <cell r="T18">
            <v>117.6</v>
          </cell>
        </row>
        <row r="20">
          <cell r="T20">
            <v>470.55</v>
          </cell>
        </row>
      </sheetData>
      <sheetData sheetId="2">
        <row r="6">
          <cell r="E6">
            <v>1214.5490000000002</v>
          </cell>
        </row>
      </sheetData>
      <sheetData sheetId="3" refreshError="1"/>
      <sheetData sheetId="4">
        <row r="13">
          <cell r="B13">
            <v>85</v>
          </cell>
          <cell r="C13">
            <v>66.31</v>
          </cell>
          <cell r="D13">
            <v>104.26</v>
          </cell>
          <cell r="E13">
            <v>1484.34</v>
          </cell>
          <cell r="F13">
            <v>181.05</v>
          </cell>
          <cell r="G13">
            <v>-44.395373510016441</v>
          </cell>
          <cell r="H13">
            <v>250</v>
          </cell>
          <cell r="J13">
            <v>880</v>
          </cell>
          <cell r="K13">
            <v>220</v>
          </cell>
          <cell r="L13">
            <v>-187.5</v>
          </cell>
        </row>
      </sheetData>
      <sheetData sheetId="5" refreshError="1"/>
      <sheetData sheetId="6" refreshError="1"/>
      <sheetData sheetId="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ricingDashboard - MUNI_SHARE p"/>
    </sheetNames>
    <sheetDataSet>
      <sheetData sheetId="0">
        <row r="3">
          <cell r="D3">
            <v>61.360028784074402</v>
          </cell>
          <cell r="E3">
            <v>45.893135511854801</v>
          </cell>
          <cell r="J3">
            <v>408.43529733832901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ricingDashboard - MUNI_SHARE p"/>
    </sheetNames>
    <sheetDataSet>
      <sheetData sheetId="0">
        <row r="3">
          <cell r="D3">
            <v>47.482390415721397</v>
          </cell>
          <cell r="E3">
            <v>41.674371893021402</v>
          </cell>
          <cell r="I3">
            <v>336.02007052042501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WEN TA June 24"/>
    </sheetNames>
    <sheetDataSet>
      <sheetData sheetId="0">
        <row r="3">
          <cell r="D3">
            <v>55.943359091903098</v>
          </cell>
          <cell r="E3">
            <v>40.489304356544302</v>
          </cell>
          <cell r="J3">
            <v>277.099106339645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EN CC November 23"/>
    </sheetNames>
    <sheetDataSet>
      <sheetData sheetId="0">
        <row r="3">
          <cell r="D3">
            <v>3914</v>
          </cell>
          <cell r="E3">
            <v>2830</v>
          </cell>
          <cell r="I3">
            <v>21186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EN CC December 23"/>
    </sheetNames>
    <sheetDataSet>
      <sheetData sheetId="0">
        <row r="3">
          <cell r="D3">
            <v>3918</v>
          </cell>
          <cell r="E3">
            <v>2829</v>
          </cell>
          <cell r="J3">
            <v>21235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ricingDashboard - QUANTITY per"/>
    </sheetNames>
    <sheetDataSet>
      <sheetData sheetId="0">
        <row r="3">
          <cell r="D3">
            <v>3911</v>
          </cell>
          <cell r="E3">
            <v>2815</v>
          </cell>
          <cell r="J3">
            <v>21239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ricingDashboard - QUANTITY per"/>
    </sheetNames>
    <sheetDataSet>
      <sheetData sheetId="0">
        <row r="3">
          <cell r="D3">
            <v>3908</v>
          </cell>
          <cell r="E3">
            <v>2827</v>
          </cell>
          <cell r="I3">
            <v>21175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637503-A949-4211-8C37-BDF8A02BFC08}">
  <dimension ref="A1:AJ29"/>
  <sheetViews>
    <sheetView tabSelected="1" workbookViewId="0">
      <selection activeCell="A24" sqref="A24"/>
    </sheetView>
  </sheetViews>
  <sheetFormatPr defaultRowHeight="14.5" x14ac:dyDescent="0.35"/>
  <cols>
    <col min="1" max="1" width="57.26953125" bestFit="1" customWidth="1"/>
    <col min="3" max="3" width="13.453125" bestFit="1" customWidth="1"/>
    <col min="4" max="4" width="14" bestFit="1" customWidth="1"/>
    <col min="5" max="5" width="12.26953125" bestFit="1" customWidth="1"/>
    <col min="7" max="7" width="57.26953125" bestFit="1" customWidth="1"/>
    <col min="9" max="9" width="13.453125" bestFit="1" customWidth="1"/>
    <col min="10" max="10" width="14" bestFit="1" customWidth="1"/>
    <col min="11" max="11" width="12.26953125" bestFit="1" customWidth="1"/>
    <col min="13" max="13" width="57.26953125" bestFit="1" customWidth="1"/>
    <col min="15" max="15" width="13.453125" bestFit="1" customWidth="1"/>
    <col min="16" max="16" width="14" bestFit="1" customWidth="1"/>
    <col min="17" max="17" width="12.26953125" bestFit="1" customWidth="1"/>
    <col min="18" max="18" width="9.1796875" bestFit="1" customWidth="1"/>
    <col min="19" max="19" width="61.26953125" customWidth="1"/>
    <col min="21" max="21" width="13.453125" bestFit="1" customWidth="1"/>
    <col min="22" max="22" width="14" bestFit="1" customWidth="1"/>
    <col min="23" max="23" width="10.7265625" customWidth="1"/>
    <col min="24" max="24" width="11.54296875" customWidth="1"/>
    <col min="25" max="25" width="66.26953125" customWidth="1"/>
    <col min="26" max="26" width="5.7265625" customWidth="1"/>
    <col min="27" max="27" width="13.453125" bestFit="1" customWidth="1"/>
    <col min="28" max="28" width="14" bestFit="1" customWidth="1"/>
    <col min="29" max="29" width="11" bestFit="1" customWidth="1"/>
    <col min="30" max="30" width="9.1796875" bestFit="1" customWidth="1"/>
  </cols>
  <sheetData>
    <row r="1" spans="1:36" ht="23" x14ac:dyDescent="0.5">
      <c r="A1" s="40" t="s">
        <v>54</v>
      </c>
      <c r="B1" s="41"/>
      <c r="C1" s="42"/>
      <c r="D1" s="42"/>
      <c r="E1" s="42"/>
      <c r="F1" s="43"/>
      <c r="G1" s="40" t="s">
        <v>54</v>
      </c>
      <c r="H1" s="41"/>
      <c r="I1" s="42"/>
      <c r="J1" s="42"/>
      <c r="K1" s="42"/>
      <c r="L1" s="43"/>
      <c r="M1" s="40" t="s">
        <v>54</v>
      </c>
      <c r="N1" s="41"/>
      <c r="O1" s="42"/>
      <c r="P1" s="42"/>
      <c r="Q1" s="42"/>
      <c r="R1" s="43"/>
      <c r="S1" s="40" t="s">
        <v>54</v>
      </c>
      <c r="T1" s="41"/>
      <c r="U1" s="42"/>
      <c r="V1" s="42"/>
      <c r="W1" s="42"/>
      <c r="X1" s="43"/>
      <c r="Y1" s="40" t="s">
        <v>54</v>
      </c>
      <c r="Z1" s="41"/>
      <c r="AA1" s="42"/>
      <c r="AB1" s="42"/>
      <c r="AC1" s="42"/>
      <c r="AD1" s="43"/>
      <c r="AE1" s="40" t="s">
        <v>54</v>
      </c>
      <c r="AF1" s="41"/>
      <c r="AG1" s="42"/>
      <c r="AH1" s="42"/>
      <c r="AI1" s="42"/>
      <c r="AJ1" s="43"/>
    </row>
    <row r="2" spans="1:36" ht="15.5" x14ac:dyDescent="0.35">
      <c r="A2" s="44" t="s">
        <v>81</v>
      </c>
      <c r="B2" s="45"/>
      <c r="C2" s="46"/>
      <c r="D2" s="47"/>
      <c r="E2" s="47"/>
      <c r="F2" s="48"/>
      <c r="G2" s="44" t="s">
        <v>77</v>
      </c>
      <c r="H2" s="45"/>
      <c r="I2" s="46"/>
      <c r="J2" s="47"/>
      <c r="K2" s="47"/>
      <c r="L2" s="48"/>
      <c r="M2" s="44" t="s">
        <v>75</v>
      </c>
      <c r="N2" s="45"/>
      <c r="O2" s="46"/>
      <c r="P2" s="47"/>
      <c r="Q2" s="47"/>
      <c r="R2" s="48"/>
      <c r="S2" s="44" t="s">
        <v>70</v>
      </c>
      <c r="T2" s="45"/>
      <c r="U2" s="46"/>
      <c r="V2" s="47"/>
      <c r="W2" s="47"/>
      <c r="X2" s="48"/>
      <c r="Y2" s="44" t="s">
        <v>68</v>
      </c>
      <c r="Z2" s="45"/>
      <c r="AA2" s="46"/>
      <c r="AB2" s="47"/>
      <c r="AC2" s="47"/>
      <c r="AD2" s="48"/>
      <c r="AE2" s="44" t="s">
        <v>44</v>
      </c>
      <c r="AF2" s="45"/>
      <c r="AG2" s="46"/>
      <c r="AH2" s="47"/>
      <c r="AI2" s="47"/>
      <c r="AJ2" s="48"/>
    </row>
    <row r="3" spans="1:36" ht="15.5" x14ac:dyDescent="0.35">
      <c r="A3" s="49"/>
      <c r="B3" s="50"/>
      <c r="C3" s="47"/>
      <c r="D3" s="47"/>
      <c r="E3" s="47"/>
      <c r="F3" s="48"/>
      <c r="G3" s="49"/>
      <c r="H3" s="50"/>
      <c r="I3" s="47"/>
      <c r="J3" s="47"/>
      <c r="K3" s="47"/>
      <c r="L3" s="48"/>
      <c r="M3" s="49"/>
      <c r="N3" s="50"/>
      <c r="O3" s="47"/>
      <c r="P3" s="47"/>
      <c r="Q3" s="47"/>
      <c r="R3" s="48"/>
      <c r="S3" s="49"/>
      <c r="T3" s="50"/>
      <c r="U3" s="47"/>
      <c r="V3" s="47"/>
      <c r="W3" s="47"/>
      <c r="X3" s="48"/>
      <c r="Y3" s="49"/>
      <c r="Z3" s="50"/>
      <c r="AA3" s="47"/>
      <c r="AB3" s="47"/>
      <c r="AC3" s="47"/>
      <c r="AD3" s="48"/>
      <c r="AE3" s="49"/>
      <c r="AF3" s="50"/>
      <c r="AG3" s="47"/>
      <c r="AH3" s="47"/>
      <c r="AI3" s="47"/>
      <c r="AJ3" s="48"/>
    </row>
    <row r="4" spans="1:36" ht="15.5" x14ac:dyDescent="0.35">
      <c r="A4" s="51"/>
      <c r="B4" s="47"/>
      <c r="C4" s="47"/>
      <c r="D4" s="47"/>
      <c r="E4" s="47"/>
      <c r="F4" s="48"/>
      <c r="G4" s="51"/>
      <c r="H4" s="47"/>
      <c r="I4" s="47"/>
      <c r="J4" s="47"/>
      <c r="K4" s="47"/>
      <c r="L4" s="48"/>
      <c r="M4" s="51"/>
      <c r="N4" s="47"/>
      <c r="O4" s="47"/>
      <c r="P4" s="47"/>
      <c r="Q4" s="47"/>
      <c r="R4" s="48"/>
      <c r="S4" s="51"/>
      <c r="T4" s="47"/>
      <c r="U4" s="47"/>
      <c r="V4" s="47"/>
      <c r="W4" s="47"/>
      <c r="X4" s="48"/>
      <c r="Y4" s="51"/>
      <c r="Z4" s="47"/>
      <c r="AA4" s="47"/>
      <c r="AB4" s="47"/>
      <c r="AC4" s="47"/>
      <c r="AD4" s="48"/>
      <c r="AE4" s="51"/>
      <c r="AF4" s="47"/>
      <c r="AG4" s="47"/>
      <c r="AH4" s="47"/>
      <c r="AI4" s="47"/>
      <c r="AJ4" s="48"/>
    </row>
    <row r="5" spans="1:36" ht="15.5" x14ac:dyDescent="0.35">
      <c r="A5" s="113" t="s">
        <v>45</v>
      </c>
      <c r="B5" s="114"/>
      <c r="C5" s="114"/>
      <c r="D5" s="114"/>
      <c r="E5" s="114"/>
      <c r="F5" s="115"/>
      <c r="G5" s="113" t="s">
        <v>45</v>
      </c>
      <c r="H5" s="114"/>
      <c r="I5" s="114"/>
      <c r="J5" s="114"/>
      <c r="K5" s="114"/>
      <c r="L5" s="115"/>
      <c r="M5" s="113" t="s">
        <v>45</v>
      </c>
      <c r="N5" s="114"/>
      <c r="O5" s="114"/>
      <c r="P5" s="114"/>
      <c r="Q5" s="114"/>
      <c r="R5" s="115"/>
      <c r="S5" s="113" t="s">
        <v>45</v>
      </c>
      <c r="T5" s="114"/>
      <c r="U5" s="114"/>
      <c r="V5" s="114"/>
      <c r="W5" s="114"/>
      <c r="X5" s="115"/>
      <c r="Y5" s="113" t="s">
        <v>45</v>
      </c>
      <c r="Z5" s="114"/>
      <c r="AA5" s="114"/>
      <c r="AB5" s="114"/>
      <c r="AC5" s="114"/>
      <c r="AD5" s="115"/>
      <c r="AE5" s="113" t="s">
        <v>45</v>
      </c>
      <c r="AF5" s="114"/>
      <c r="AG5" s="114"/>
      <c r="AH5" s="114"/>
      <c r="AI5" s="114"/>
      <c r="AJ5" s="115"/>
    </row>
    <row r="6" spans="1:36" ht="15.5" x14ac:dyDescent="0.35">
      <c r="A6" s="51"/>
      <c r="B6" s="47"/>
      <c r="C6" s="47"/>
      <c r="D6" s="87"/>
      <c r="E6" s="47"/>
      <c r="F6" s="48"/>
      <c r="G6" s="51"/>
      <c r="H6" s="47"/>
      <c r="I6" s="47"/>
      <c r="J6" s="87"/>
      <c r="K6" s="47"/>
      <c r="L6" s="48"/>
      <c r="M6" s="51"/>
      <c r="N6" s="47"/>
      <c r="O6" s="47"/>
      <c r="P6" s="87"/>
      <c r="Q6" s="47"/>
      <c r="R6" s="48"/>
      <c r="S6" s="51"/>
      <c r="T6" s="47"/>
      <c r="U6" s="47"/>
      <c r="V6" s="87"/>
      <c r="W6" s="47"/>
      <c r="X6" s="48"/>
      <c r="Y6" s="51"/>
      <c r="Z6" s="47"/>
      <c r="AA6" s="47"/>
      <c r="AB6" s="87" t="s">
        <v>62</v>
      </c>
      <c r="AC6" s="47"/>
      <c r="AD6" s="48"/>
      <c r="AE6" s="51"/>
      <c r="AF6" s="47"/>
      <c r="AG6" s="47"/>
      <c r="AH6" s="87" t="s">
        <v>62</v>
      </c>
      <c r="AI6" s="47"/>
      <c r="AJ6" s="48"/>
    </row>
    <row r="7" spans="1:36" ht="15.5" x14ac:dyDescent="0.35">
      <c r="A7" s="51"/>
      <c r="B7" s="47"/>
      <c r="C7" s="52"/>
      <c r="D7" s="52" t="s">
        <v>3</v>
      </c>
      <c r="E7" s="52" t="s">
        <v>39</v>
      </c>
      <c r="F7" s="48"/>
      <c r="G7" s="51"/>
      <c r="H7" s="47"/>
      <c r="I7" s="52"/>
      <c r="J7" s="52" t="s">
        <v>3</v>
      </c>
      <c r="K7" s="52" t="s">
        <v>39</v>
      </c>
      <c r="L7" s="48"/>
      <c r="M7" s="51"/>
      <c r="N7" s="47"/>
      <c r="O7" s="52"/>
      <c r="P7" s="52" t="s">
        <v>3</v>
      </c>
      <c r="Q7" s="52" t="s">
        <v>39</v>
      </c>
      <c r="R7" s="48"/>
      <c r="S7" s="51"/>
      <c r="T7" s="47"/>
      <c r="U7" s="52"/>
      <c r="V7" s="52" t="s">
        <v>3</v>
      </c>
      <c r="W7" s="52" t="s">
        <v>39</v>
      </c>
      <c r="X7" s="48"/>
      <c r="Y7" s="51"/>
      <c r="Z7" s="47"/>
      <c r="AA7" s="52"/>
      <c r="AB7" s="52" t="s">
        <v>3</v>
      </c>
      <c r="AC7" s="52" t="s">
        <v>39</v>
      </c>
      <c r="AD7" s="48"/>
      <c r="AE7" s="51"/>
      <c r="AF7" s="47"/>
      <c r="AG7" s="52"/>
      <c r="AH7" s="52" t="s">
        <v>3</v>
      </c>
      <c r="AI7" s="52" t="s">
        <v>39</v>
      </c>
      <c r="AJ7" s="48"/>
    </row>
    <row r="8" spans="1:36" ht="15.5" x14ac:dyDescent="0.35">
      <c r="A8" s="51"/>
      <c r="B8" s="47"/>
      <c r="C8" s="53" t="s">
        <v>46</v>
      </c>
      <c r="D8" s="53" t="s">
        <v>47</v>
      </c>
      <c r="E8" s="53" t="s">
        <v>48</v>
      </c>
      <c r="F8" s="48"/>
      <c r="G8" s="51"/>
      <c r="H8" s="47"/>
      <c r="I8" s="53" t="s">
        <v>46</v>
      </c>
      <c r="J8" s="53" t="s">
        <v>47</v>
      </c>
      <c r="K8" s="53" t="s">
        <v>48</v>
      </c>
      <c r="L8" s="48"/>
      <c r="M8" s="51"/>
      <c r="N8" s="47"/>
      <c r="O8" s="53" t="s">
        <v>46</v>
      </c>
      <c r="P8" s="53" t="s">
        <v>47</v>
      </c>
      <c r="Q8" s="53" t="s">
        <v>48</v>
      </c>
      <c r="R8" s="48"/>
      <c r="S8" s="51"/>
      <c r="T8" s="47"/>
      <c r="U8" s="53" t="s">
        <v>46</v>
      </c>
      <c r="V8" s="53" t="s">
        <v>47</v>
      </c>
      <c r="W8" s="53" t="s">
        <v>48</v>
      </c>
      <c r="X8" s="48"/>
      <c r="Y8" s="51"/>
      <c r="Z8" s="47"/>
      <c r="AA8" s="53" t="s">
        <v>46</v>
      </c>
      <c r="AB8" s="53" t="s">
        <v>47</v>
      </c>
      <c r="AC8" s="53" t="s">
        <v>48</v>
      </c>
      <c r="AD8" s="48"/>
      <c r="AE8" s="51"/>
      <c r="AF8" s="47"/>
      <c r="AG8" s="53" t="s">
        <v>46</v>
      </c>
      <c r="AH8" s="53" t="s">
        <v>47</v>
      </c>
      <c r="AI8" s="53" t="s">
        <v>48</v>
      </c>
      <c r="AJ8" s="48"/>
    </row>
    <row r="9" spans="1:36" ht="15.5" x14ac:dyDescent="0.35">
      <c r="A9" s="54" t="s">
        <v>76</v>
      </c>
      <c r="B9" s="45"/>
      <c r="C9" s="55"/>
      <c r="D9" s="55"/>
      <c r="E9" s="55"/>
      <c r="F9" s="48"/>
      <c r="G9" s="54" t="s">
        <v>76</v>
      </c>
      <c r="H9" s="45"/>
      <c r="I9" s="55"/>
      <c r="J9" s="55"/>
      <c r="K9" s="55"/>
      <c r="L9" s="48"/>
      <c r="M9" s="54" t="s">
        <v>76</v>
      </c>
      <c r="N9" s="45"/>
      <c r="O9" s="55"/>
      <c r="P9" s="55"/>
      <c r="Q9" s="55"/>
      <c r="R9" s="48"/>
      <c r="S9" s="54" t="s">
        <v>71</v>
      </c>
      <c r="T9" s="45"/>
      <c r="U9" s="55"/>
      <c r="V9" s="55"/>
      <c r="W9" s="55"/>
      <c r="X9" s="48"/>
      <c r="Y9" s="54" t="s">
        <v>69</v>
      </c>
      <c r="Z9" s="45"/>
      <c r="AA9" s="55"/>
      <c r="AB9" s="55"/>
      <c r="AC9" s="55"/>
      <c r="AD9" s="48"/>
      <c r="AE9" s="54" t="s">
        <v>55</v>
      </c>
      <c r="AF9" s="45"/>
      <c r="AG9" s="55"/>
      <c r="AH9" s="55"/>
      <c r="AI9" s="55"/>
      <c r="AJ9" s="48"/>
    </row>
    <row r="10" spans="1:36" ht="15.5" x14ac:dyDescent="0.35">
      <c r="A10" s="51" t="s">
        <v>57</v>
      </c>
      <c r="B10" s="47"/>
      <c r="C10" s="56">
        <f>SUM(Customers!C7:C8)</f>
        <v>13491</v>
      </c>
      <c r="D10" s="57">
        <f>+J11</f>
        <v>1.71</v>
      </c>
      <c r="E10" s="56">
        <f>C10*D10</f>
        <v>23069.61</v>
      </c>
      <c r="F10" s="48"/>
      <c r="G10" s="51" t="s">
        <v>57</v>
      </c>
      <c r="H10" s="47"/>
      <c r="I10" s="56">
        <v>13182</v>
      </c>
      <c r="J10" s="57">
        <v>1.66</v>
      </c>
      <c r="K10" s="56">
        <v>21882.12</v>
      </c>
      <c r="L10" s="48"/>
      <c r="M10" s="51" t="s">
        <v>57</v>
      </c>
      <c r="N10" s="47"/>
      <c r="O10" s="56">
        <v>12573</v>
      </c>
      <c r="P10" s="57">
        <f>+V11</f>
        <v>0.72</v>
      </c>
      <c r="Q10" s="56">
        <f>O10*P10</f>
        <v>9052.56</v>
      </c>
      <c r="R10" s="48"/>
      <c r="S10" s="51" t="s">
        <v>57</v>
      </c>
      <c r="T10" s="47"/>
      <c r="U10" s="56">
        <v>11776</v>
      </c>
      <c r="V10" s="57">
        <f>+AB11</f>
        <v>0.76</v>
      </c>
      <c r="W10" s="56">
        <f>U10*V10</f>
        <v>8949.76</v>
      </c>
      <c r="X10" s="48"/>
      <c r="Y10" s="51" t="s">
        <v>57</v>
      </c>
      <c r="Z10" s="47"/>
      <c r="AA10" s="56">
        <v>11001</v>
      </c>
      <c r="AB10" s="57">
        <v>1.5</v>
      </c>
      <c r="AC10" s="56">
        <f>AA10*AB10</f>
        <v>16501.5</v>
      </c>
      <c r="AD10" s="48"/>
      <c r="AE10" s="51" t="s">
        <v>57</v>
      </c>
      <c r="AF10" s="47"/>
      <c r="AG10" s="56">
        <v>10580</v>
      </c>
      <c r="AH10" s="57">
        <v>1.5</v>
      </c>
      <c r="AI10" s="56">
        <f>AG10*AH10</f>
        <v>15870</v>
      </c>
      <c r="AJ10" s="48"/>
    </row>
    <row r="11" spans="1:36" ht="18.5" x14ac:dyDescent="0.65">
      <c r="A11" s="58" t="s">
        <v>58</v>
      </c>
      <c r="B11" s="59"/>
      <c r="C11" s="60">
        <f>SUM(Customers!C9:C18)</f>
        <v>68499</v>
      </c>
      <c r="D11" s="57">
        <f>+L25</f>
        <v>1</v>
      </c>
      <c r="E11" s="60">
        <f>C11*D11</f>
        <v>68499</v>
      </c>
      <c r="F11" s="48"/>
      <c r="G11" s="58" t="s">
        <v>58</v>
      </c>
      <c r="H11" s="59"/>
      <c r="I11" s="60">
        <v>66813</v>
      </c>
      <c r="J11" s="57">
        <v>1.71</v>
      </c>
      <c r="K11" s="60">
        <v>114250.23</v>
      </c>
      <c r="L11" s="48"/>
      <c r="M11" s="58" t="s">
        <v>58</v>
      </c>
      <c r="N11" s="59"/>
      <c r="O11" s="60">
        <v>64811</v>
      </c>
      <c r="P11" s="57">
        <f>+X25</f>
        <v>1.66</v>
      </c>
      <c r="Q11" s="60">
        <f>O11*P11</f>
        <v>107586.26</v>
      </c>
      <c r="R11" s="48"/>
      <c r="S11" s="58" t="s">
        <v>58</v>
      </c>
      <c r="T11" s="59"/>
      <c r="U11" s="60">
        <v>61519</v>
      </c>
      <c r="V11" s="57">
        <f>+AD25</f>
        <v>0.72</v>
      </c>
      <c r="W11" s="60">
        <f>U11*V11</f>
        <v>44293.68</v>
      </c>
      <c r="X11" s="48"/>
      <c r="Y11" s="58" t="s">
        <v>58</v>
      </c>
      <c r="Z11" s="59"/>
      <c r="AA11" s="60">
        <v>56377</v>
      </c>
      <c r="AB11" s="57">
        <f>+AJ25</f>
        <v>0.76</v>
      </c>
      <c r="AC11" s="60">
        <f>AA11*AB11</f>
        <v>42846.520000000004</v>
      </c>
      <c r="AD11" s="48"/>
      <c r="AE11" s="58" t="s">
        <v>58</v>
      </c>
      <c r="AF11" s="59"/>
      <c r="AG11" s="60">
        <v>54602</v>
      </c>
      <c r="AH11" s="57">
        <v>1.5</v>
      </c>
      <c r="AI11" s="60">
        <f>AG11*AH11</f>
        <v>81903</v>
      </c>
      <c r="AJ11" s="48"/>
    </row>
    <row r="12" spans="1:36" ht="15.5" x14ac:dyDescent="0.35">
      <c r="A12" s="51" t="s">
        <v>39</v>
      </c>
      <c r="B12" s="47"/>
      <c r="C12" s="56">
        <f>SUM(C10:C11)</f>
        <v>81990</v>
      </c>
      <c r="D12" s="47"/>
      <c r="E12" s="56">
        <f>SUM(E10:E11)</f>
        <v>91568.61</v>
      </c>
      <c r="F12" s="48"/>
      <c r="G12" s="51" t="s">
        <v>39</v>
      </c>
      <c r="H12" s="47"/>
      <c r="I12" s="56">
        <v>79995</v>
      </c>
      <c r="J12" s="47"/>
      <c r="K12" s="56">
        <v>136132.35</v>
      </c>
      <c r="L12" s="48"/>
      <c r="M12" s="51" t="s">
        <v>39</v>
      </c>
      <c r="N12" s="47"/>
      <c r="O12" s="56">
        <f>SUM(O10:O11)</f>
        <v>77384</v>
      </c>
      <c r="P12" s="47"/>
      <c r="Q12" s="56">
        <f>SUM(Q10:Q11)</f>
        <v>116638.81999999999</v>
      </c>
      <c r="R12" s="48"/>
      <c r="S12" s="51" t="s">
        <v>39</v>
      </c>
      <c r="T12" s="47"/>
      <c r="U12" s="56">
        <f>SUM(U10:U11)</f>
        <v>73295</v>
      </c>
      <c r="V12" s="47"/>
      <c r="W12" s="56">
        <f>SUM(W10:W11)</f>
        <v>53243.44</v>
      </c>
      <c r="X12" s="48"/>
      <c r="Y12" s="51" t="s">
        <v>39</v>
      </c>
      <c r="Z12" s="47"/>
      <c r="AA12" s="56">
        <f>SUM(AA10:AA11)</f>
        <v>67378</v>
      </c>
      <c r="AB12" s="47"/>
      <c r="AC12" s="56">
        <f>SUM(AC10:AC11)</f>
        <v>59348.020000000004</v>
      </c>
      <c r="AD12" s="48"/>
      <c r="AE12" s="51" t="s">
        <v>39</v>
      </c>
      <c r="AF12" s="47"/>
      <c r="AG12" s="56">
        <f>SUM(AG10:AG11)</f>
        <v>65182</v>
      </c>
      <c r="AH12" s="47"/>
      <c r="AI12" s="56">
        <f>SUM(AI10:AI11)</f>
        <v>97773</v>
      </c>
      <c r="AJ12" s="48"/>
    </row>
    <row r="13" spans="1:36" ht="15.5" x14ac:dyDescent="0.35">
      <c r="A13" s="51"/>
      <c r="B13" s="47"/>
      <c r="C13" s="47"/>
      <c r="D13" s="47"/>
      <c r="E13" s="47"/>
      <c r="F13" s="48"/>
      <c r="G13" s="51"/>
      <c r="H13" s="47"/>
      <c r="I13" s="47"/>
      <c r="J13" s="47"/>
      <c r="K13" s="47"/>
      <c r="L13" s="48"/>
      <c r="M13" s="51"/>
      <c r="N13" s="47"/>
      <c r="O13" s="47"/>
      <c r="P13" s="47"/>
      <c r="Q13" s="47"/>
      <c r="R13" s="48"/>
      <c r="S13" s="51"/>
      <c r="T13" s="47"/>
      <c r="U13" s="47"/>
      <c r="V13" s="47"/>
      <c r="W13" s="47"/>
      <c r="X13" s="48"/>
      <c r="Y13" s="51"/>
      <c r="Z13" s="47"/>
      <c r="AA13" s="47"/>
      <c r="AB13" s="47"/>
      <c r="AC13" s="47"/>
      <c r="AD13" s="48"/>
      <c r="AE13" s="51"/>
      <c r="AF13" s="47"/>
      <c r="AG13" s="47"/>
      <c r="AH13" s="47"/>
      <c r="AI13" s="47"/>
      <c r="AJ13" s="48"/>
    </row>
    <row r="14" spans="1:36" ht="15.5" x14ac:dyDescent="0.35">
      <c r="A14" s="44" t="s">
        <v>49</v>
      </c>
      <c r="B14" s="47"/>
      <c r="C14" s="47"/>
      <c r="D14" s="47"/>
      <c r="E14" s="56">
        <f>'Recycling Revenue'!J20</f>
        <v>121672.29440073977</v>
      </c>
      <c r="F14" s="48"/>
      <c r="G14" s="44" t="s">
        <v>49</v>
      </c>
      <c r="H14" s="47"/>
      <c r="I14" s="47"/>
      <c r="J14" s="47"/>
      <c r="K14" s="56">
        <v>79832.909294252866</v>
      </c>
      <c r="L14" s="48"/>
      <c r="M14" s="44" t="s">
        <v>49</v>
      </c>
      <c r="N14" s="47"/>
      <c r="O14" s="47"/>
      <c r="P14" s="47"/>
      <c r="Q14" s="56">
        <v>132349.97008731353</v>
      </c>
      <c r="R14" s="48"/>
      <c r="S14" s="44" t="s">
        <v>49</v>
      </c>
      <c r="T14" s="47"/>
      <c r="U14" s="47"/>
      <c r="V14" s="47"/>
      <c r="W14" s="56">
        <v>121330.12474071181</v>
      </c>
      <c r="X14" s="48"/>
      <c r="Y14" s="44" t="s">
        <v>49</v>
      </c>
      <c r="Z14" s="47"/>
      <c r="AA14" s="47"/>
      <c r="AB14" s="47"/>
      <c r="AC14" s="56">
        <v>48360.050162964129</v>
      </c>
      <c r="AD14" s="48"/>
      <c r="AE14" s="44" t="s">
        <v>49</v>
      </c>
      <c r="AF14" s="47"/>
      <c r="AG14" s="47"/>
      <c r="AH14" s="47"/>
      <c r="AI14" s="56">
        <v>60789</v>
      </c>
      <c r="AJ14" s="48"/>
    </row>
    <row r="15" spans="1:36" ht="15.5" x14ac:dyDescent="0.35">
      <c r="A15" s="51"/>
      <c r="B15" s="47"/>
      <c r="C15" s="47"/>
      <c r="D15" s="47"/>
      <c r="E15" s="47"/>
      <c r="F15" s="48"/>
      <c r="G15" s="51"/>
      <c r="H15" s="47"/>
      <c r="I15" s="47"/>
      <c r="J15" s="47"/>
      <c r="K15" s="47"/>
      <c r="L15" s="48"/>
      <c r="M15" s="51"/>
      <c r="N15" s="47"/>
      <c r="O15" s="47"/>
      <c r="P15" s="47"/>
      <c r="Q15" s="47"/>
      <c r="R15" s="48"/>
      <c r="S15" s="51"/>
      <c r="T15" s="47"/>
      <c r="U15" s="47"/>
      <c r="V15" s="47"/>
      <c r="W15" s="47"/>
      <c r="X15" s="48"/>
      <c r="Y15" s="51"/>
      <c r="Z15" s="47"/>
      <c r="AA15" s="47"/>
      <c r="AB15" s="47"/>
      <c r="AC15" s="47"/>
      <c r="AD15" s="48"/>
      <c r="AE15" s="51"/>
      <c r="AF15" s="47"/>
      <c r="AG15" s="47"/>
      <c r="AH15" s="47"/>
      <c r="AI15" s="47"/>
      <c r="AJ15" s="48"/>
    </row>
    <row r="16" spans="1:36" ht="15.5" x14ac:dyDescent="0.35">
      <c r="A16" s="51" t="s">
        <v>50</v>
      </c>
      <c r="B16" s="47"/>
      <c r="C16" s="47"/>
      <c r="D16" s="47"/>
      <c r="E16" s="56">
        <f>E14-E12</f>
        <v>30103.684400739774</v>
      </c>
      <c r="F16" s="48"/>
      <c r="G16" s="51" t="s">
        <v>50</v>
      </c>
      <c r="H16" s="47"/>
      <c r="I16" s="47"/>
      <c r="J16" s="47"/>
      <c r="K16" s="56">
        <v>-56299.44070574714</v>
      </c>
      <c r="L16" s="48"/>
      <c r="M16" s="51" t="s">
        <v>50</v>
      </c>
      <c r="N16" s="47"/>
      <c r="O16" s="47"/>
      <c r="P16" s="47"/>
      <c r="Q16" s="56">
        <f>Q14-Q12</f>
        <v>15711.150087313537</v>
      </c>
      <c r="R16" s="48"/>
      <c r="S16" s="51" t="s">
        <v>50</v>
      </c>
      <c r="T16" s="47"/>
      <c r="U16" s="47"/>
      <c r="V16" s="47"/>
      <c r="W16" s="56">
        <f>W14-W12</f>
        <v>68086.684740711804</v>
      </c>
      <c r="X16" s="48"/>
      <c r="Y16" s="51" t="s">
        <v>50</v>
      </c>
      <c r="Z16" s="47"/>
      <c r="AA16" s="47"/>
      <c r="AB16" s="47"/>
      <c r="AC16" s="56">
        <f>AC14-AC12</f>
        <v>-10987.969837035875</v>
      </c>
      <c r="AD16" s="48"/>
      <c r="AE16" s="51" t="s">
        <v>50</v>
      </c>
      <c r="AF16" s="47"/>
      <c r="AG16" s="47"/>
      <c r="AH16" s="47"/>
      <c r="AI16" s="56">
        <f>AI14-AI12</f>
        <v>-36984</v>
      </c>
      <c r="AJ16" s="48"/>
    </row>
    <row r="17" spans="1:36" ht="15.5" x14ac:dyDescent="0.35">
      <c r="A17" s="51"/>
      <c r="B17" s="47"/>
      <c r="C17" s="47"/>
      <c r="D17" s="47"/>
      <c r="E17" s="47"/>
      <c r="F17" s="48"/>
      <c r="G17" s="51"/>
      <c r="H17" s="47"/>
      <c r="I17" s="47"/>
      <c r="J17" s="47"/>
      <c r="K17" s="47"/>
      <c r="L17" s="48"/>
      <c r="M17" s="51"/>
      <c r="N17" s="47"/>
      <c r="O17" s="47"/>
      <c r="P17" s="47"/>
      <c r="Q17" s="47"/>
      <c r="R17" s="48"/>
      <c r="S17" s="51"/>
      <c r="T17" s="47"/>
      <c r="U17" s="47"/>
      <c r="V17" s="47"/>
      <c r="W17" s="47"/>
      <c r="X17" s="48"/>
      <c r="Y17" s="51"/>
      <c r="Z17" s="47"/>
      <c r="AA17" s="47"/>
      <c r="AB17" s="47"/>
      <c r="AC17" s="47"/>
      <c r="AD17" s="48"/>
      <c r="AE17" s="51"/>
      <c r="AF17" s="47"/>
      <c r="AG17" s="47"/>
      <c r="AH17" s="47"/>
      <c r="AI17" s="47"/>
      <c r="AJ17" s="48"/>
    </row>
    <row r="18" spans="1:36" ht="15.5" x14ac:dyDescent="0.35">
      <c r="A18" s="51" t="s">
        <v>15</v>
      </c>
      <c r="B18" s="47"/>
      <c r="C18" s="47"/>
      <c r="D18" s="47"/>
      <c r="E18" s="56">
        <f>+C12</f>
        <v>81990</v>
      </c>
      <c r="F18" s="48"/>
      <c r="G18" s="51" t="s">
        <v>15</v>
      </c>
      <c r="H18" s="47"/>
      <c r="I18" s="47"/>
      <c r="J18" s="47"/>
      <c r="K18" s="56">
        <v>79995</v>
      </c>
      <c r="L18" s="48"/>
      <c r="M18" s="51" t="s">
        <v>15</v>
      </c>
      <c r="N18" s="47"/>
      <c r="O18" s="47"/>
      <c r="P18" s="47"/>
      <c r="Q18" s="56">
        <f>+O12</f>
        <v>77384</v>
      </c>
      <c r="R18" s="48"/>
      <c r="S18" s="51" t="s">
        <v>15</v>
      </c>
      <c r="T18" s="47"/>
      <c r="U18" s="47"/>
      <c r="V18" s="47"/>
      <c r="W18" s="56">
        <f>+U12</f>
        <v>73295</v>
      </c>
      <c r="X18" s="48"/>
      <c r="Y18" s="51" t="s">
        <v>15</v>
      </c>
      <c r="Z18" s="47"/>
      <c r="AA18" s="47"/>
      <c r="AB18" s="47"/>
      <c r="AC18" s="56">
        <f>+AA12</f>
        <v>67378</v>
      </c>
      <c r="AD18" s="48"/>
      <c r="AE18" s="51" t="s">
        <v>15</v>
      </c>
      <c r="AF18" s="47"/>
      <c r="AG18" s="47"/>
      <c r="AH18" s="47"/>
      <c r="AI18" s="56">
        <f>+AG12</f>
        <v>65182</v>
      </c>
      <c r="AJ18" s="48"/>
    </row>
    <row r="19" spans="1:36" ht="15.5" x14ac:dyDescent="0.35">
      <c r="A19" s="51"/>
      <c r="B19" s="47"/>
      <c r="C19" s="47"/>
      <c r="D19" s="47"/>
      <c r="E19" s="47"/>
      <c r="F19" s="48"/>
      <c r="G19" s="51"/>
      <c r="H19" s="47"/>
      <c r="I19" s="47"/>
      <c r="J19" s="47"/>
      <c r="K19" s="47"/>
      <c r="L19" s="48"/>
      <c r="M19" s="51"/>
      <c r="N19" s="47"/>
      <c r="O19" s="47"/>
      <c r="P19" s="47"/>
      <c r="Q19" s="47"/>
      <c r="R19" s="48"/>
      <c r="S19" s="51"/>
      <c r="T19" s="47"/>
      <c r="U19" s="47"/>
      <c r="V19" s="47"/>
      <c r="W19" s="47"/>
      <c r="X19" s="48"/>
      <c r="Y19" s="51"/>
      <c r="Z19" s="47"/>
      <c r="AA19" s="47"/>
      <c r="AB19" s="47"/>
      <c r="AC19" s="47"/>
      <c r="AD19" s="48"/>
      <c r="AE19" s="51"/>
      <c r="AF19" s="47"/>
      <c r="AG19" s="47"/>
      <c r="AH19" s="47"/>
      <c r="AI19" s="47"/>
      <c r="AJ19" s="48"/>
    </row>
    <row r="20" spans="1:36" ht="15.5" x14ac:dyDescent="0.35">
      <c r="A20" s="51" t="s">
        <v>82</v>
      </c>
      <c r="B20" s="47"/>
      <c r="C20" s="47"/>
      <c r="D20" s="47"/>
      <c r="E20" s="47"/>
      <c r="F20" s="61">
        <f>+E16/E18</f>
        <v>0.36716287840882761</v>
      </c>
      <c r="G20" s="51" t="s">
        <v>78</v>
      </c>
      <c r="H20" s="47"/>
      <c r="I20" s="47"/>
      <c r="J20" s="47"/>
      <c r="K20" s="47"/>
      <c r="L20" s="61">
        <v>-0.70378699550905854</v>
      </c>
      <c r="M20" s="51" t="s">
        <v>72</v>
      </c>
      <c r="N20" s="47"/>
      <c r="O20" s="47"/>
      <c r="P20" s="47"/>
      <c r="Q20" s="47"/>
      <c r="R20" s="61">
        <f>+Q16/Q18</f>
        <v>0.20302840493271912</v>
      </c>
      <c r="S20" s="51" t="s">
        <v>72</v>
      </c>
      <c r="T20" s="47"/>
      <c r="U20" s="47"/>
      <c r="V20" s="47"/>
      <c r="W20" s="47"/>
      <c r="X20" s="61">
        <f>+W16/W18</f>
        <v>0.92894037438722699</v>
      </c>
      <c r="Y20" s="51" t="s">
        <v>65</v>
      </c>
      <c r="Z20" s="47"/>
      <c r="AA20" s="47"/>
      <c r="AB20" s="47"/>
      <c r="AC20" s="47"/>
      <c r="AD20" s="61">
        <f>+AC16/AC18</f>
        <v>-0.1630794894036017</v>
      </c>
      <c r="AE20" s="51" t="s">
        <v>51</v>
      </c>
      <c r="AF20" s="47"/>
      <c r="AG20" s="47"/>
      <c r="AH20" s="47"/>
      <c r="AI20" s="47"/>
      <c r="AJ20" s="61">
        <f>+AI16/AI18</f>
        <v>-0.56739590684544816</v>
      </c>
    </row>
    <row r="21" spans="1:36" ht="15.5" x14ac:dyDescent="0.35">
      <c r="A21" s="51"/>
      <c r="B21" s="47"/>
      <c r="C21" s="47"/>
      <c r="D21" s="47"/>
      <c r="E21" s="47"/>
      <c r="F21" s="62"/>
      <c r="G21" s="51"/>
      <c r="H21" s="47"/>
      <c r="I21" s="47"/>
      <c r="J21" s="47"/>
      <c r="K21" s="47"/>
      <c r="L21" s="62"/>
      <c r="M21" s="51"/>
      <c r="N21" s="47"/>
      <c r="O21" s="47"/>
      <c r="P21" s="47"/>
      <c r="Q21" s="47"/>
      <c r="R21" s="62"/>
      <c r="S21" s="51"/>
      <c r="T21" s="47"/>
      <c r="U21" s="47"/>
      <c r="V21" s="47"/>
      <c r="W21" s="47"/>
      <c r="X21" s="62"/>
      <c r="Y21" s="51"/>
      <c r="Z21" s="47"/>
      <c r="AA21" s="47"/>
      <c r="AB21" s="47"/>
      <c r="AC21" s="47"/>
      <c r="AD21" s="62"/>
      <c r="AE21" s="51"/>
      <c r="AF21" s="47"/>
      <c r="AG21" s="47"/>
      <c r="AH21" s="47"/>
      <c r="AI21" s="47"/>
      <c r="AJ21" s="62"/>
    </row>
    <row r="22" spans="1:36" ht="15.5" x14ac:dyDescent="0.35">
      <c r="A22" s="51"/>
      <c r="B22" s="47"/>
      <c r="C22" s="47"/>
      <c r="D22" s="47"/>
      <c r="E22" s="47"/>
      <c r="F22" s="62"/>
      <c r="G22" s="51"/>
      <c r="H22" s="47"/>
      <c r="I22" s="47"/>
      <c r="J22" s="47"/>
      <c r="K22" s="47"/>
      <c r="L22" s="62"/>
      <c r="M22" s="51"/>
      <c r="N22" s="47"/>
      <c r="O22" s="47"/>
      <c r="P22" s="47"/>
      <c r="Q22" s="47"/>
      <c r="R22" s="62"/>
      <c r="S22" s="51"/>
      <c r="T22" s="47"/>
      <c r="U22" s="47"/>
      <c r="V22" s="47"/>
      <c r="W22" s="47"/>
      <c r="X22" s="62"/>
      <c r="Y22" s="51"/>
      <c r="Z22" s="47"/>
      <c r="AA22" s="47"/>
      <c r="AB22" s="47"/>
      <c r="AC22" s="47"/>
      <c r="AD22" s="62"/>
      <c r="AE22" s="51"/>
      <c r="AF22" s="47"/>
      <c r="AG22" s="47"/>
      <c r="AH22" s="47"/>
      <c r="AI22" s="47"/>
      <c r="AJ22" s="62"/>
    </row>
    <row r="23" spans="1:36" ht="15.5" x14ac:dyDescent="0.35">
      <c r="A23" s="54" t="s">
        <v>83</v>
      </c>
      <c r="B23" s="45"/>
      <c r="C23" s="47"/>
      <c r="D23" s="47"/>
      <c r="E23" s="63">
        <f>+E14</f>
        <v>121672.29440073977</v>
      </c>
      <c r="F23" s="62"/>
      <c r="G23" s="54" t="str">
        <f>+G9</f>
        <v>Projected Revenue Nov. 2022- Oct. 2023</v>
      </c>
      <c r="H23" s="45"/>
      <c r="I23" s="47"/>
      <c r="J23" s="47"/>
      <c r="K23" s="63">
        <v>79832.909294252866</v>
      </c>
      <c r="L23" s="62"/>
      <c r="M23" s="54" t="str">
        <f>+M9</f>
        <v>Projected Revenue Nov. 2022- Oct. 2023</v>
      </c>
      <c r="N23" s="45"/>
      <c r="O23" s="47"/>
      <c r="P23" s="47"/>
      <c r="Q23" s="63">
        <f>+Q14</f>
        <v>132349.97008731353</v>
      </c>
      <c r="R23" s="62"/>
      <c r="S23" s="54" t="s">
        <v>73</v>
      </c>
      <c r="T23" s="45"/>
      <c r="U23" s="47"/>
      <c r="V23" s="47"/>
      <c r="W23" s="63">
        <f>+W14</f>
        <v>121330.12474071181</v>
      </c>
      <c r="X23" s="62"/>
      <c r="Y23" s="54" t="s">
        <v>67</v>
      </c>
      <c r="Z23" s="45"/>
      <c r="AA23" s="47"/>
      <c r="AB23" s="47"/>
      <c r="AC23" s="63">
        <f>+AC14</f>
        <v>48360.050162964129</v>
      </c>
      <c r="AD23" s="62"/>
      <c r="AE23" s="54" t="s">
        <v>56</v>
      </c>
      <c r="AF23" s="45"/>
      <c r="AG23" s="47"/>
      <c r="AH23" s="47"/>
      <c r="AI23" s="63">
        <v>49281</v>
      </c>
      <c r="AJ23" s="62"/>
    </row>
    <row r="24" spans="1:36" ht="15.5" x14ac:dyDescent="0.35">
      <c r="A24" s="51" t="s">
        <v>61</v>
      </c>
      <c r="B24" s="47"/>
      <c r="C24" s="47"/>
      <c r="D24" s="47"/>
      <c r="E24" s="56">
        <f>+C12</f>
        <v>81990</v>
      </c>
      <c r="F24" s="62"/>
      <c r="G24" s="51" t="s">
        <v>61</v>
      </c>
      <c r="H24" s="47"/>
      <c r="I24" s="47"/>
      <c r="J24" s="47"/>
      <c r="K24" s="56">
        <v>79995</v>
      </c>
      <c r="L24" s="62"/>
      <c r="M24" s="51" t="s">
        <v>61</v>
      </c>
      <c r="N24" s="47"/>
      <c r="O24" s="47"/>
      <c r="P24" s="47"/>
      <c r="Q24" s="56">
        <f>+O12</f>
        <v>77384</v>
      </c>
      <c r="R24" s="62"/>
      <c r="S24" s="51" t="s">
        <v>61</v>
      </c>
      <c r="T24" s="47"/>
      <c r="U24" s="47"/>
      <c r="V24" s="47"/>
      <c r="W24" s="56">
        <f>+U12</f>
        <v>73295</v>
      </c>
      <c r="X24" s="62"/>
      <c r="Y24" s="51" t="s">
        <v>61</v>
      </c>
      <c r="Z24" s="47"/>
      <c r="AA24" s="47"/>
      <c r="AB24" s="47"/>
      <c r="AC24" s="56">
        <f>+AA12</f>
        <v>67378</v>
      </c>
      <c r="AD24" s="62"/>
      <c r="AE24" s="51" t="s">
        <v>61</v>
      </c>
      <c r="AF24" s="47"/>
      <c r="AG24" s="47"/>
      <c r="AH24" s="47"/>
      <c r="AI24" s="56">
        <f>+AG12</f>
        <v>65182</v>
      </c>
      <c r="AJ24" s="62"/>
    </row>
    <row r="25" spans="1:36" ht="18.5" x14ac:dyDescent="0.65">
      <c r="A25" s="51" t="s">
        <v>52</v>
      </c>
      <c r="B25" s="47"/>
      <c r="C25" s="47"/>
      <c r="D25" s="47"/>
      <c r="E25" s="47"/>
      <c r="F25" s="64">
        <f>ROUND(+E23/E24,2)</f>
        <v>1.48</v>
      </c>
      <c r="G25" s="51" t="s">
        <v>52</v>
      </c>
      <c r="H25" s="47"/>
      <c r="I25" s="47"/>
      <c r="J25" s="47"/>
      <c r="K25" s="47"/>
      <c r="L25" s="64">
        <v>1</v>
      </c>
      <c r="M25" s="51" t="s">
        <v>52</v>
      </c>
      <c r="N25" s="47"/>
      <c r="O25" s="47"/>
      <c r="P25" s="47"/>
      <c r="Q25" s="47"/>
      <c r="R25" s="64">
        <f>ROUND(+Q23/Q24,2)</f>
        <v>1.71</v>
      </c>
      <c r="S25" s="51" t="s">
        <v>52</v>
      </c>
      <c r="T25" s="47"/>
      <c r="U25" s="47"/>
      <c r="V25" s="47"/>
      <c r="W25" s="47"/>
      <c r="X25" s="64">
        <f>ROUND(+W23/W24,2)</f>
        <v>1.66</v>
      </c>
      <c r="Y25" s="51" t="s">
        <v>52</v>
      </c>
      <c r="Z25" s="47"/>
      <c r="AA25" s="47"/>
      <c r="AB25" s="47"/>
      <c r="AC25" s="47"/>
      <c r="AD25" s="64">
        <f>ROUND(+AC23/AC24,2)</f>
        <v>0.72</v>
      </c>
      <c r="AE25" s="51" t="s">
        <v>52</v>
      </c>
      <c r="AF25" s="47"/>
      <c r="AG25" s="47"/>
      <c r="AH25" s="47"/>
      <c r="AI25" s="47"/>
      <c r="AJ25" s="64">
        <f>ROUND(+AI23/AI24,2)</f>
        <v>0.76</v>
      </c>
    </row>
    <row r="26" spans="1:36" ht="15.5" x14ac:dyDescent="0.35">
      <c r="A26" s="51"/>
      <c r="B26" s="47"/>
      <c r="C26" s="47"/>
      <c r="D26" s="47"/>
      <c r="E26" s="47"/>
      <c r="F26" s="62"/>
      <c r="G26" s="51"/>
      <c r="H26" s="47"/>
      <c r="I26" s="47"/>
      <c r="J26" s="47"/>
      <c r="K26" s="47"/>
      <c r="L26" s="62"/>
      <c r="M26" s="51"/>
      <c r="N26" s="47"/>
      <c r="O26" s="47"/>
      <c r="P26" s="47"/>
      <c r="Q26" s="47"/>
      <c r="R26" s="62"/>
      <c r="S26" s="51"/>
      <c r="T26" s="47"/>
      <c r="U26" s="47"/>
      <c r="V26" s="47"/>
      <c r="W26" s="47"/>
      <c r="X26" s="62"/>
      <c r="Y26" s="51"/>
      <c r="Z26" s="47"/>
      <c r="AA26" s="47"/>
      <c r="AB26" s="47"/>
      <c r="AC26" s="47"/>
      <c r="AD26" s="62"/>
      <c r="AE26" s="51"/>
      <c r="AF26" s="47"/>
      <c r="AG26" s="47"/>
      <c r="AH26" s="47"/>
      <c r="AI26" s="47"/>
      <c r="AJ26" s="62"/>
    </row>
    <row r="27" spans="1:36" ht="16" thickBot="1" x14ac:dyDescent="0.4">
      <c r="A27" s="44" t="s">
        <v>53</v>
      </c>
      <c r="B27" s="45"/>
      <c r="C27" s="47"/>
      <c r="D27" s="47"/>
      <c r="E27" s="47"/>
      <c r="F27" s="65">
        <f>SUM(F20:F25)</f>
        <v>1.8471628784088276</v>
      </c>
      <c r="G27" s="44" t="s">
        <v>53</v>
      </c>
      <c r="H27" s="45"/>
      <c r="I27" s="47"/>
      <c r="J27" s="47"/>
      <c r="K27" s="47"/>
      <c r="L27" s="65">
        <v>0.29621300449094146</v>
      </c>
      <c r="M27" s="44" t="s">
        <v>53</v>
      </c>
      <c r="N27" s="45"/>
      <c r="O27" s="47"/>
      <c r="P27" s="47"/>
      <c r="Q27" s="47"/>
      <c r="R27" s="65">
        <f>SUM(R20:R25)</f>
        <v>1.9130284049327191</v>
      </c>
      <c r="S27" s="44" t="s">
        <v>53</v>
      </c>
      <c r="T27" s="45"/>
      <c r="U27" s="47"/>
      <c r="V27" s="47"/>
      <c r="W27" s="47"/>
      <c r="X27" s="65">
        <f>SUM(X20:X25)</f>
        <v>2.588940374387227</v>
      </c>
      <c r="Y27" s="44" t="s">
        <v>53</v>
      </c>
      <c r="Z27" s="45"/>
      <c r="AA27" s="47"/>
      <c r="AB27" s="47"/>
      <c r="AC27" s="47"/>
      <c r="AD27" s="65">
        <f>SUM(AD20:AD25)</f>
        <v>0.55692051059639824</v>
      </c>
      <c r="AE27" s="44" t="s">
        <v>53</v>
      </c>
      <c r="AF27" s="45"/>
      <c r="AG27" s="47"/>
      <c r="AH27" s="47"/>
      <c r="AI27" s="47"/>
      <c r="AJ27" s="65">
        <f>SUM(AJ20:AJ25)</f>
        <v>0.19260409315455185</v>
      </c>
    </row>
    <row r="28" spans="1:36" ht="16" thickTop="1" x14ac:dyDescent="0.35">
      <c r="A28" s="44"/>
      <c r="B28" s="45"/>
      <c r="C28" s="47"/>
      <c r="D28" s="47"/>
      <c r="E28" s="47"/>
      <c r="F28" s="66"/>
      <c r="G28" s="44"/>
      <c r="H28" s="45"/>
      <c r="I28" s="47"/>
      <c r="J28" s="47"/>
      <c r="K28" s="47"/>
      <c r="L28" s="66"/>
      <c r="M28" s="44"/>
      <c r="N28" s="45"/>
      <c r="O28" s="47"/>
      <c r="P28" s="47"/>
      <c r="Q28" s="47"/>
      <c r="R28" s="66"/>
      <c r="S28" s="44"/>
      <c r="T28" s="45"/>
      <c r="U28" s="47"/>
      <c r="V28" s="47"/>
      <c r="W28" s="47"/>
      <c r="X28" s="66"/>
      <c r="Y28" s="44"/>
      <c r="Z28" s="45"/>
      <c r="AA28" s="47"/>
      <c r="AB28" s="47"/>
      <c r="AC28" s="47"/>
      <c r="AD28" s="66"/>
      <c r="AE28" s="44"/>
      <c r="AF28" s="45"/>
      <c r="AG28" s="47"/>
      <c r="AH28" s="47"/>
      <c r="AI28" s="47"/>
      <c r="AJ28" s="66"/>
    </row>
    <row r="29" spans="1:36" ht="15" thickBot="1" x14ac:dyDescent="0.4">
      <c r="A29" s="67"/>
      <c r="B29" s="68"/>
      <c r="C29" s="68"/>
      <c r="D29" s="68"/>
      <c r="E29" s="68"/>
      <c r="F29" s="69"/>
      <c r="G29" s="67"/>
      <c r="H29" s="68"/>
      <c r="I29" s="68"/>
      <c r="J29" s="68"/>
      <c r="K29" s="68"/>
      <c r="L29" s="69"/>
      <c r="M29" s="67"/>
      <c r="N29" s="68"/>
      <c r="O29" s="68"/>
      <c r="P29" s="68"/>
      <c r="Q29" s="68"/>
      <c r="R29" s="69"/>
      <c r="S29" s="67"/>
      <c r="T29" s="68"/>
      <c r="U29" s="68"/>
      <c r="V29" s="68"/>
      <c r="W29" s="68"/>
      <c r="X29" s="69"/>
      <c r="Y29" s="67"/>
      <c r="Z29" s="68"/>
      <c r="AA29" s="68"/>
      <c r="AB29" s="68"/>
      <c r="AC29" s="68"/>
      <c r="AD29" s="69"/>
      <c r="AE29" s="67"/>
      <c r="AF29" s="68"/>
      <c r="AG29" s="68"/>
      <c r="AH29" s="68"/>
      <c r="AI29" s="68"/>
      <c r="AJ29" s="69"/>
    </row>
  </sheetData>
  <mergeCells count="6">
    <mergeCell ref="A5:F5"/>
    <mergeCell ref="AE5:AJ5"/>
    <mergeCell ref="Y5:AD5"/>
    <mergeCell ref="S5:X5"/>
    <mergeCell ref="M5:R5"/>
    <mergeCell ref="G5:L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988A78-3E21-4368-9B4C-96C8B1ABB500}">
  <dimension ref="A1:M35"/>
  <sheetViews>
    <sheetView workbookViewId="0">
      <selection activeCell="J20" sqref="J20"/>
    </sheetView>
  </sheetViews>
  <sheetFormatPr defaultRowHeight="14.5" x14ac:dyDescent="0.35"/>
  <cols>
    <col min="1" max="1" width="11.453125" customWidth="1"/>
    <col min="3" max="3" width="9.54296875" bestFit="1" customWidth="1"/>
    <col min="4" max="4" width="12.81640625" customWidth="1"/>
    <col min="5" max="5" width="15" customWidth="1"/>
    <col min="6" max="6" width="9.54296875" customWidth="1"/>
    <col min="8" max="8" width="9.54296875" bestFit="1" customWidth="1"/>
    <col min="10" max="10" width="11.54296875" bestFit="1" customWidth="1"/>
    <col min="11" max="11" width="9.453125" bestFit="1" customWidth="1"/>
  </cols>
  <sheetData>
    <row r="1" spans="1:10" ht="23" x14ac:dyDescent="0.5">
      <c r="A1" s="1" t="s">
        <v>0</v>
      </c>
    </row>
    <row r="2" spans="1:10" ht="21" x14ac:dyDescent="0.5">
      <c r="A2" s="89" t="s">
        <v>64</v>
      </c>
    </row>
    <row r="3" spans="1:10" ht="18.5" x14ac:dyDescent="0.45">
      <c r="A3" s="5"/>
    </row>
    <row r="5" spans="1:10" ht="15.5" x14ac:dyDescent="0.35">
      <c r="C5" s="116" t="s">
        <v>41</v>
      </c>
      <c r="D5" s="116"/>
      <c r="E5" s="116"/>
    </row>
    <row r="6" spans="1:10" x14ac:dyDescent="0.35">
      <c r="F6" s="13" t="s">
        <v>42</v>
      </c>
      <c r="G6" s="13" t="s">
        <v>40</v>
      </c>
      <c r="H6" s="13" t="s">
        <v>41</v>
      </c>
      <c r="I6" s="77" t="s">
        <v>59</v>
      </c>
      <c r="J6" s="77" t="s">
        <v>3</v>
      </c>
    </row>
    <row r="7" spans="1:10" x14ac:dyDescent="0.35">
      <c r="A7" s="29" t="s">
        <v>63</v>
      </c>
      <c r="C7" s="12" t="s">
        <v>39</v>
      </c>
      <c r="D7" s="12" t="s">
        <v>38</v>
      </c>
      <c r="E7" s="12" t="s">
        <v>37</v>
      </c>
      <c r="F7" s="12" t="s">
        <v>43</v>
      </c>
      <c r="G7" s="12" t="s">
        <v>41</v>
      </c>
      <c r="H7" s="12" t="s">
        <v>4</v>
      </c>
      <c r="I7" s="12" t="s">
        <v>60</v>
      </c>
      <c r="J7" s="12" t="s">
        <v>5</v>
      </c>
    </row>
    <row r="8" spans="1:10" x14ac:dyDescent="0.35">
      <c r="A8" t="s">
        <v>79</v>
      </c>
      <c r="C8" s="2">
        <f t="shared" ref="C8:C18" si="0">+D8+E8</f>
        <v>361.10976725235105</v>
      </c>
      <c r="D8" s="98">
        <f>'[1]WEN TA November 23'!$J$3-E8</f>
        <v>270.36234129724062</v>
      </c>
      <c r="E8" s="98">
        <f>'[1]WEN TA November 23'!$D$3+'[1]WEN TA November 23'!$E$3</f>
        <v>90.747425955110401</v>
      </c>
      <c r="F8" s="39">
        <f>+'Rebate Data'!C$16</f>
        <v>0.16469999999999999</v>
      </c>
      <c r="G8" s="37">
        <f>-F8*E8</f>
        <v>-14.946101054806682</v>
      </c>
      <c r="H8" s="37">
        <f>+G8+E8</f>
        <v>75.801324900303712</v>
      </c>
      <c r="I8" s="78">
        <f>+'SMaRT Tons Sold'!D8</f>
        <v>93.01439482820544</v>
      </c>
      <c r="J8" s="3">
        <f>+I8*H8</f>
        <v>7050.6143627779302</v>
      </c>
    </row>
    <row r="9" spans="1:10" x14ac:dyDescent="0.35">
      <c r="A9" t="s">
        <v>14</v>
      </c>
      <c r="C9" s="2">
        <f t="shared" si="0"/>
        <v>372.86210160356802</v>
      </c>
      <c r="D9" s="98">
        <f>'[2]WEN TA December 23'!$J$3-E9</f>
        <v>279.01420272294132</v>
      </c>
      <c r="E9" s="98">
        <f>'[2]WEN TA December 23'!$D$3+'[2]WEN TA December 23'!$E$3</f>
        <v>93.847898880626701</v>
      </c>
      <c r="F9" s="39">
        <f>+'Rebate Data'!E$16</f>
        <v>0.18451845184518453</v>
      </c>
      <c r="G9" s="37">
        <f t="shared" ref="G9:G19" si="1">-F9*E9</f>
        <v>-17.316669010376664</v>
      </c>
      <c r="H9" s="37">
        <f t="shared" ref="H9:H19" si="2">+G9+E9</f>
        <v>76.53122987025003</v>
      </c>
      <c r="I9" s="78">
        <f>+'SMaRT Tons Sold'!D9</f>
        <v>113.53706156487613</v>
      </c>
      <c r="J9" s="3">
        <f t="shared" ref="J9:J19" si="3">+I9*H9</f>
        <v>8689.1309574142651</v>
      </c>
    </row>
    <row r="10" spans="1:10" x14ac:dyDescent="0.35">
      <c r="A10" t="s">
        <v>80</v>
      </c>
      <c r="C10" s="2">
        <f t="shared" si="0"/>
        <v>408.43529733832901</v>
      </c>
      <c r="D10" s="98">
        <f>'[3]PricingDashboard - MUNI_SHARE p'!$J$3-E10</f>
        <v>301.18213304239981</v>
      </c>
      <c r="E10" s="98">
        <f>'[3]PricingDashboard - MUNI_SHARE p'!$D$3+'[3]PricingDashboard - MUNI_SHARE p'!$E$3</f>
        <v>107.2531642959292</v>
      </c>
      <c r="F10" s="39">
        <f>+'Rebate Data'!G$16</f>
        <v>0.18127250900360148</v>
      </c>
      <c r="G10" s="37">
        <f t="shared" si="1"/>
        <v>-19.442050190498573</v>
      </c>
      <c r="H10" s="37">
        <f t="shared" si="2"/>
        <v>87.811114105430619</v>
      </c>
      <c r="I10" s="78">
        <f>+'SMaRT Tons Sold'!D10</f>
        <v>105.61947580645162</v>
      </c>
      <c r="J10" s="3">
        <f t="shared" si="3"/>
        <v>9274.5638417960909</v>
      </c>
    </row>
    <row r="11" spans="1:10" x14ac:dyDescent="0.35">
      <c r="A11" t="s">
        <v>17</v>
      </c>
      <c r="C11" s="2">
        <f t="shared" si="0"/>
        <v>336.02007052042501</v>
      </c>
      <c r="D11" s="98">
        <f>'[4]PricingDashboard - MUNI_SHARE p'!$I$3-E11</f>
        <v>246.86330821168221</v>
      </c>
      <c r="E11" s="98">
        <f>'[4]PricingDashboard - MUNI_SHARE p'!$D$3+'[4]PricingDashboard - MUNI_SHARE p'!$E$3</f>
        <v>89.156762308742799</v>
      </c>
      <c r="F11" s="39">
        <f>+'Rebate Data'!I$16</f>
        <v>0.1197994745894813</v>
      </c>
      <c r="G11" s="37">
        <f t="shared" si="1"/>
        <v>-10.680933280686657</v>
      </c>
      <c r="H11" s="37">
        <f t="shared" si="2"/>
        <v>78.47582902805614</v>
      </c>
      <c r="I11" s="78">
        <f>+'SMaRT Tons Sold'!D11</f>
        <v>87.666514210292306</v>
      </c>
      <c r="J11" s="3">
        <f t="shared" si="3"/>
        <v>6879.7023806525531</v>
      </c>
    </row>
    <row r="12" spans="1:10" x14ac:dyDescent="0.35">
      <c r="A12" t="s">
        <v>18</v>
      </c>
      <c r="C12" s="2">
        <f t="shared" si="0"/>
        <v>315.27999999999997</v>
      </c>
      <c r="D12" s="98">
        <f>315.28-E12</f>
        <v>211.67999999999998</v>
      </c>
      <c r="E12" s="98">
        <f>51.87+51.73</f>
        <v>103.6</v>
      </c>
      <c r="F12" s="39">
        <f>+'Rebate Data'!K$16</f>
        <v>0.19558359092872876</v>
      </c>
      <c r="G12" s="37">
        <f t="shared" si="1"/>
        <v>-20.262460020216299</v>
      </c>
      <c r="H12" s="37">
        <f t="shared" si="2"/>
        <v>83.337539979783699</v>
      </c>
      <c r="I12" s="78">
        <f>+'SMaRT Tons Sold'!D12</f>
        <v>106.61413681279909</v>
      </c>
      <c r="J12" s="3">
        <f t="shared" si="3"/>
        <v>8884.9598890467732</v>
      </c>
    </row>
    <row r="13" spans="1:10" x14ac:dyDescent="0.35">
      <c r="A13" t="s">
        <v>19</v>
      </c>
      <c r="C13" s="2">
        <f t="shared" si="0"/>
        <v>336.84</v>
      </c>
      <c r="D13" s="98">
        <f>336.84-E13</f>
        <v>222.62999999999997</v>
      </c>
      <c r="E13" s="98">
        <f>71.03+43.18</f>
        <v>114.21000000000001</v>
      </c>
      <c r="F13" s="39">
        <f>+'Rebate Data'!M$16</f>
        <v>0.20178655670851944</v>
      </c>
      <c r="G13" s="37">
        <f t="shared" si="1"/>
        <v>-23.046042641680007</v>
      </c>
      <c r="H13" s="37">
        <f t="shared" si="2"/>
        <v>91.163957358320005</v>
      </c>
      <c r="I13" s="78">
        <f>+'SMaRT Tons Sold'!D13</f>
        <v>125.95716966481488</v>
      </c>
      <c r="J13" s="3">
        <f t="shared" si="3"/>
        <v>11482.754044297862</v>
      </c>
    </row>
    <row r="14" spans="1:10" x14ac:dyDescent="0.35">
      <c r="A14" t="s">
        <v>7</v>
      </c>
      <c r="C14" s="2">
        <f t="shared" si="0"/>
        <v>333.28</v>
      </c>
      <c r="D14" s="98">
        <f>333.28-E14</f>
        <v>232.37999999999997</v>
      </c>
      <c r="E14" s="98">
        <f>60.42+40.48</f>
        <v>100.9</v>
      </c>
      <c r="F14" s="39">
        <f>+'Rebate Data'!O$16</f>
        <v>0.21496167027065008</v>
      </c>
      <c r="G14" s="37">
        <f t="shared" si="1"/>
        <v>-21.689632530308593</v>
      </c>
      <c r="H14" s="37">
        <f t="shared" si="2"/>
        <v>79.21036746969142</v>
      </c>
      <c r="I14" s="78">
        <f>+'SMaRT Tons Sold'!D14</f>
        <v>132.96571595311875</v>
      </c>
      <c r="J14" s="3">
        <f t="shared" si="3"/>
        <v>10532.263221517147</v>
      </c>
    </row>
    <row r="15" spans="1:10" x14ac:dyDescent="0.35">
      <c r="A15" t="s">
        <v>8</v>
      </c>
      <c r="C15" s="2">
        <f t="shared" si="0"/>
        <v>277.099106339645</v>
      </c>
      <c r="D15" s="98">
        <f>'[5]WEN TA June 24'!$J$3-E15</f>
        <v>180.66644289119762</v>
      </c>
      <c r="E15" s="98">
        <f>SUM('[5]WEN TA June 24'!$D$3:$E$3)</f>
        <v>96.4326634484474</v>
      </c>
      <c r="F15" s="39">
        <f>+'Rebate Data'!Q$16</f>
        <v>0.1970310924408798</v>
      </c>
      <c r="G15" s="37">
        <f t="shared" si="1"/>
        <v>-19.000233026231289</v>
      </c>
      <c r="H15" s="37">
        <f t="shared" si="2"/>
        <v>77.432430422216115</v>
      </c>
      <c r="I15" s="78">
        <f>+'SMaRT Tons Sold'!D15</f>
        <v>139.95572638913407</v>
      </c>
      <c r="J15" s="3">
        <f t="shared" si="3"/>
        <v>10837.112045817339</v>
      </c>
    </row>
    <row r="16" spans="1:10" x14ac:dyDescent="0.35">
      <c r="A16" t="s">
        <v>9</v>
      </c>
      <c r="C16" s="2">
        <f t="shared" si="0"/>
        <v>311.83999999999997</v>
      </c>
      <c r="D16" s="98">
        <f>311.84-E16</f>
        <v>196.51</v>
      </c>
      <c r="E16" s="98">
        <f>66.83+48.5</f>
        <v>115.33</v>
      </c>
      <c r="F16" s="39">
        <f>+'Rebate Data'!S$16</f>
        <v>0.1592968865614755</v>
      </c>
      <c r="G16" s="37">
        <f t="shared" si="1"/>
        <v>-18.371709927134969</v>
      </c>
      <c r="H16" s="37">
        <f t="shared" si="2"/>
        <v>96.958290072865026</v>
      </c>
      <c r="I16" s="78">
        <f>+'SMaRT Tons Sold'!D16</f>
        <v>135.32885152731731</v>
      </c>
      <c r="J16" s="3">
        <f t="shared" si="3"/>
        <v>13121.254041613314</v>
      </c>
    </row>
    <row r="17" spans="1:13" x14ac:dyDescent="0.35">
      <c r="A17" t="s">
        <v>10</v>
      </c>
      <c r="C17" s="2">
        <f t="shared" si="0"/>
        <v>308.57</v>
      </c>
      <c r="D17" s="98">
        <f>308.57-E17</f>
        <v>204.37</v>
      </c>
      <c r="E17" s="98">
        <f>51.73+52.47</f>
        <v>104.19999999999999</v>
      </c>
      <c r="F17" s="39">
        <f>+'Rebate Data'!U$16</f>
        <v>0.11938810610235229</v>
      </c>
      <c r="G17" s="37">
        <f t="shared" si="1"/>
        <v>-12.440240655865107</v>
      </c>
      <c r="H17" s="37">
        <f t="shared" si="2"/>
        <v>91.759759344134878</v>
      </c>
      <c r="I17" s="78">
        <f>+'SMaRT Tons Sold'!D17</f>
        <v>128.89550386876894</v>
      </c>
      <c r="J17" s="3">
        <f t="shared" si="3"/>
        <v>11827.420415539244</v>
      </c>
    </row>
    <row r="18" spans="1:13" x14ac:dyDescent="0.35">
      <c r="A18" t="s">
        <v>11</v>
      </c>
      <c r="C18" s="107">
        <f t="shared" si="0"/>
        <v>283.74</v>
      </c>
      <c r="D18" s="98">
        <f>283.74-E18</f>
        <v>187.36</v>
      </c>
      <c r="E18" s="98">
        <f>58.65+37.73</f>
        <v>96.38</v>
      </c>
      <c r="F18" s="84">
        <f>+'Rebate Data'!W16</f>
        <v>0.15733098154963598</v>
      </c>
      <c r="G18" s="37">
        <f t="shared" si="1"/>
        <v>-15.163560001753915</v>
      </c>
      <c r="H18" s="37">
        <f t="shared" si="2"/>
        <v>81.216439998246074</v>
      </c>
      <c r="I18" s="78">
        <f>+'SMaRT Tons Sold'!D18</f>
        <v>141.29447027665412</v>
      </c>
      <c r="J18" s="3">
        <f t="shared" si="3"/>
        <v>11475.433867307844</v>
      </c>
    </row>
    <row r="19" spans="1:13" ht="16" x14ac:dyDescent="0.5">
      <c r="A19" t="s">
        <v>12</v>
      </c>
      <c r="C19" s="97">
        <f>+D19+E19</f>
        <v>307.04000000000002</v>
      </c>
      <c r="D19" s="98">
        <f>307.04-E19</f>
        <v>210.10000000000002</v>
      </c>
      <c r="E19" s="98">
        <f>56.5+40.44</f>
        <v>96.94</v>
      </c>
      <c r="F19" s="86">
        <f>+'Rebate Data'!Y16</f>
        <v>0.17723035199728801</v>
      </c>
      <c r="G19" s="79">
        <f t="shared" si="1"/>
        <v>-17.180710322617099</v>
      </c>
      <c r="H19" s="79">
        <f t="shared" si="2"/>
        <v>79.759289677382895</v>
      </c>
      <c r="I19" s="85">
        <f>+'Rebate Data'!X50</f>
        <v>145.65181535529206</v>
      </c>
      <c r="J19" s="80">
        <f t="shared" si="3"/>
        <v>11617.085332959425</v>
      </c>
      <c r="K19" s="30"/>
      <c r="L19" s="30"/>
      <c r="M19" s="30"/>
    </row>
    <row r="20" spans="1:13" ht="16" x14ac:dyDescent="0.5">
      <c r="C20" s="81">
        <f>SUM(C8:C19)</f>
        <v>3952.1163430543183</v>
      </c>
      <c r="D20" s="81">
        <f>SUM(D8:D19)</f>
        <v>2743.1184281654614</v>
      </c>
      <c r="E20" s="81">
        <f>SUM(E8:E19)</f>
        <v>1208.9979148888565</v>
      </c>
      <c r="F20" s="88">
        <f>-G20/E20</f>
        <v>0.17331737307540265</v>
      </c>
      <c r="G20" s="81">
        <f t="shared" ref="G20:J20" si="4">SUM(G8:G19)</f>
        <v>-209.54034266217585</v>
      </c>
      <c r="H20" s="81">
        <f t="shared" si="4"/>
        <v>999.45757222668055</v>
      </c>
      <c r="I20" s="33">
        <f>+J20/H20</f>
        <v>121.73832865127771</v>
      </c>
      <c r="J20" s="83">
        <f t="shared" si="4"/>
        <v>121672.29440073977</v>
      </c>
      <c r="K20" s="82"/>
    </row>
    <row r="21" spans="1:13" x14ac:dyDescent="0.35">
      <c r="C21" s="2"/>
      <c r="D21" s="2"/>
      <c r="E21" s="2"/>
      <c r="F21" s="2"/>
    </row>
    <row r="22" spans="1:13" x14ac:dyDescent="0.35">
      <c r="C22" s="2"/>
      <c r="D22" s="2"/>
      <c r="E22" s="2"/>
      <c r="F22" s="2"/>
      <c r="G22" s="2"/>
    </row>
    <row r="23" spans="1:13" x14ac:dyDescent="0.35">
      <c r="C23" s="2"/>
      <c r="D23" s="2"/>
      <c r="E23" s="2"/>
      <c r="F23" s="2"/>
    </row>
    <row r="24" spans="1:13" x14ac:dyDescent="0.35">
      <c r="C24" s="34"/>
      <c r="D24" s="34"/>
      <c r="E24" s="34"/>
      <c r="F24" s="2"/>
    </row>
    <row r="25" spans="1:13" x14ac:dyDescent="0.35">
      <c r="C25" s="2"/>
      <c r="D25" s="2"/>
      <c r="E25" s="2"/>
      <c r="F25" s="2"/>
    </row>
    <row r="26" spans="1:13" x14ac:dyDescent="0.35">
      <c r="C26" s="2"/>
      <c r="D26" s="2"/>
      <c r="E26" s="2"/>
      <c r="F26" s="2"/>
    </row>
    <row r="27" spans="1:13" x14ac:dyDescent="0.35">
      <c r="C27" s="2"/>
      <c r="D27" s="2"/>
      <c r="E27" s="2"/>
      <c r="F27" s="2"/>
      <c r="J27" s="108"/>
      <c r="K27" s="108"/>
    </row>
    <row r="28" spans="1:13" x14ac:dyDescent="0.35">
      <c r="C28" s="2"/>
      <c r="D28" s="2"/>
      <c r="E28" s="2"/>
      <c r="F28" s="2"/>
    </row>
    <row r="29" spans="1:13" x14ac:dyDescent="0.35">
      <c r="C29" s="2"/>
      <c r="D29" s="2"/>
      <c r="E29" s="2"/>
      <c r="F29" s="2"/>
    </row>
    <row r="30" spans="1:13" x14ac:dyDescent="0.35">
      <c r="C30" s="2"/>
      <c r="D30" s="2"/>
      <c r="E30" s="2"/>
      <c r="F30" s="2"/>
    </row>
    <row r="31" spans="1:13" x14ac:dyDescent="0.35">
      <c r="C31" s="2"/>
      <c r="D31" s="2"/>
      <c r="E31" s="2"/>
      <c r="F31" s="2"/>
    </row>
    <row r="32" spans="1:13" x14ac:dyDescent="0.35">
      <c r="C32" s="2"/>
      <c r="D32" s="2"/>
      <c r="E32" s="2"/>
      <c r="F32" s="2"/>
    </row>
    <row r="33" spans="3:6" x14ac:dyDescent="0.35">
      <c r="C33" s="2"/>
      <c r="D33" s="2"/>
      <c r="E33" s="2"/>
      <c r="F33" s="2"/>
    </row>
    <row r="34" spans="3:6" x14ac:dyDescent="0.35">
      <c r="C34" s="2"/>
      <c r="D34" s="2"/>
      <c r="E34" s="2"/>
      <c r="F34" s="2"/>
    </row>
    <row r="35" spans="3:6" x14ac:dyDescent="0.35">
      <c r="C35" s="2"/>
      <c r="D35" s="2"/>
      <c r="E35" s="2"/>
      <c r="F35" s="2"/>
    </row>
  </sheetData>
  <mergeCells count="1">
    <mergeCell ref="C5:E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231FB0-8054-43D1-A839-AFBEE53C2BF1}">
  <dimension ref="A1:I33"/>
  <sheetViews>
    <sheetView workbookViewId="0">
      <selection activeCell="C24" sqref="C24"/>
    </sheetView>
  </sheetViews>
  <sheetFormatPr defaultRowHeight="14.5" x14ac:dyDescent="0.35"/>
  <cols>
    <col min="3" max="3" width="9.54296875" bestFit="1" customWidth="1"/>
    <col min="4" max="4" width="9" bestFit="1" customWidth="1"/>
    <col min="8" max="9" width="10.54296875" bestFit="1" customWidth="1"/>
  </cols>
  <sheetData>
    <row r="1" spans="1:9" ht="23" x14ac:dyDescent="0.5">
      <c r="A1" s="1" t="s">
        <v>0</v>
      </c>
    </row>
    <row r="2" spans="1:9" ht="21" x14ac:dyDescent="0.5">
      <c r="A2" s="89" t="s">
        <v>66</v>
      </c>
    </row>
    <row r="6" spans="1:9" x14ac:dyDescent="0.35">
      <c r="C6" s="12" t="s">
        <v>37</v>
      </c>
      <c r="D6" s="12" t="s">
        <v>38</v>
      </c>
      <c r="E6" s="12" t="s">
        <v>39</v>
      </c>
      <c r="F6" s="12" t="s">
        <v>30</v>
      </c>
    </row>
    <row r="7" spans="1:9" x14ac:dyDescent="0.35">
      <c r="A7" t="s">
        <v>79</v>
      </c>
      <c r="C7" s="99">
        <f>'[6]WEN CC November 23'!$D$3+'[6]WEN CC November 23'!$E$3</f>
        <v>6744</v>
      </c>
      <c r="D7" s="99">
        <f>E7-C7</f>
        <v>14442</v>
      </c>
      <c r="E7" s="35">
        <f>'[6]WEN CC November 23'!$I$3</f>
        <v>21186</v>
      </c>
      <c r="F7" s="34">
        <f>+C7/E7</f>
        <v>0.31832342112715944</v>
      </c>
      <c r="H7" s="2"/>
      <c r="I7" s="37"/>
    </row>
    <row r="8" spans="1:9" x14ac:dyDescent="0.35">
      <c r="A8" t="s">
        <v>14</v>
      </c>
      <c r="C8" s="99">
        <f>'[7]WEN CC December 23'!$D$3+'[7]WEN CC December 23'!$E$3</f>
        <v>6747</v>
      </c>
      <c r="D8" s="99">
        <f t="shared" ref="D8" si="0">E8-C8</f>
        <v>14488</v>
      </c>
      <c r="E8" s="35">
        <f>'[7]WEN CC December 23'!$J$3</f>
        <v>21235</v>
      </c>
      <c r="F8" s="34">
        <f t="shared" ref="F8:F18" si="1">+C8/E8</f>
        <v>0.3177301624676242</v>
      </c>
      <c r="H8" s="2"/>
      <c r="I8" s="37"/>
    </row>
    <row r="9" spans="1:9" x14ac:dyDescent="0.35">
      <c r="A9" t="s">
        <v>80</v>
      </c>
      <c r="C9" s="99">
        <f>'[8]PricingDashboard - QUANTITY per'!$D$3+'[8]PricingDashboard - QUANTITY per'!$E$3</f>
        <v>6726</v>
      </c>
      <c r="D9" s="99">
        <f>'[8]PricingDashboard - QUANTITY per'!$J$3-C9</f>
        <v>14513</v>
      </c>
      <c r="E9" s="35">
        <v>21037</v>
      </c>
      <c r="F9" s="34">
        <f t="shared" si="1"/>
        <v>0.31972239387745399</v>
      </c>
      <c r="H9" s="2"/>
      <c r="I9" s="37"/>
    </row>
    <row r="10" spans="1:9" x14ac:dyDescent="0.35">
      <c r="A10" t="s">
        <v>17</v>
      </c>
      <c r="C10" s="99">
        <f>'[9]PricingDashboard - QUANTITY per'!$D$3+'[9]PricingDashboard - QUANTITY per'!$E$3</f>
        <v>6735</v>
      </c>
      <c r="D10" s="99">
        <f>'[9]PricingDashboard - QUANTITY per'!$I$3-C10</f>
        <v>14440</v>
      </c>
      <c r="E10" s="35">
        <v>20979</v>
      </c>
      <c r="F10" s="34">
        <f t="shared" si="1"/>
        <v>0.32103532103532101</v>
      </c>
      <c r="H10" s="2"/>
      <c r="I10" s="37"/>
    </row>
    <row r="11" spans="1:9" x14ac:dyDescent="0.35">
      <c r="A11" t="s">
        <v>18</v>
      </c>
      <c r="C11" s="99">
        <f>'[10]WEN CC March 24'!$D$4+'[10]WEN CC March 24'!$E$4</f>
        <v>6769</v>
      </c>
      <c r="D11" s="99">
        <f>'[10]WEN CC March 24'!$J$4+'[10]WEN CC March 24'!$H$4+'[10]WEN CC March 24'!$F$4+'[10]WEN CC March 24'!$C$4</f>
        <v>14497</v>
      </c>
      <c r="E11" s="35">
        <v>21076</v>
      </c>
      <c r="F11" s="34">
        <f t="shared" si="1"/>
        <v>0.32117100018978934</v>
      </c>
      <c r="H11" s="2"/>
      <c r="I11" s="37"/>
    </row>
    <row r="12" spans="1:9" x14ac:dyDescent="0.35">
      <c r="A12" t="s">
        <v>19</v>
      </c>
      <c r="C12" s="99">
        <f>'[11]WEN CC April 24'!$D$3+'[11]WEN CC April 24'!$E$3</f>
        <v>6806</v>
      </c>
      <c r="D12" s="99">
        <f>'[11]WEN CC April 24'!$I$3+'[11]WEN CC April 24'!$G$3+'[11]WEN CC April 24'!$F$3+'[11]WEN CC April 24'!$C$3</f>
        <v>14562</v>
      </c>
      <c r="E12" s="35">
        <v>21172</v>
      </c>
      <c r="F12" s="34">
        <f t="shared" si="1"/>
        <v>0.32146230870961645</v>
      </c>
      <c r="H12" s="2"/>
      <c r="I12" s="37"/>
    </row>
    <row r="13" spans="1:9" x14ac:dyDescent="0.35">
      <c r="A13" t="s">
        <v>7</v>
      </c>
      <c r="C13" s="99">
        <v>6861</v>
      </c>
      <c r="D13" s="99">
        <v>14557</v>
      </c>
      <c r="E13" s="35">
        <v>21192</v>
      </c>
      <c r="F13" s="34">
        <f t="shared" si="1"/>
        <v>0.32375424688561721</v>
      </c>
      <c r="H13" s="2"/>
      <c r="I13" s="37"/>
    </row>
    <row r="14" spans="1:9" x14ac:dyDescent="0.35">
      <c r="A14" t="s">
        <v>8</v>
      </c>
      <c r="C14" s="99">
        <v>6873</v>
      </c>
      <c r="D14" s="99">
        <v>14602</v>
      </c>
      <c r="E14" s="35">
        <v>21299</v>
      </c>
      <c r="F14" s="34">
        <f t="shared" si="1"/>
        <v>0.32269120615991359</v>
      </c>
      <c r="H14" s="2"/>
      <c r="I14" s="37"/>
    </row>
    <row r="15" spans="1:9" x14ac:dyDescent="0.35">
      <c r="A15" t="s">
        <v>9</v>
      </c>
      <c r="C15" s="99">
        <f>3986+2920</f>
        <v>6906</v>
      </c>
      <c r="D15" s="99">
        <f>21554-C15</f>
        <v>14648</v>
      </c>
      <c r="E15" s="35">
        <v>21365</v>
      </c>
      <c r="F15" s="34">
        <f t="shared" si="1"/>
        <v>0.32323894219517901</v>
      </c>
      <c r="H15" s="2"/>
      <c r="I15" s="37"/>
    </row>
    <row r="16" spans="1:9" x14ac:dyDescent="0.35">
      <c r="A16" t="s">
        <v>10</v>
      </c>
      <c r="C16" s="99">
        <f>4003+2936</f>
        <v>6939</v>
      </c>
      <c r="D16" s="99">
        <f>21558-C16</f>
        <v>14619</v>
      </c>
      <c r="E16" s="35">
        <v>21274</v>
      </c>
      <c r="F16" s="34">
        <f t="shared" si="1"/>
        <v>0.32617279308075586</v>
      </c>
      <c r="H16" s="2"/>
      <c r="I16" s="37"/>
    </row>
    <row r="17" spans="1:9" x14ac:dyDescent="0.35">
      <c r="A17" t="s">
        <v>11</v>
      </c>
      <c r="C17" s="99">
        <f>4027+2928</f>
        <v>6955</v>
      </c>
      <c r="D17" s="99">
        <f>21592-C17</f>
        <v>14637</v>
      </c>
      <c r="E17" s="35">
        <v>21309</v>
      </c>
      <c r="F17" s="34">
        <f t="shared" si="1"/>
        <v>0.32638791121122529</v>
      </c>
      <c r="H17" s="2"/>
      <c r="I17" s="37"/>
    </row>
    <row r="18" spans="1:9" ht="16" x14ac:dyDescent="0.5">
      <c r="A18" t="s">
        <v>12</v>
      </c>
      <c r="C18" s="99">
        <f>4002+2927</f>
        <v>6929</v>
      </c>
      <c r="D18" s="99">
        <f>21539-C18</f>
        <v>14610</v>
      </c>
      <c r="E18" s="70">
        <v>21263</v>
      </c>
      <c r="F18" s="71">
        <f t="shared" si="1"/>
        <v>0.32587123171706722</v>
      </c>
      <c r="H18" s="2"/>
      <c r="I18" s="37"/>
    </row>
    <row r="19" spans="1:9" ht="16" x14ac:dyDescent="0.5">
      <c r="C19" s="72">
        <f>SUM(C7:C18)</f>
        <v>81990</v>
      </c>
      <c r="D19" s="72">
        <f t="shared" ref="D19:E19" si="2">SUM(D7:D18)</f>
        <v>174615</v>
      </c>
      <c r="E19" s="72">
        <f t="shared" si="2"/>
        <v>254387</v>
      </c>
      <c r="F19" s="73">
        <f>+C19/E19</f>
        <v>0.32230420579667984</v>
      </c>
      <c r="I19" s="37"/>
    </row>
    <row r="20" spans="1:9" x14ac:dyDescent="0.35">
      <c r="C20" s="35"/>
      <c r="D20" s="35"/>
      <c r="E20" s="35"/>
    </row>
    <row r="21" spans="1:9" x14ac:dyDescent="0.35">
      <c r="C21" s="35"/>
      <c r="D21" s="35"/>
      <c r="E21" s="35"/>
    </row>
    <row r="22" spans="1:9" x14ac:dyDescent="0.35">
      <c r="C22" s="35"/>
      <c r="D22" s="35"/>
      <c r="E22" s="35"/>
    </row>
    <row r="23" spans="1:9" x14ac:dyDescent="0.35">
      <c r="C23" s="35"/>
      <c r="D23" s="35"/>
      <c r="E23" s="35"/>
    </row>
    <row r="24" spans="1:9" x14ac:dyDescent="0.35">
      <c r="C24" s="35"/>
      <c r="D24" s="35"/>
      <c r="E24" s="35"/>
    </row>
    <row r="25" spans="1:9" x14ac:dyDescent="0.35">
      <c r="C25" s="35"/>
      <c r="D25" s="35"/>
      <c r="E25" s="35"/>
    </row>
    <row r="26" spans="1:9" x14ac:dyDescent="0.35">
      <c r="C26" s="35"/>
      <c r="D26" s="35"/>
      <c r="E26" s="35"/>
    </row>
    <row r="27" spans="1:9" x14ac:dyDescent="0.35">
      <c r="C27" s="35"/>
      <c r="D27" s="35"/>
      <c r="E27" s="35"/>
    </row>
    <row r="28" spans="1:9" x14ac:dyDescent="0.35">
      <c r="C28" s="35"/>
      <c r="D28" s="35"/>
      <c r="E28" s="35"/>
    </row>
    <row r="29" spans="1:9" x14ac:dyDescent="0.35">
      <c r="C29" s="35"/>
      <c r="D29" s="35"/>
      <c r="E29" s="35"/>
    </row>
    <row r="30" spans="1:9" x14ac:dyDescent="0.35">
      <c r="C30" s="35"/>
      <c r="D30" s="35"/>
      <c r="E30" s="35"/>
    </row>
    <row r="31" spans="1:9" x14ac:dyDescent="0.35">
      <c r="C31" s="35"/>
      <c r="D31" s="35"/>
      <c r="E31" s="35"/>
    </row>
    <row r="32" spans="1:9" x14ac:dyDescent="0.35">
      <c r="C32" s="35"/>
      <c r="D32" s="35"/>
      <c r="E32" s="35"/>
    </row>
    <row r="33" spans="3:5" x14ac:dyDescent="0.35">
      <c r="C33" s="35"/>
      <c r="D33" s="35"/>
      <c r="E33" s="35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1113D8-2B56-46F9-A458-C066B34B8EDE}">
  <dimension ref="A1:AF54"/>
  <sheetViews>
    <sheetView topLeftCell="F1" workbookViewId="0">
      <selection activeCell="X32" sqref="X32"/>
    </sheetView>
  </sheetViews>
  <sheetFormatPr defaultRowHeight="14.5" x14ac:dyDescent="0.35"/>
  <cols>
    <col min="1" max="1" width="19" customWidth="1"/>
    <col min="2" max="2" width="10" bestFit="1" customWidth="1"/>
    <col min="3" max="3" width="8.54296875" bestFit="1" customWidth="1"/>
    <col min="4" max="4" width="10" bestFit="1" customWidth="1"/>
    <col min="5" max="5" width="10.54296875" bestFit="1" customWidth="1"/>
    <col min="6" max="6" width="10.1796875" bestFit="1" customWidth="1"/>
    <col min="7" max="7" width="8.7265625" bestFit="1" customWidth="1"/>
    <col min="8" max="8" width="10.54296875" bestFit="1" customWidth="1"/>
    <col min="9" max="9" width="8.7265625" bestFit="1" customWidth="1"/>
    <col min="10" max="10" width="10.54296875" bestFit="1" customWidth="1"/>
    <col min="11" max="11" width="9.26953125" bestFit="1" customWidth="1"/>
    <col min="12" max="12" width="10.1796875" bestFit="1" customWidth="1"/>
    <col min="13" max="13" width="8.7265625" bestFit="1" customWidth="1"/>
    <col min="14" max="14" width="11.54296875" bestFit="1" customWidth="1"/>
    <col min="15" max="15" width="9.7265625" bestFit="1" customWidth="1"/>
    <col min="16" max="16" width="10" bestFit="1" customWidth="1"/>
    <col min="17" max="17" width="7.7265625" bestFit="1" customWidth="1"/>
    <col min="18" max="18" width="10.54296875" bestFit="1" customWidth="1"/>
    <col min="19" max="19" width="7.7265625" bestFit="1" customWidth="1"/>
    <col min="20" max="20" width="10.54296875" bestFit="1" customWidth="1"/>
    <col min="21" max="21" width="7.7265625" bestFit="1" customWidth="1"/>
    <col min="22" max="22" width="13.453125" customWidth="1"/>
    <col min="23" max="23" width="7.7265625" bestFit="1" customWidth="1"/>
    <col min="24" max="24" width="12" customWidth="1"/>
    <col min="25" max="25" width="7.7265625" bestFit="1" customWidth="1"/>
    <col min="26" max="26" width="5" bestFit="1" customWidth="1"/>
  </cols>
  <sheetData>
    <row r="1" spans="1:26" ht="20" x14ac:dyDescent="0.4">
      <c r="A1" s="90" t="s">
        <v>36</v>
      </c>
      <c r="B1" s="19"/>
      <c r="C1" s="19"/>
      <c r="D1" s="19"/>
      <c r="E1" s="19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</row>
    <row r="2" spans="1:26" x14ac:dyDescent="0.35">
      <c r="A2" s="23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</row>
    <row r="3" spans="1:26" x14ac:dyDescent="0.35">
      <c r="A3" s="17"/>
      <c r="B3" s="17"/>
      <c r="C3" s="17"/>
      <c r="D3" s="17"/>
      <c r="E3" s="17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</row>
    <row r="4" spans="1:26" x14ac:dyDescent="0.35">
      <c r="A4" s="16"/>
      <c r="B4" s="117">
        <v>45231</v>
      </c>
      <c r="C4" s="117"/>
      <c r="D4" s="117">
        <v>45261</v>
      </c>
      <c r="E4" s="117"/>
      <c r="F4" s="117">
        <v>45292</v>
      </c>
      <c r="G4" s="117"/>
      <c r="H4" s="117">
        <v>45323</v>
      </c>
      <c r="I4" s="117"/>
      <c r="J4" s="117">
        <v>45352</v>
      </c>
      <c r="K4" s="117"/>
      <c r="L4" s="117">
        <v>45383</v>
      </c>
      <c r="M4" s="117"/>
      <c r="N4" s="117">
        <v>45413</v>
      </c>
      <c r="O4" s="117"/>
      <c r="P4" s="117">
        <v>45444</v>
      </c>
      <c r="Q4" s="117"/>
      <c r="R4" s="117">
        <v>45474</v>
      </c>
      <c r="S4" s="117"/>
      <c r="T4" s="117">
        <v>45505</v>
      </c>
      <c r="U4" s="117"/>
      <c r="V4" s="117">
        <v>45536</v>
      </c>
      <c r="W4" s="117"/>
      <c r="X4" s="117">
        <v>45566</v>
      </c>
      <c r="Y4" s="117"/>
      <c r="Z4" s="16"/>
    </row>
    <row r="5" spans="1:26" x14ac:dyDescent="0.35">
      <c r="A5" s="16"/>
      <c r="B5" s="21" t="s">
        <v>2</v>
      </c>
      <c r="C5" s="21" t="s">
        <v>30</v>
      </c>
      <c r="D5" s="21" t="s">
        <v>2</v>
      </c>
      <c r="E5" s="21" t="s">
        <v>30</v>
      </c>
      <c r="F5" s="21" t="s">
        <v>2</v>
      </c>
      <c r="G5" s="21" t="s">
        <v>30</v>
      </c>
      <c r="H5" s="21" t="s">
        <v>2</v>
      </c>
      <c r="I5" s="21" t="s">
        <v>30</v>
      </c>
      <c r="J5" s="21" t="s">
        <v>2</v>
      </c>
      <c r="K5" s="21" t="s">
        <v>30</v>
      </c>
      <c r="L5" s="21" t="s">
        <v>2</v>
      </c>
      <c r="M5" s="21" t="s">
        <v>30</v>
      </c>
      <c r="N5" s="21" t="s">
        <v>2</v>
      </c>
      <c r="O5" s="21" t="s">
        <v>30</v>
      </c>
      <c r="P5" s="21" t="s">
        <v>2</v>
      </c>
      <c r="Q5" s="21" t="s">
        <v>30</v>
      </c>
      <c r="R5" s="21" t="s">
        <v>2</v>
      </c>
      <c r="S5" s="21" t="s">
        <v>30</v>
      </c>
      <c r="T5" s="21" t="s">
        <v>2</v>
      </c>
      <c r="U5" s="21" t="s">
        <v>30</v>
      </c>
      <c r="V5" s="21" t="s">
        <v>2</v>
      </c>
      <c r="W5" s="21" t="s">
        <v>30</v>
      </c>
      <c r="X5" s="21" t="s">
        <v>2</v>
      </c>
      <c r="Y5" s="21" t="s">
        <v>30</v>
      </c>
      <c r="Z5" s="16"/>
    </row>
    <row r="6" spans="1:26" x14ac:dyDescent="0.35">
      <c r="A6" s="16" t="s">
        <v>23</v>
      </c>
      <c r="B6" s="100">
        <f>[12]Composition!V6</f>
        <v>256.95650799999999</v>
      </c>
      <c r="C6" s="18">
        <f t="shared" ref="C6:C17" si="0">+B6/B$17</f>
        <v>0.16839999999999999</v>
      </c>
      <c r="D6" s="100">
        <f>[12]Composition!X6</f>
        <v>284.58733799999999</v>
      </c>
      <c r="E6" s="18">
        <f t="shared" ref="E6:E17" si="1">+D6/D$17</f>
        <v>0.16731673167316732</v>
      </c>
      <c r="F6" s="102">
        <f>[13]Composition!B6</f>
        <v>0</v>
      </c>
      <c r="G6" s="18">
        <f t="shared" ref="G6:G17" si="2">+F6/F$17</f>
        <v>0</v>
      </c>
      <c r="H6" s="102">
        <f>[14]Composition!D6</f>
        <v>296.33</v>
      </c>
      <c r="I6" s="18">
        <f t="shared" ref="I6:I17" si="3">+H6/H$17</f>
        <v>2.9971298029376786E-2</v>
      </c>
      <c r="J6" s="102">
        <f>[14]Composition!F6</f>
        <v>819.9</v>
      </c>
      <c r="K6" s="18">
        <f t="shared" ref="K6:K15" si="4">+J6/J$17</f>
        <v>8.8633463656631425E-2</v>
      </c>
      <c r="L6" s="102">
        <f>[15]Composition!H6</f>
        <v>1714.72</v>
      </c>
      <c r="M6" s="18">
        <f t="shared" ref="M6:M15" si="5">+L6/L$17</f>
        <v>0.16923237870028049</v>
      </c>
      <c r="N6" s="102">
        <f>[16]Composition!$J$6</f>
        <v>1672.05</v>
      </c>
      <c r="O6" s="18">
        <f t="shared" ref="O6:Y15" si="6">+N6/N$17</f>
        <v>0.16315993879733642</v>
      </c>
      <c r="P6" s="102">
        <f>[17]Composition!L6</f>
        <v>559.96</v>
      </c>
      <c r="Q6" s="18">
        <f t="shared" si="6"/>
        <v>6.5052022100679854E-2</v>
      </c>
      <c r="R6" s="102">
        <f>[18]Composition!N6</f>
        <v>160.23249999999999</v>
      </c>
      <c r="S6" s="18">
        <f t="shared" si="6"/>
        <v>5.6218947557338077E-2</v>
      </c>
      <c r="T6" s="102">
        <f>[19]Composition!P6</f>
        <v>0</v>
      </c>
      <c r="U6" s="18">
        <f t="shared" si="6"/>
        <v>0</v>
      </c>
      <c r="V6" s="102">
        <f>[20]Composition!R6</f>
        <v>36.011000000000003</v>
      </c>
      <c r="W6" s="18">
        <f t="shared" si="6"/>
        <v>1.1370420845980106E-2</v>
      </c>
      <c r="X6" s="102">
        <f>[21]Composition!T6</f>
        <v>113.05432399999999</v>
      </c>
      <c r="Y6" s="18">
        <f t="shared" si="6"/>
        <v>3.4067257735841953E-2</v>
      </c>
      <c r="Z6" s="16"/>
    </row>
    <row r="7" spans="1:26" x14ac:dyDescent="0.35">
      <c r="A7" s="16" t="s">
        <v>24</v>
      </c>
      <c r="B7" s="100">
        <f>[12]Composition!V7</f>
        <v>0</v>
      </c>
      <c r="C7" s="18">
        <f t="shared" si="0"/>
        <v>0</v>
      </c>
      <c r="D7" s="100">
        <f>[12]Composition!X7</f>
        <v>0</v>
      </c>
      <c r="E7" s="18">
        <f t="shared" si="1"/>
        <v>0</v>
      </c>
      <c r="F7" s="102">
        <f>[13]Composition!B7</f>
        <v>268.97435000000002</v>
      </c>
      <c r="G7" s="18">
        <f t="shared" si="2"/>
        <v>0.17907162865146059</v>
      </c>
      <c r="H7" s="102">
        <f>[14]Composition!D7</f>
        <v>3340.49</v>
      </c>
      <c r="I7" s="18">
        <f t="shared" si="3"/>
        <v>0.33786259020063059</v>
      </c>
      <c r="J7" s="102">
        <f>[14]Composition!F7</f>
        <v>2319.38</v>
      </c>
      <c r="K7" s="18">
        <f t="shared" si="4"/>
        <v>0.25073140984988146</v>
      </c>
      <c r="L7" s="102">
        <f>[15]Composition!H7</f>
        <v>1560.01</v>
      </c>
      <c r="M7" s="18">
        <f t="shared" si="5"/>
        <v>0.15396344773270537</v>
      </c>
      <c r="N7" s="102">
        <f>[16]Composition!$J$7</f>
        <v>1606</v>
      </c>
      <c r="O7" s="18">
        <f t="shared" si="6"/>
        <v>0.15671472845221274</v>
      </c>
      <c r="P7" s="102">
        <f>[17]Composition!L7</f>
        <v>1841.43</v>
      </c>
      <c r="Q7" s="18">
        <f t="shared" si="6"/>
        <v>0.21392375358392546</v>
      </c>
      <c r="R7" s="102">
        <f>[18]Composition!N7</f>
        <v>435.19749999999999</v>
      </c>
      <c r="S7" s="18">
        <f t="shared" si="6"/>
        <v>0.15269277724297281</v>
      </c>
      <c r="T7" s="102">
        <f>[19]Composition!P7</f>
        <v>964.69399999999996</v>
      </c>
      <c r="U7" s="18">
        <f t="shared" si="6"/>
        <v>0.30402922379724995</v>
      </c>
      <c r="V7" s="102">
        <f>[20]Composition!R7</f>
        <v>805.55408049999983</v>
      </c>
      <c r="W7" s="18">
        <f t="shared" si="6"/>
        <v>0.25435252865739727</v>
      </c>
      <c r="X7" s="102">
        <f>[21]Composition!T7</f>
        <v>792.82663949999983</v>
      </c>
      <c r="Y7" s="18">
        <f t="shared" si="6"/>
        <v>0.23890664692920502</v>
      </c>
      <c r="Z7" s="16"/>
    </row>
    <row r="8" spans="1:26" x14ac:dyDescent="0.35">
      <c r="A8" s="16" t="s">
        <v>20</v>
      </c>
      <c r="B8" s="100">
        <f>[12]Composition!V8</f>
        <v>705.40970099999993</v>
      </c>
      <c r="C8" s="18">
        <f t="shared" si="0"/>
        <v>0.46229999999999999</v>
      </c>
      <c r="D8" s="100">
        <f>[12]Composition!X8</f>
        <v>760.37382000000002</v>
      </c>
      <c r="E8" s="18">
        <f t="shared" si="1"/>
        <v>0.44704470447044709</v>
      </c>
      <c r="F8" s="102">
        <f>[13]Composition!B8</f>
        <v>674.23905500000001</v>
      </c>
      <c r="G8" s="18">
        <f t="shared" si="2"/>
        <v>0.44887955182072825</v>
      </c>
      <c r="H8" s="102">
        <f>[14]Composition!D8</f>
        <v>1999.8300000000002</v>
      </c>
      <c r="I8" s="18">
        <f t="shared" si="3"/>
        <v>0.20226605790196261</v>
      </c>
      <c r="J8" s="102">
        <f>[14]Composition!F8</f>
        <v>2050.4450000000002</v>
      </c>
      <c r="K8" s="18">
        <f t="shared" si="4"/>
        <v>0.22165879056887627</v>
      </c>
      <c r="L8" s="102">
        <f>[15]Composition!H8</f>
        <v>2346.75</v>
      </c>
      <c r="M8" s="18">
        <f t="shared" si="5"/>
        <v>0.23160987491537</v>
      </c>
      <c r="N8" s="102">
        <f>[16]Composition!$J$8</f>
        <v>2275.81</v>
      </c>
      <c r="O8" s="18">
        <f t="shared" si="6"/>
        <v>0.22207530894074115</v>
      </c>
      <c r="P8" s="102">
        <f>[17]Composition!L8</f>
        <v>2489.25</v>
      </c>
      <c r="Q8" s="18">
        <f t="shared" si="6"/>
        <v>0.28918270236109245</v>
      </c>
      <c r="R8" s="102">
        <f>[18]Composition!N8</f>
        <v>968.7249999999998</v>
      </c>
      <c r="S8" s="18">
        <f t="shared" si="6"/>
        <v>0.33988547874171793</v>
      </c>
      <c r="T8" s="102">
        <f>[19]Composition!P8</f>
        <v>974.6935000000002</v>
      </c>
      <c r="U8" s="18">
        <f t="shared" si="6"/>
        <v>0.30718062747899844</v>
      </c>
      <c r="V8" s="102">
        <f>[20]Composition!R8</f>
        <v>841.63441949999958</v>
      </c>
      <c r="W8" s="18">
        <f t="shared" si="6"/>
        <v>0.26574484319172365</v>
      </c>
      <c r="X8" s="102">
        <f>[21]Composition!T8</f>
        <v>874.94103649999965</v>
      </c>
      <c r="Y8" s="18">
        <f t="shared" si="6"/>
        <v>0.26365061272764934</v>
      </c>
      <c r="Z8" s="22"/>
    </row>
    <row r="9" spans="1:26" x14ac:dyDescent="0.35">
      <c r="A9" s="16" t="s">
        <v>25</v>
      </c>
      <c r="B9" s="100">
        <f>[12]Composition!V9</f>
        <v>27.465659999999996</v>
      </c>
      <c r="C9" s="18">
        <f t="shared" si="0"/>
        <v>1.7999999999999999E-2</v>
      </c>
      <c r="D9" s="100">
        <f>[12]Composition!X9</f>
        <v>31.979928000000001</v>
      </c>
      <c r="E9" s="18">
        <f t="shared" si="1"/>
        <v>1.8801880188018802E-2</v>
      </c>
      <c r="F9" s="102">
        <f>[13]Composition!B9</f>
        <v>27.949289999999998</v>
      </c>
      <c r="G9" s="18">
        <f t="shared" si="2"/>
        <v>1.8607442977190872E-2</v>
      </c>
      <c r="H9" s="102">
        <f>[14]Composition!D9</f>
        <v>163.2235</v>
      </c>
      <c r="I9" s="18">
        <f t="shared" si="3"/>
        <v>1.6508690189646617E-2</v>
      </c>
      <c r="J9" s="102">
        <f>[14]Composition!F9</f>
        <v>164.964</v>
      </c>
      <c r="K9" s="18">
        <f t="shared" si="4"/>
        <v>1.7833065860047015E-2</v>
      </c>
      <c r="L9" s="102">
        <f>[15]Composition!H9</f>
        <v>192.3</v>
      </c>
      <c r="M9" s="18">
        <f t="shared" si="5"/>
        <v>1.8978834109396252E-2</v>
      </c>
      <c r="N9" s="102">
        <f>[16]Composition!$J$9</f>
        <v>187.55</v>
      </c>
      <c r="O9" s="18">
        <f t="shared" si="6"/>
        <v>1.8301274795275529E-2</v>
      </c>
      <c r="P9" s="102">
        <f>[17]Composition!L9</f>
        <v>151.91999999999999</v>
      </c>
      <c r="Q9" s="18">
        <f t="shared" si="6"/>
        <v>1.7648944920235877E-2</v>
      </c>
      <c r="R9" s="102">
        <f>[18]Composition!N9</f>
        <v>81.735375000000019</v>
      </c>
      <c r="S9" s="18">
        <f t="shared" si="6"/>
        <v>2.8677557678400845E-2</v>
      </c>
      <c r="T9" s="102">
        <f>[19]Composition!P9</f>
        <v>86.358820000000009</v>
      </c>
      <c r="U9" s="18">
        <f t="shared" si="6"/>
        <v>2.7216511155502603E-2</v>
      </c>
      <c r="V9" s="102">
        <f>[20]Composition!R9</f>
        <v>102.32389029999999</v>
      </c>
      <c r="W9" s="18">
        <f t="shared" si="6"/>
        <v>3.2308619458190586E-2</v>
      </c>
      <c r="X9" s="102">
        <f>[21]Composition!T9</f>
        <v>107.069</v>
      </c>
      <c r="Y9" s="18">
        <f t="shared" si="6"/>
        <v>3.2263668380511146E-2</v>
      </c>
      <c r="Z9" s="22"/>
    </row>
    <row r="10" spans="1:26" x14ac:dyDescent="0.35">
      <c r="A10" s="16" t="s">
        <v>29</v>
      </c>
      <c r="B10" s="100">
        <f>[12]Composition!V17</f>
        <v>29.449290999999999</v>
      </c>
      <c r="C10" s="18">
        <f t="shared" si="0"/>
        <v>1.9300000000000001E-2</v>
      </c>
      <c r="D10" s="100">
        <f>[12]Composition!X17</f>
        <v>37.253214</v>
      </c>
      <c r="E10" s="18">
        <f t="shared" si="1"/>
        <v>2.1902190219021903E-2</v>
      </c>
      <c r="F10" s="102">
        <f>[13]Composition!$B$17</f>
        <v>33.058300000000003</v>
      </c>
      <c r="G10" s="18">
        <f t="shared" si="2"/>
        <v>2.2008803521408563E-2</v>
      </c>
      <c r="H10" s="102">
        <f>[14]Composition!D19</f>
        <v>158.19000000000003</v>
      </c>
      <c r="I10" s="18">
        <f t="shared" si="3"/>
        <v>1.5999593815230029E-2</v>
      </c>
      <c r="J10" s="102">
        <f>[14]Composition!F19</f>
        <v>139.94</v>
      </c>
      <c r="K10" s="18">
        <f t="shared" si="4"/>
        <v>1.5127902066238569E-2</v>
      </c>
      <c r="L10" s="102">
        <f>[15]Composition!H19</f>
        <v>193.47</v>
      </c>
      <c r="M10" s="18">
        <f t="shared" si="5"/>
        <v>1.909430595499164E-2</v>
      </c>
      <c r="N10" s="102">
        <f>[16]Composition!$J$19</f>
        <v>161.9</v>
      </c>
      <c r="O10" s="18">
        <f t="shared" si="6"/>
        <v>1.579832785579903E-2</v>
      </c>
      <c r="P10" s="102">
        <f>[17]Composition!$L$19</f>
        <v>122.42</v>
      </c>
      <c r="Q10" s="18">
        <f t="shared" si="6"/>
        <v>1.4221852535118986E-2</v>
      </c>
      <c r="R10" s="102">
        <f>[18]Composition!N17</f>
        <v>17.847000000000001</v>
      </c>
      <c r="S10" s="18">
        <f t="shared" si="6"/>
        <v>6.261773092573684E-3</v>
      </c>
      <c r="T10" s="102">
        <f>[19]Composition!$P$17</f>
        <v>1.7964999999999982</v>
      </c>
      <c r="U10" s="18">
        <f t="shared" si="6"/>
        <v>5.6617798032511759E-4</v>
      </c>
      <c r="V10" s="102">
        <f>[20]Composition!R17</f>
        <v>87.452500000000001</v>
      </c>
      <c r="W10" s="18">
        <f t="shared" si="6"/>
        <v>2.7612999612148373E-2</v>
      </c>
      <c r="X10" s="102">
        <f>[21]Composition!$T$17</f>
        <v>0</v>
      </c>
      <c r="Y10" s="18">
        <f t="shared" si="6"/>
        <v>0</v>
      </c>
      <c r="Z10" s="22"/>
    </row>
    <row r="11" spans="1:26" x14ac:dyDescent="0.35">
      <c r="A11" s="16" t="s">
        <v>21</v>
      </c>
      <c r="B11" s="100">
        <f>[12]Composition!V10</f>
        <v>184.01992199999998</v>
      </c>
      <c r="C11" s="18">
        <f t="shared" si="0"/>
        <v>0.1206</v>
      </c>
      <c r="D11" s="100">
        <f>[12]Composition!X10</f>
        <v>195.79200599999999</v>
      </c>
      <c r="E11" s="18">
        <f t="shared" si="1"/>
        <v>0.11511151115111511</v>
      </c>
      <c r="F11" s="102">
        <f>[13]Composition!B10</f>
        <v>160.03222500000001</v>
      </c>
      <c r="G11" s="18">
        <f t="shared" si="2"/>
        <v>0.10654261704681872</v>
      </c>
      <c r="H11" s="102">
        <f>[14]Composition!D10</f>
        <v>2306.9699999999998</v>
      </c>
      <c r="I11" s="18">
        <f t="shared" si="3"/>
        <v>0.23333069690828254</v>
      </c>
      <c r="J11" s="102">
        <f>[14]Composition!F10</f>
        <v>1481.9550000000002</v>
      </c>
      <c r="K11" s="18">
        <f t="shared" si="4"/>
        <v>0.1602034450948448</v>
      </c>
      <c r="L11" s="102">
        <f>[15]Composition!H10</f>
        <v>1601.49</v>
      </c>
      <c r="M11" s="18">
        <f t="shared" si="5"/>
        <v>0.15805727008765991</v>
      </c>
      <c r="N11" s="102">
        <f>[16]Composition!J10</f>
        <v>1544.3</v>
      </c>
      <c r="O11" s="18">
        <f t="shared" si="6"/>
        <v>0.15069399448863768</v>
      </c>
      <c r="P11" s="102">
        <f>[17]Composition!L10</f>
        <v>1354.6</v>
      </c>
      <c r="Q11" s="18">
        <f t="shared" si="6"/>
        <v>0.15736743541963874</v>
      </c>
      <c r="R11" s="102">
        <f>[18]Composition!N10</f>
        <v>504.85850000000005</v>
      </c>
      <c r="S11" s="18">
        <f t="shared" si="6"/>
        <v>0.17713393684412571</v>
      </c>
      <c r="T11" s="102">
        <f>[19]Composition!P10</f>
        <v>464.54750000000001</v>
      </c>
      <c r="U11" s="18">
        <f t="shared" si="6"/>
        <v>0.14640499043422367</v>
      </c>
      <c r="V11" s="102">
        <f>[20]Composition!R10</f>
        <v>552.77549999999997</v>
      </c>
      <c r="W11" s="18">
        <f t="shared" si="6"/>
        <v>0.17453805971361736</v>
      </c>
      <c r="X11" s="102">
        <f>[21]Composition!T10</f>
        <v>489.08850000000001</v>
      </c>
      <c r="Y11" s="18">
        <f t="shared" si="6"/>
        <v>0.14737962596756882</v>
      </c>
      <c r="Z11" s="22"/>
    </row>
    <row r="12" spans="1:26" x14ac:dyDescent="0.35">
      <c r="A12" s="16" t="s">
        <v>22</v>
      </c>
      <c r="B12" s="100">
        <f>[12]Composition!V11</f>
        <v>48.064904999999996</v>
      </c>
      <c r="C12" s="18">
        <f t="shared" si="0"/>
        <v>3.15E-2</v>
      </c>
      <c r="D12" s="100">
        <f>[12]Composition!X11</f>
        <v>52.222542000000004</v>
      </c>
      <c r="E12" s="18">
        <f t="shared" si="1"/>
        <v>3.0703070307030709E-2</v>
      </c>
      <c r="F12" s="102">
        <f>[13]Composition!B11</f>
        <v>44.778970000000001</v>
      </c>
      <c r="G12" s="18">
        <f t="shared" si="2"/>
        <v>2.981192476990796E-2</v>
      </c>
      <c r="H12" s="102">
        <f>[14]Composition!D11</f>
        <v>314.61</v>
      </c>
      <c r="I12" s="18">
        <f t="shared" si="3"/>
        <v>3.1820166952459192E-2</v>
      </c>
      <c r="J12" s="102">
        <f>[14]Composition!F11</f>
        <v>337.18500000000006</v>
      </c>
      <c r="K12" s="18">
        <f t="shared" si="4"/>
        <v>3.645063354440941E-2</v>
      </c>
      <c r="L12" s="102">
        <f>[15]Composition!H11</f>
        <v>343.04</v>
      </c>
      <c r="M12" s="18">
        <f t="shared" si="5"/>
        <v>3.3855950353028026E-2</v>
      </c>
      <c r="N12" s="102">
        <f>[16]Composition!J11</f>
        <v>424.04</v>
      </c>
      <c r="O12" s="18">
        <f t="shared" si="6"/>
        <v>4.1378152834916748E-2</v>
      </c>
      <c r="P12" s="102">
        <f>[17]Composition!L11</f>
        <v>272.08</v>
      </c>
      <c r="Q12" s="18">
        <f t="shared" si="6"/>
        <v>3.1608247326867941E-2</v>
      </c>
      <c r="R12" s="102">
        <f>[18]Composition!N11</f>
        <v>181.92609999999999</v>
      </c>
      <c r="S12" s="18">
        <f t="shared" si="6"/>
        <v>6.3830333267040351E-2</v>
      </c>
      <c r="T12" s="102">
        <f>[19]Composition!P11</f>
        <v>175.66949199999999</v>
      </c>
      <c r="U12" s="18">
        <f t="shared" si="6"/>
        <v>5.5363316551794876E-2</v>
      </c>
      <c r="V12" s="102">
        <f>[20]Composition!R11</f>
        <v>169.27680830000003</v>
      </c>
      <c r="W12" s="18">
        <f t="shared" si="6"/>
        <v>5.3448905885293337E-2</v>
      </c>
      <c r="X12" s="102">
        <f>[21]Composition!T11</f>
        <v>211.08249999999998</v>
      </c>
      <c r="Y12" s="18">
        <f t="shared" si="6"/>
        <v>6.3606606776277386E-2</v>
      </c>
      <c r="Z12" s="22"/>
    </row>
    <row r="13" spans="1:26" x14ac:dyDescent="0.35">
      <c r="A13" s="16" t="s">
        <v>26</v>
      </c>
      <c r="B13" s="100">
        <f>[12]Composition!V12</f>
        <v>13.275068999999998</v>
      </c>
      <c r="C13" s="18">
        <f t="shared" si="0"/>
        <v>8.6999999999999994E-3</v>
      </c>
      <c r="D13" s="100">
        <f>[12]Composition!X12</f>
        <v>15.309539999999998</v>
      </c>
      <c r="E13" s="18">
        <f t="shared" si="1"/>
        <v>9.0009000900090012E-3</v>
      </c>
      <c r="F13" s="102">
        <f>[13]Composition!B12</f>
        <v>12.622260000000001</v>
      </c>
      <c r="G13" s="18">
        <f t="shared" si="2"/>
        <v>8.4033613445378148E-3</v>
      </c>
      <c r="H13" s="102">
        <f>[14]Composition!D12</f>
        <v>54.39</v>
      </c>
      <c r="I13" s="18">
        <f t="shared" si="3"/>
        <v>5.5010930375520651E-3</v>
      </c>
      <c r="J13" s="102">
        <f>[14]Composition!F12</f>
        <v>48.17</v>
      </c>
      <c r="K13" s="18">
        <f t="shared" si="4"/>
        <v>5.2073105797535504E-3</v>
      </c>
      <c r="L13" s="102">
        <f>[15]Composition!H12</f>
        <v>50.92</v>
      </c>
      <c r="M13" s="18">
        <f t="shared" si="5"/>
        <v>5.0254926305275975E-3</v>
      </c>
      <c r="N13" s="102">
        <f>[16]Composition!J12</f>
        <v>56.12</v>
      </c>
      <c r="O13" s="18">
        <f t="shared" si="6"/>
        <v>5.4762332258643702E-3</v>
      </c>
      <c r="P13" s="102">
        <f>[17]Composition!L12</f>
        <v>44.32</v>
      </c>
      <c r="Q13" s="18">
        <f t="shared" si="6"/>
        <v>5.1487706613010413E-3</v>
      </c>
      <c r="R13" s="102">
        <f>[18]Composition!N12</f>
        <v>14.734</v>
      </c>
      <c r="S13" s="18">
        <f t="shared" si="6"/>
        <v>5.1695503303625621E-3</v>
      </c>
      <c r="T13" s="102">
        <f>[19]Composition!P12</f>
        <v>41.783299999999997</v>
      </c>
      <c r="U13" s="18">
        <f t="shared" si="6"/>
        <v>1.3168262958707769E-2</v>
      </c>
      <c r="V13" s="102">
        <f>[20]Composition!R12</f>
        <v>25.827331849999997</v>
      </c>
      <c r="W13" s="18">
        <f t="shared" si="6"/>
        <v>8.154942447121321E-3</v>
      </c>
      <c r="X13" s="102">
        <f>[21]Composition!T12</f>
        <v>60.983499999999992</v>
      </c>
      <c r="Y13" s="18">
        <f t="shared" si="6"/>
        <v>1.8376480780458407E-2</v>
      </c>
      <c r="Z13" s="22"/>
    </row>
    <row r="14" spans="1:26" x14ac:dyDescent="0.35">
      <c r="A14" s="16" t="s">
        <v>27</v>
      </c>
      <c r="B14" s="100">
        <f>[12]Composition!V13</f>
        <v>9.9181549999999987</v>
      </c>
      <c r="C14" s="18">
        <f t="shared" si="0"/>
        <v>6.4999999999999997E-3</v>
      </c>
      <c r="D14" s="100">
        <f>[12]Composition!X13</f>
        <v>9.5259359999999997</v>
      </c>
      <c r="E14" s="18">
        <f t="shared" si="1"/>
        <v>5.6005600560056004E-3</v>
      </c>
      <c r="F14" s="102">
        <f>[13]Composition!B13</f>
        <v>8.1143100000000015</v>
      </c>
      <c r="G14" s="18">
        <f t="shared" si="2"/>
        <v>5.4021608643457387E-3</v>
      </c>
      <c r="H14" s="102">
        <f>[14]Composition!D13</f>
        <v>68.62</v>
      </c>
      <c r="I14" s="18">
        <f t="shared" si="3"/>
        <v>6.9403383753782449E-3</v>
      </c>
      <c r="J14" s="102">
        <f>[14]Composition!F13</f>
        <v>79.28</v>
      </c>
      <c r="K14" s="18">
        <f t="shared" si="4"/>
        <v>8.5703878505887787E-3</v>
      </c>
      <c r="L14" s="102">
        <f>[15]Composition!H13</f>
        <v>85.07</v>
      </c>
      <c r="M14" s="18">
        <f t="shared" si="5"/>
        <v>8.3958888075212623E-3</v>
      </c>
      <c r="N14" s="102">
        <f>[16]Composition!J13</f>
        <v>117.24</v>
      </c>
      <c r="O14" s="18">
        <f t="shared" si="6"/>
        <v>1.1440370338566265E-2</v>
      </c>
      <c r="P14" s="102">
        <f>[17]Composition!L13</f>
        <v>75.88</v>
      </c>
      <c r="Q14" s="18">
        <f t="shared" si="6"/>
        <v>8.8151786502599951E-3</v>
      </c>
      <c r="R14" s="102">
        <f>[18]Composition!N13</f>
        <v>30.875</v>
      </c>
      <c r="S14" s="18">
        <f t="shared" si="6"/>
        <v>1.0832758683992406E-2</v>
      </c>
      <c r="T14" s="102">
        <f>[19]Composition!P13</f>
        <v>35.377285999999998</v>
      </c>
      <c r="U14" s="18">
        <f t="shared" si="6"/>
        <v>1.1149368403486822E-2</v>
      </c>
      <c r="V14" s="102">
        <f>[20]Composition!R13</f>
        <v>33.596259400000008</v>
      </c>
      <c r="W14" s="18">
        <f t="shared" si="6"/>
        <v>1.0607970015515123E-2</v>
      </c>
      <c r="X14" s="102">
        <f>[21]Composition!T13</f>
        <v>39.001000000000005</v>
      </c>
      <c r="Y14" s="18">
        <f t="shared" si="6"/>
        <v>1.1752377723788541E-2</v>
      </c>
      <c r="Z14" s="22"/>
    </row>
    <row r="15" spans="1:26" x14ac:dyDescent="0.35">
      <c r="A15" s="16" t="s">
        <v>28</v>
      </c>
      <c r="B15" s="100">
        <f>[12]Composition!V14</f>
        <v>0</v>
      </c>
      <c r="C15" s="18">
        <f t="shared" si="0"/>
        <v>0</v>
      </c>
      <c r="D15" s="100">
        <f>[12]Composition!X14</f>
        <v>0</v>
      </c>
      <c r="E15" s="18">
        <f t="shared" si="1"/>
        <v>0</v>
      </c>
      <c r="F15" s="102">
        <f>[13]Composition!B14</f>
        <v>0</v>
      </c>
      <c r="G15" s="18">
        <f t="shared" si="2"/>
        <v>0</v>
      </c>
      <c r="H15" s="102">
        <f>[14]Composition!D14</f>
        <v>0</v>
      </c>
      <c r="I15" s="18">
        <f t="shared" si="3"/>
        <v>0</v>
      </c>
      <c r="J15" s="102">
        <f>[14]Composition!F14</f>
        <v>0</v>
      </c>
      <c r="K15" s="18">
        <f t="shared" si="4"/>
        <v>0</v>
      </c>
      <c r="L15" s="102">
        <f>[15]Composition!H14</f>
        <v>0</v>
      </c>
      <c r="M15" s="18">
        <f t="shared" si="5"/>
        <v>0</v>
      </c>
      <c r="N15" s="102">
        <f>[16]Composition!J14</f>
        <v>0</v>
      </c>
      <c r="O15" s="18">
        <f t="shared" si="6"/>
        <v>0</v>
      </c>
      <c r="P15" s="102">
        <f>[17]Composition!L14</f>
        <v>0</v>
      </c>
      <c r="Q15" s="18">
        <f t="shared" si="6"/>
        <v>0</v>
      </c>
      <c r="R15" s="102">
        <f>[18]Composition!N14</f>
        <v>0</v>
      </c>
      <c r="S15" s="18">
        <f t="shared" si="6"/>
        <v>0</v>
      </c>
      <c r="T15" s="102">
        <f>[19]Composition!P14</f>
        <v>49.288000000000004</v>
      </c>
      <c r="U15" s="18">
        <f t="shared" si="6"/>
        <v>1.5533415137358434E-2</v>
      </c>
      <c r="V15" s="102">
        <f>[20]Composition!R14</f>
        <v>14.345999999999997</v>
      </c>
      <c r="W15" s="18">
        <f t="shared" si="6"/>
        <v>4.5297286233770386E-3</v>
      </c>
      <c r="X15" s="102">
        <f>[21]Composition!T14</f>
        <v>42.366</v>
      </c>
      <c r="Y15" s="18">
        <f t="shared" si="6"/>
        <v>1.276637098141138E-2</v>
      </c>
      <c r="Z15" s="22"/>
    </row>
    <row r="16" spans="1:26" ht="15" x14ac:dyDescent="0.4">
      <c r="A16" s="16" t="s">
        <v>31</v>
      </c>
      <c r="B16" s="101">
        <f>[12]Composition!V19+[12]Composition!V18+[12]Composition!V16+[12]Composition!V15</f>
        <v>251.31078899999997</v>
      </c>
      <c r="C16" s="26">
        <f t="shared" si="0"/>
        <v>0.16469999999999999</v>
      </c>
      <c r="D16" s="101">
        <f>[12]Composition!X19+[12]Composition!X18+[12]Composition!X16+[12]Composition!X15</f>
        <v>313.84557000000001</v>
      </c>
      <c r="E16" s="26">
        <f t="shared" si="1"/>
        <v>0.18451845184518453</v>
      </c>
      <c r="F16" s="101">
        <f>[13]Composition!$B$19+[13]Composition!$B$18+[13]Composition!$B$16+[13]Composition!$B$15</f>
        <v>272.28018000000009</v>
      </c>
      <c r="G16" s="26">
        <f t="shared" si="2"/>
        <v>0.18127250900360148</v>
      </c>
      <c r="H16" s="101">
        <f>[14]Composition!D20+[14]Composition!D16+[14]Composition!D15</f>
        <v>1184.4724999999999</v>
      </c>
      <c r="I16" s="26">
        <f t="shared" si="3"/>
        <v>0.1197994745894813</v>
      </c>
      <c r="J16" s="101">
        <f>[14]Composition!F20+[14]Composition!F16+[14]Composition!F15</f>
        <v>1809.2375</v>
      </c>
      <c r="K16" s="26">
        <f t="shared" ref="K16" si="7">+J16/J$17</f>
        <v>0.19558359092872876</v>
      </c>
      <c r="L16" s="101">
        <f>[15]Composition!$H$20+[15]Composition!$H$18+[15]Composition!$H$16+[15]Composition!$H$15</f>
        <v>2044.57</v>
      </c>
      <c r="M16" s="26">
        <f t="shared" ref="M16" si="8">+L16/L$17</f>
        <v>0.20178655670851944</v>
      </c>
      <c r="N16" s="101">
        <f>[16]Composition!$J$20+[16]Composition!$J$18+[16]Composition!$J$16+[16]Composition!$J$15</f>
        <v>2202.9100000000003</v>
      </c>
      <c r="O16" s="26">
        <f t="shared" ref="O16:Y17" si="9">+N16/N$17</f>
        <v>0.21496167027065008</v>
      </c>
      <c r="P16" s="101">
        <f>[17]Composition!$L$20+[17]Composition!$L$18+[17]Composition!$L$16+[17]Composition!$L$15</f>
        <v>1696.0200000000002</v>
      </c>
      <c r="Q16" s="26">
        <f t="shared" si="9"/>
        <v>0.1970310924408798</v>
      </c>
      <c r="R16" s="101">
        <f>[18]Composition!$N$20+[18]Composition!$N$18</f>
        <v>454.02021000000002</v>
      </c>
      <c r="S16" s="26">
        <f t="shared" si="9"/>
        <v>0.1592968865614755</v>
      </c>
      <c r="T16" s="101">
        <f>[19]Composition!$P$20+[19]Composition!$P$18</f>
        <v>378.82210199999997</v>
      </c>
      <c r="U16" s="26">
        <f t="shared" si="9"/>
        <v>0.11938810610235229</v>
      </c>
      <c r="V16" s="101">
        <f>[20]Composition!$R$20+[20]Composition!$R$19+[20]Composition!$R$18</f>
        <v>498.27935600000001</v>
      </c>
      <c r="W16" s="26">
        <f t="shared" si="9"/>
        <v>0.15733098154963598</v>
      </c>
      <c r="X16" s="101">
        <f>[21]Composition!$T$20+[21]Composition!$T$18</f>
        <v>588.15</v>
      </c>
      <c r="Y16" s="26">
        <f t="shared" si="9"/>
        <v>0.17723035199728801</v>
      </c>
      <c r="Z16" s="22"/>
    </row>
    <row r="17" spans="1:32" s="13" customFormat="1" ht="15" thickBot="1" x14ac:dyDescent="0.4">
      <c r="A17" s="23"/>
      <c r="B17" s="25">
        <f>SUM(B6:B16)</f>
        <v>1525.87</v>
      </c>
      <c r="C17" s="24">
        <f t="shared" si="0"/>
        <v>1</v>
      </c>
      <c r="D17" s="25">
        <f>SUM(D6:D16)</f>
        <v>1700.8898939999999</v>
      </c>
      <c r="E17" s="24">
        <f t="shared" si="1"/>
        <v>1</v>
      </c>
      <c r="F17" s="25">
        <f>SUM(F6:F16)</f>
        <v>1502.0489400000001</v>
      </c>
      <c r="G17" s="24">
        <f t="shared" si="2"/>
        <v>1</v>
      </c>
      <c r="H17" s="25">
        <f>SUM(H6:H16)</f>
        <v>9887.1260000000002</v>
      </c>
      <c r="I17" s="24">
        <f t="shared" si="3"/>
        <v>1</v>
      </c>
      <c r="J17" s="25">
        <f>SUM(J6:J16)</f>
        <v>9250.4565000000002</v>
      </c>
      <c r="K17" s="24">
        <f t="shared" ref="K17" si="10">+J17/J$17</f>
        <v>1</v>
      </c>
      <c r="L17" s="25">
        <f>SUM(L6:L16)</f>
        <v>10132.34</v>
      </c>
      <c r="M17" s="24">
        <f t="shared" ref="M17" si="11">+L17/L$17</f>
        <v>1</v>
      </c>
      <c r="N17" s="25">
        <f>SUM(N6:N16)</f>
        <v>10247.92</v>
      </c>
      <c r="O17" s="24">
        <f t="shared" ref="O17:S17" si="12">+N17/N$17</f>
        <v>1</v>
      </c>
      <c r="P17" s="25">
        <f>SUM(P6:P16)</f>
        <v>8607.8799999999992</v>
      </c>
      <c r="Q17" s="24">
        <f t="shared" si="12"/>
        <v>1</v>
      </c>
      <c r="R17" s="25">
        <f>SUM(R6:R16)</f>
        <v>2850.1511850000002</v>
      </c>
      <c r="S17" s="24">
        <f t="shared" si="12"/>
        <v>1</v>
      </c>
      <c r="T17" s="25">
        <f>SUM(T6:T16)</f>
        <v>3173.0305000000003</v>
      </c>
      <c r="U17" s="24">
        <f t="shared" si="9"/>
        <v>1</v>
      </c>
      <c r="V17" s="25">
        <f>SUM(V6:V16)</f>
        <v>3167.0771458499989</v>
      </c>
      <c r="W17" s="24">
        <f t="shared" si="9"/>
        <v>1</v>
      </c>
      <c r="X17" s="25">
        <f>SUM(X6:X16)</f>
        <v>3318.5624999999995</v>
      </c>
      <c r="Y17" s="24">
        <f t="shared" si="9"/>
        <v>1</v>
      </c>
      <c r="Z17" s="22"/>
    </row>
    <row r="18" spans="1:32" ht="15" thickTop="1" x14ac:dyDescent="0.35">
      <c r="Z18" s="22"/>
    </row>
    <row r="19" spans="1:32" x14ac:dyDescent="0.35">
      <c r="Z19" s="22"/>
    </row>
    <row r="20" spans="1:32" x14ac:dyDescent="0.35">
      <c r="E20" s="36"/>
    </row>
    <row r="21" spans="1:32" x14ac:dyDescent="0.35">
      <c r="A21" s="29" t="s">
        <v>33</v>
      </c>
      <c r="B21" s="29"/>
      <c r="C21" s="29"/>
      <c r="D21" s="38"/>
      <c r="E21" s="38"/>
      <c r="F21" s="108"/>
      <c r="G21" s="108"/>
      <c r="H21" s="108"/>
      <c r="I21" s="108"/>
      <c r="J21" s="108"/>
      <c r="K21" s="108"/>
      <c r="L21" s="108"/>
      <c r="M21" s="108"/>
      <c r="N21" s="108"/>
      <c r="O21" s="108"/>
    </row>
    <row r="22" spans="1:32" x14ac:dyDescent="0.35">
      <c r="A22" s="16" t="s">
        <v>23</v>
      </c>
      <c r="B22" s="103">
        <f>[12]Prices!$B$14</f>
        <v>50</v>
      </c>
      <c r="C22" s="104"/>
      <c r="D22" s="103">
        <f>[12]Prices!$B$15</f>
        <v>60.63</v>
      </c>
      <c r="E22" s="105"/>
      <c r="F22" s="103">
        <f>[13]Prices!$B$4</f>
        <v>0</v>
      </c>
      <c r="H22" s="109">
        <f>[15]Prices!$B$5</f>
        <v>93.21</v>
      </c>
      <c r="J22" s="109">
        <f>[15]Prices!$B$6</f>
        <v>91.11</v>
      </c>
      <c r="L22" s="103">
        <f>[15]Prices!$B$7</f>
        <v>86.37</v>
      </c>
      <c r="N22" s="103">
        <f>[16]Prices!$B$8</f>
        <v>93.08</v>
      </c>
      <c r="P22" s="106">
        <v>115.15</v>
      </c>
      <c r="R22" s="103">
        <f>[18]Prices!$B$10</f>
        <v>0</v>
      </c>
      <c r="T22" s="109">
        <f>[19]Prices!$B$11</f>
        <v>0</v>
      </c>
      <c r="V22" s="103">
        <f>[20]Prices!$B$12</f>
        <v>100</v>
      </c>
      <c r="X22" s="94">
        <f>[21]Prices!$B$13</f>
        <v>85</v>
      </c>
      <c r="Y22" s="94"/>
      <c r="Z22" s="94"/>
      <c r="AA22" s="106"/>
      <c r="AB22" s="106"/>
      <c r="AC22" s="106"/>
      <c r="AD22" s="106"/>
      <c r="AE22" s="106"/>
      <c r="AF22" s="106"/>
    </row>
    <row r="23" spans="1:32" x14ac:dyDescent="0.35">
      <c r="A23" s="16" t="s">
        <v>24</v>
      </c>
      <c r="B23" s="103">
        <f>[12]Prices!$C$14</f>
        <v>0</v>
      </c>
      <c r="C23" s="104"/>
      <c r="D23" s="103">
        <f>[12]Prices!$C$15</f>
        <v>0</v>
      </c>
      <c r="E23" s="105"/>
      <c r="F23" s="103">
        <f>[13]Prices!$C$4</f>
        <v>46.61</v>
      </c>
      <c r="H23" s="109">
        <f>[15]Prices!$C$5</f>
        <v>66.900000000000006</v>
      </c>
      <c r="J23" s="109">
        <f>[15]Prices!$C$6</f>
        <v>66.67</v>
      </c>
      <c r="L23" s="103">
        <f>[15]Prices!$C$7</f>
        <v>77.12</v>
      </c>
      <c r="N23" s="103">
        <f>[16]Prices!$C$8</f>
        <v>81.42</v>
      </c>
      <c r="P23" s="106">
        <v>92.09</v>
      </c>
      <c r="R23" s="110">
        <f>[18]Prices!$C$10</f>
        <v>83.3</v>
      </c>
      <c r="T23" s="111">
        <f>[19]Prices!$C$11</f>
        <v>77.48</v>
      </c>
      <c r="V23" s="110">
        <f>[20]Prices!$C$12</f>
        <v>77.319999999999993</v>
      </c>
      <c r="X23" s="112">
        <f>[21]Prices!$C$13</f>
        <v>66.31</v>
      </c>
      <c r="Y23" s="94"/>
      <c r="Z23" s="94"/>
      <c r="AA23" s="106"/>
      <c r="AB23" s="106"/>
      <c r="AC23" s="106"/>
      <c r="AD23" s="106"/>
      <c r="AE23" s="106"/>
      <c r="AF23" s="106"/>
    </row>
    <row r="24" spans="1:32" x14ac:dyDescent="0.35">
      <c r="A24" s="16" t="s">
        <v>20</v>
      </c>
      <c r="B24" s="103">
        <f>[12]Prices!$D$14</f>
        <v>88.06</v>
      </c>
      <c r="C24" s="104"/>
      <c r="D24" s="103">
        <f>[12]Prices!$D$15</f>
        <v>101.53</v>
      </c>
      <c r="E24" s="105"/>
      <c r="F24" s="103">
        <f>[13]Prices!$D$4</f>
        <v>104.12</v>
      </c>
      <c r="H24" s="109">
        <f>[15]Prices!$D$5</f>
        <v>156.06</v>
      </c>
      <c r="J24" s="109">
        <f>[15]Prices!$D$6</f>
        <v>163.21</v>
      </c>
      <c r="L24" s="103">
        <f>[15]Prices!$D$7</f>
        <v>158.32</v>
      </c>
      <c r="N24" s="103">
        <f>[16]Prices!$D$8</f>
        <v>169.85</v>
      </c>
      <c r="P24" s="106">
        <v>175.19</v>
      </c>
      <c r="R24" s="110">
        <f>[18]Prices!$D$10</f>
        <v>138.72999999999999</v>
      </c>
      <c r="T24" s="111">
        <f>[19]Prices!$D$11</f>
        <v>127.05</v>
      </c>
      <c r="V24" s="110">
        <f>[20]Prices!$D$12</f>
        <v>117.7</v>
      </c>
      <c r="X24" s="112">
        <f>[21]Prices!$D$13</f>
        <v>104.26</v>
      </c>
      <c r="Y24" s="94"/>
      <c r="Z24" s="94"/>
      <c r="AA24" s="106"/>
      <c r="AB24" s="106"/>
      <c r="AC24" s="106"/>
      <c r="AD24" s="106"/>
      <c r="AE24" s="106"/>
      <c r="AF24" s="106"/>
    </row>
    <row r="25" spans="1:32" x14ac:dyDescent="0.35">
      <c r="A25" s="16" t="s">
        <v>25</v>
      </c>
      <c r="B25" s="103">
        <f>[12]Prices!$E$14</f>
        <v>1201.7</v>
      </c>
      <c r="C25" s="104"/>
      <c r="D25" s="103">
        <f>[12]Prices!$E$15</f>
        <v>1422.93</v>
      </c>
      <c r="E25" s="105"/>
      <c r="F25" s="103">
        <f>[13]Prices!$E$4</f>
        <v>1198.5899999999999</v>
      </c>
      <c r="H25" s="109">
        <f>[15]Prices!$E$5</f>
        <v>1019.35</v>
      </c>
      <c r="J25" s="109">
        <f>[15]Prices!$E$6</f>
        <v>1018.33</v>
      </c>
      <c r="L25" s="103">
        <f>[15]Prices!$E$7</f>
        <v>1304.8</v>
      </c>
      <c r="N25" s="103">
        <f>[16]Prices!$E$8</f>
        <v>1293.8</v>
      </c>
      <c r="P25" s="106">
        <v>1374.96</v>
      </c>
      <c r="R25" s="110">
        <f>[18]Prices!$E$10</f>
        <v>1282.58</v>
      </c>
      <c r="T25" s="111">
        <f>[19]Prices!$E$11</f>
        <v>1405.96</v>
      </c>
      <c r="V25" s="110">
        <f>[20]Prices!$E$12</f>
        <v>1528.64</v>
      </c>
      <c r="X25" s="112">
        <f>[21]Prices!$E$13</f>
        <v>1484.34</v>
      </c>
      <c r="Y25" s="94"/>
      <c r="Z25" s="94"/>
      <c r="AA25" s="106"/>
      <c r="AB25" s="106"/>
      <c r="AC25" s="106"/>
      <c r="AD25" s="106"/>
      <c r="AE25" s="106"/>
      <c r="AF25" s="106"/>
    </row>
    <row r="26" spans="1:32" x14ac:dyDescent="0.35">
      <c r="A26" s="16" t="s">
        <v>29</v>
      </c>
      <c r="B26" s="103">
        <f>[12]Prices!$F$14</f>
        <v>197.02</v>
      </c>
      <c r="C26" s="104"/>
      <c r="D26" s="103">
        <f>[12]Prices!$F$15</f>
        <v>243.57</v>
      </c>
      <c r="E26" s="105"/>
      <c r="F26" s="103">
        <f>[13]Prices!$F$4</f>
        <v>208.69</v>
      </c>
      <c r="H26" s="109">
        <f>[15]Prices!$F$5</f>
        <v>254</v>
      </c>
      <c r="J26" s="109">
        <f>[15]Prices!$F$6</f>
        <v>188.25</v>
      </c>
      <c r="L26" s="103">
        <f>[15]Prices!$F$7</f>
        <v>187.8</v>
      </c>
      <c r="N26" s="103">
        <f>[16]Prices!$F$8</f>
        <v>187.66</v>
      </c>
      <c r="P26" s="106">
        <v>184.52</v>
      </c>
      <c r="R26" s="110">
        <f>[18]Prices!$F$10</f>
        <v>186.28</v>
      </c>
      <c r="T26" s="111">
        <f>[19]Prices!$F$11</f>
        <v>186.28</v>
      </c>
      <c r="V26" s="110">
        <f>[20]Prices!$F$12</f>
        <v>237.65</v>
      </c>
      <c r="X26" s="112">
        <f>[21]Prices!$F$13</f>
        <v>181.05</v>
      </c>
      <c r="Y26" s="94"/>
      <c r="Z26" s="94"/>
      <c r="AA26" s="106"/>
      <c r="AB26" s="106"/>
      <c r="AC26" s="106"/>
      <c r="AD26" s="106"/>
      <c r="AE26" s="106"/>
      <c r="AF26" s="106"/>
    </row>
    <row r="27" spans="1:32" x14ac:dyDescent="0.35">
      <c r="A27" s="16" t="s">
        <v>21</v>
      </c>
      <c r="B27" s="103">
        <f>[12]Prices!$G$14</f>
        <v>-60.5</v>
      </c>
      <c r="C27" s="103"/>
      <c r="D27" s="103">
        <f>[12]Prices!$G$15</f>
        <v>-60.5</v>
      </c>
      <c r="E27" s="103"/>
      <c r="F27" s="103">
        <f>[13]Prices!$G$4</f>
        <v>-60.55</v>
      </c>
      <c r="H27" s="103">
        <f>[15]Prices!$G$5</f>
        <v>-46.73</v>
      </c>
      <c r="J27" s="103">
        <f>[15]Prices!$G$6</f>
        <v>-46.73</v>
      </c>
      <c r="L27" s="103">
        <f>[15]Prices!$G$7</f>
        <v>-12.43</v>
      </c>
      <c r="N27" s="103">
        <f>[16]Prices!$G$8</f>
        <v>-25.66</v>
      </c>
      <c r="P27" s="103">
        <v>-32.61</v>
      </c>
      <c r="R27" s="110">
        <f>[18]Prices!$G$10</f>
        <v>-32.163466539077618</v>
      </c>
      <c r="T27" s="110">
        <f>[19]Prices!$G$11</f>
        <v>-44.395373510016441</v>
      </c>
      <c r="V27" s="110">
        <f>[20]Prices!$G$12</f>
        <v>-44.395373510016441</v>
      </c>
      <c r="X27" s="110">
        <f>[21]Prices!$G$13</f>
        <v>-44.395373510016441</v>
      </c>
      <c r="Y27" s="94"/>
      <c r="Z27" s="94"/>
      <c r="AA27" s="106"/>
      <c r="AB27" s="106"/>
      <c r="AC27" s="106"/>
      <c r="AD27" s="106"/>
      <c r="AE27" s="106"/>
      <c r="AF27" s="106"/>
    </row>
    <row r="28" spans="1:32" x14ac:dyDescent="0.35">
      <c r="A28" s="16" t="s">
        <v>22</v>
      </c>
      <c r="B28" s="103">
        <f>[12]Prices!$H$14</f>
        <v>120</v>
      </c>
      <c r="C28" s="104"/>
      <c r="D28" s="103">
        <f>[12]Prices!$H$15</f>
        <v>143.30000000000001</v>
      </c>
      <c r="E28" s="105"/>
      <c r="F28" s="103">
        <f>[13]Prices!$H$4</f>
        <v>150</v>
      </c>
      <c r="H28" s="109">
        <f>[15]Prices!$H$5</f>
        <v>150</v>
      </c>
      <c r="J28" s="109">
        <f>[15]Prices!$H$6</f>
        <v>149.30000000000001</v>
      </c>
      <c r="L28" s="103">
        <f>[15]Prices!$H$7</f>
        <v>157.38</v>
      </c>
      <c r="N28" s="103">
        <f>[16]Prices!$H$8</f>
        <v>210</v>
      </c>
      <c r="P28" s="106">
        <v>210</v>
      </c>
      <c r="R28" s="110">
        <f>[18]Prices!$H$10</f>
        <v>250</v>
      </c>
      <c r="T28" s="111">
        <f>[19]Prices!$H$11</f>
        <v>260</v>
      </c>
      <c r="V28" s="110">
        <f>[20]Prices!$H$12</f>
        <v>261.73</v>
      </c>
      <c r="X28" s="112">
        <f>[21]Prices!$H$13</f>
        <v>250</v>
      </c>
      <c r="Y28" s="94"/>
      <c r="Z28" s="94"/>
      <c r="AA28" s="106"/>
      <c r="AB28" s="106"/>
      <c r="AC28" s="106"/>
      <c r="AD28" s="106"/>
      <c r="AE28" s="106"/>
      <c r="AF28" s="106"/>
    </row>
    <row r="29" spans="1:32" x14ac:dyDescent="0.35">
      <c r="A29" s="16" t="s">
        <v>26</v>
      </c>
      <c r="B29" s="103">
        <f>[12]Prices!$J$14</f>
        <v>540</v>
      </c>
      <c r="C29" s="104"/>
      <c r="D29" s="103">
        <f>[12]Prices!$J$15</f>
        <v>617.16</v>
      </c>
      <c r="E29" s="105"/>
      <c r="F29" s="103">
        <f>[13]Prices!$J$4</f>
        <v>590.4</v>
      </c>
      <c r="H29" s="109">
        <f>[15]Prices!$J$5</f>
        <v>560</v>
      </c>
      <c r="J29" s="109">
        <f>[15]Prices!$J$6</f>
        <v>560</v>
      </c>
      <c r="L29" s="103">
        <f>[15]Prices!$J$7</f>
        <v>560</v>
      </c>
      <c r="N29" s="103">
        <f>[16]Prices!$J$8</f>
        <v>600</v>
      </c>
      <c r="P29" s="103">
        <v>600</v>
      </c>
      <c r="R29" s="110">
        <f>[18]Prices!$J$10</f>
        <v>640</v>
      </c>
      <c r="T29" s="111">
        <f>[19]Prices!$J$11</f>
        <v>405.56</v>
      </c>
      <c r="V29" s="110">
        <f>[20]Prices!$J$12</f>
        <v>405.56</v>
      </c>
      <c r="X29" s="112">
        <f>[21]Prices!$J$13</f>
        <v>880</v>
      </c>
      <c r="Y29" s="94"/>
      <c r="Z29" s="94"/>
      <c r="AA29" s="106"/>
      <c r="AB29" s="106"/>
      <c r="AC29" s="106"/>
      <c r="AD29" s="106"/>
      <c r="AE29" s="106"/>
      <c r="AF29" s="106"/>
    </row>
    <row r="30" spans="1:32" x14ac:dyDescent="0.35">
      <c r="A30" s="16" t="s">
        <v>27</v>
      </c>
      <c r="B30" s="103">
        <f>[12]Prices!$K$14</f>
        <v>300</v>
      </c>
      <c r="C30" s="103"/>
      <c r="D30" s="103">
        <f>[12]Prices!$K$15</f>
        <v>352.74</v>
      </c>
      <c r="E30" s="105"/>
      <c r="F30" s="103">
        <f>[13]Prices!$K$4</f>
        <v>279.89</v>
      </c>
      <c r="H30" s="103">
        <f>[15]Prices!$K$5</f>
        <v>340</v>
      </c>
      <c r="J30" s="103">
        <f>[15]Prices!$K$6</f>
        <v>340</v>
      </c>
      <c r="L30" s="103">
        <f>[15]Prices!$K$7</f>
        <v>340</v>
      </c>
      <c r="N30" s="103">
        <f>[16]Prices!$K$8</f>
        <v>346.65</v>
      </c>
      <c r="P30" s="103">
        <v>344.99</v>
      </c>
      <c r="R30" s="110">
        <f>[18]Prices!$K$10</f>
        <v>220</v>
      </c>
      <c r="T30" s="110">
        <f>[19]Prices!$K$11</f>
        <v>200</v>
      </c>
      <c r="V30" s="110">
        <f>[20]Prices!$K$12</f>
        <v>220</v>
      </c>
      <c r="X30" s="110">
        <f>[21]Prices!$K$13</f>
        <v>220</v>
      </c>
      <c r="Y30" s="94"/>
      <c r="Z30" s="94"/>
      <c r="AA30" s="106"/>
      <c r="AB30" s="106"/>
      <c r="AC30" s="106"/>
      <c r="AD30" s="106"/>
      <c r="AE30" s="106"/>
      <c r="AF30" s="106"/>
    </row>
    <row r="31" spans="1:32" x14ac:dyDescent="0.35">
      <c r="A31" s="16" t="s">
        <v>28</v>
      </c>
      <c r="B31" s="103">
        <f>[12]Prices!$L$14</f>
        <v>-205</v>
      </c>
      <c r="D31" s="103">
        <f>[12]Prices!$L$15</f>
        <v>-205</v>
      </c>
      <c r="E31" s="103"/>
      <c r="F31" s="103">
        <f>[13]Prices!$L$4</f>
        <v>-205</v>
      </c>
      <c r="H31" s="103">
        <f>[15]Prices!$L$5</f>
        <v>-169.14</v>
      </c>
      <c r="J31" s="103">
        <f>[15]Prices!$L$6</f>
        <v>-169.14</v>
      </c>
      <c r="L31" s="103">
        <f>[15]Prices!$L$7</f>
        <v>-169.14</v>
      </c>
      <c r="N31" s="103">
        <f>[16]Prices!$L$8</f>
        <v>-169.14</v>
      </c>
      <c r="P31">
        <v>-169.14</v>
      </c>
      <c r="R31" s="110">
        <f>[18]Prices!$L$10</f>
        <v>-187.5</v>
      </c>
      <c r="T31" s="110">
        <f>[19]Prices!$L$11</f>
        <v>-187.5</v>
      </c>
      <c r="V31" s="110">
        <f>[20]Prices!$L$12</f>
        <v>-187.5</v>
      </c>
      <c r="X31" s="110">
        <f>[21]Prices!$L$13</f>
        <v>-187.5</v>
      </c>
      <c r="Y31" s="94"/>
      <c r="Z31" s="94"/>
      <c r="AA31" s="106"/>
      <c r="AB31" s="106"/>
      <c r="AC31" s="106"/>
      <c r="AD31" s="106"/>
      <c r="AE31" s="106"/>
      <c r="AF31" s="106"/>
    </row>
    <row r="32" spans="1:32" x14ac:dyDescent="0.35">
      <c r="E32" s="36"/>
      <c r="V32" s="91"/>
    </row>
    <row r="35" spans="1:24" x14ac:dyDescent="0.35">
      <c r="A35" s="29" t="s">
        <v>34</v>
      </c>
      <c r="B35" s="29"/>
      <c r="C35" s="29"/>
      <c r="D35" s="29"/>
      <c r="E35" s="29"/>
    </row>
    <row r="36" spans="1:24" x14ac:dyDescent="0.35">
      <c r="A36" s="16" t="s">
        <v>23</v>
      </c>
      <c r="B36" s="30">
        <f>+B6*B22</f>
        <v>12847.8254</v>
      </c>
      <c r="C36" s="16"/>
      <c r="D36" s="30">
        <f>+D6*D22</f>
        <v>17254.530302939998</v>
      </c>
      <c r="E36" s="16"/>
      <c r="F36" s="30">
        <f>+F6*F22</f>
        <v>0</v>
      </c>
      <c r="H36" s="30">
        <f>+H6*H22</f>
        <v>27620.919299999998</v>
      </c>
      <c r="J36" s="30">
        <f>+J6*J22</f>
        <v>74701.088999999993</v>
      </c>
      <c r="L36" s="30">
        <f>+L6*L22</f>
        <v>148100.3664</v>
      </c>
      <c r="N36" s="30">
        <f>+N6*N22</f>
        <v>155634.41399999999</v>
      </c>
      <c r="P36" s="30">
        <f>+P6*P22</f>
        <v>64479.394000000008</v>
      </c>
      <c r="R36" s="30">
        <f>+R6*R22</f>
        <v>0</v>
      </c>
      <c r="T36" s="30">
        <f>+T6*T22</f>
        <v>0</v>
      </c>
      <c r="V36" s="30">
        <f>+V6*V22</f>
        <v>3601.1000000000004</v>
      </c>
      <c r="X36" s="30">
        <f>+X6*X22</f>
        <v>9609.6175399999993</v>
      </c>
    </row>
    <row r="37" spans="1:24" x14ac:dyDescent="0.35">
      <c r="A37" s="16" t="s">
        <v>24</v>
      </c>
      <c r="B37" s="30">
        <f t="shared" ref="B37" si="13">+B7*B23</f>
        <v>0</v>
      </c>
      <c r="C37" s="16"/>
      <c r="D37" s="30">
        <f t="shared" ref="D37" si="14">+D7*D23</f>
        <v>0</v>
      </c>
      <c r="E37" s="16"/>
      <c r="F37" s="30">
        <f t="shared" ref="F37" si="15">+F7*F23</f>
        <v>12536.894453500001</v>
      </c>
      <c r="H37" s="30">
        <f t="shared" ref="H37" si="16">+H7*H23</f>
        <v>223478.78100000002</v>
      </c>
      <c r="J37" s="30">
        <f t="shared" ref="J37" si="17">+J7*J23</f>
        <v>154633.06460000001</v>
      </c>
      <c r="L37" s="30">
        <f t="shared" ref="L37" si="18">+L7*L23</f>
        <v>120307.9712</v>
      </c>
      <c r="N37" s="30">
        <f t="shared" ref="N37" si="19">+N7*N23</f>
        <v>130760.52</v>
      </c>
      <c r="P37" s="30">
        <f t="shared" ref="P37" si="20">+P7*P23</f>
        <v>169577.2887</v>
      </c>
      <c r="R37" s="30">
        <f t="shared" ref="R37" si="21">+R7*R23</f>
        <v>36251.95175</v>
      </c>
      <c r="T37" s="30">
        <f t="shared" ref="T37" si="22">+T7*T23</f>
        <v>74744.491120000006</v>
      </c>
      <c r="V37" s="30">
        <f t="shared" ref="V37" si="23">+V7*V23</f>
        <v>62285.441504259979</v>
      </c>
      <c r="X37" s="30">
        <f t="shared" ref="X37" si="24">+X7*X23</f>
        <v>52572.334465244989</v>
      </c>
    </row>
    <row r="38" spans="1:24" x14ac:dyDescent="0.35">
      <c r="A38" s="16" t="s">
        <v>20</v>
      </c>
      <c r="B38" s="30">
        <f t="shared" ref="B38" si="25">+B8*B24</f>
        <v>62118.378270059999</v>
      </c>
      <c r="C38" s="16"/>
      <c r="D38" s="30">
        <f t="shared" ref="D38" si="26">+D8*D24</f>
        <v>77200.753944600001</v>
      </c>
      <c r="E38" s="16"/>
      <c r="F38" s="30">
        <f t="shared" ref="F38" si="27">+F8*F24</f>
        <v>70201.770406600001</v>
      </c>
      <c r="H38" s="30">
        <f t="shared" ref="H38" si="28">+H8*H24</f>
        <v>312093.46980000002</v>
      </c>
      <c r="J38" s="30">
        <f t="shared" ref="J38" si="29">+J8*J24</f>
        <v>334653.12845000002</v>
      </c>
      <c r="L38" s="30">
        <f t="shared" ref="L38" si="30">+L8*L24</f>
        <v>371537.45999999996</v>
      </c>
      <c r="N38" s="30">
        <f t="shared" ref="N38" si="31">+N8*N24</f>
        <v>386546.3285</v>
      </c>
      <c r="P38" s="30">
        <f t="shared" ref="P38" si="32">+P8*P24</f>
        <v>436091.70750000002</v>
      </c>
      <c r="R38" s="30">
        <f t="shared" ref="R38" si="33">+R8*R24</f>
        <v>134391.21924999997</v>
      </c>
      <c r="T38" s="30">
        <f t="shared" ref="T38" si="34">+T8*T24</f>
        <v>123834.80917500002</v>
      </c>
      <c r="V38" s="30">
        <f t="shared" ref="V38" si="35">+V8*V24</f>
        <v>99060.37117514995</v>
      </c>
      <c r="X38" s="30">
        <f t="shared" ref="X38" si="36">+X8*X24</f>
        <v>91221.352465489967</v>
      </c>
    </row>
    <row r="39" spans="1:24" x14ac:dyDescent="0.35">
      <c r="A39" s="16" t="s">
        <v>25</v>
      </c>
      <c r="B39" s="30">
        <f t="shared" ref="B39" si="37">+B9*B25</f>
        <v>33005.483622</v>
      </c>
      <c r="C39" s="16"/>
      <c r="D39" s="30">
        <f t="shared" ref="D39" si="38">+D9*D25</f>
        <v>45505.198949040001</v>
      </c>
      <c r="E39" s="16"/>
      <c r="F39" s="30">
        <f t="shared" ref="F39" si="39">+F9*F25</f>
        <v>33499.739501099997</v>
      </c>
      <c r="H39" s="30">
        <f t="shared" ref="H39" si="40">+H9*H25</f>
        <v>166381.874725</v>
      </c>
      <c r="J39" s="30">
        <f t="shared" ref="J39" si="41">+J9*J25</f>
        <v>167987.79012000002</v>
      </c>
      <c r="L39" s="30">
        <f t="shared" ref="L39" si="42">+L9*L25</f>
        <v>250913.04</v>
      </c>
      <c r="N39" s="30">
        <f t="shared" ref="N39" si="43">+N9*N25</f>
        <v>242652.19</v>
      </c>
      <c r="P39" s="30">
        <f t="shared" ref="P39" si="44">+P9*P25</f>
        <v>208883.92319999999</v>
      </c>
      <c r="R39" s="30">
        <f t="shared" ref="R39" si="45">+R9*R25</f>
        <v>104832.15726750002</v>
      </c>
      <c r="T39" s="30">
        <f t="shared" ref="T39" si="46">+T9*T25</f>
        <v>121417.04656720001</v>
      </c>
      <c r="V39" s="30">
        <f t="shared" ref="V39" si="47">+V9*V25</f>
        <v>156416.39166819199</v>
      </c>
      <c r="X39" s="30">
        <f t="shared" ref="X39" si="48">+X9*X25</f>
        <v>158926.79946000001</v>
      </c>
    </row>
    <row r="40" spans="1:24" x14ac:dyDescent="0.35">
      <c r="A40" s="16" t="s">
        <v>29</v>
      </c>
      <c r="B40" s="30">
        <f t="shared" ref="B40" si="49">+B10*B26</f>
        <v>5802.0993128199998</v>
      </c>
      <c r="C40" s="16"/>
      <c r="D40" s="30">
        <f t="shared" ref="D40" si="50">+D10*D26</f>
        <v>9073.7653339799999</v>
      </c>
      <c r="E40" s="16"/>
      <c r="F40" s="30">
        <f t="shared" ref="F40" si="51">+F10*F26</f>
        <v>6898.936627</v>
      </c>
      <c r="H40" s="30">
        <f t="shared" ref="H40" si="52">+H10*H26</f>
        <v>40180.260000000009</v>
      </c>
      <c r="J40" s="30">
        <f t="shared" ref="J40" si="53">+J10*J26</f>
        <v>26343.704999999998</v>
      </c>
      <c r="L40" s="30">
        <f t="shared" ref="L40" si="54">+L10*L26</f>
        <v>36333.666000000005</v>
      </c>
      <c r="N40" s="30">
        <f t="shared" ref="N40" si="55">+N10*N26</f>
        <v>30382.154000000002</v>
      </c>
      <c r="P40" s="30">
        <f t="shared" ref="P40" si="56">+P10*P26</f>
        <v>22588.938400000003</v>
      </c>
      <c r="R40" s="30">
        <f t="shared" ref="R40" si="57">+R10*R26</f>
        <v>3324.5391600000003</v>
      </c>
      <c r="T40" s="30">
        <f t="shared" ref="T40" si="58">+T10*T26</f>
        <v>334.65201999999965</v>
      </c>
      <c r="V40" s="30">
        <f t="shared" ref="V40" si="59">+V10*V26</f>
        <v>20783.086625</v>
      </c>
      <c r="X40" s="30">
        <f t="shared" ref="X40" si="60">+X10*X26</f>
        <v>0</v>
      </c>
    </row>
    <row r="41" spans="1:24" x14ac:dyDescent="0.35">
      <c r="A41" s="16" t="s">
        <v>21</v>
      </c>
      <c r="B41" s="30">
        <f t="shared" ref="B41" si="61">+B11*B27</f>
        <v>-11133.205280999999</v>
      </c>
      <c r="C41" s="16"/>
      <c r="D41" s="30">
        <f t="shared" ref="D41" si="62">+D11*D27</f>
        <v>-11845.416362999998</v>
      </c>
      <c r="E41" s="16"/>
      <c r="F41" s="30">
        <f t="shared" ref="F41" si="63">+F11*F27</f>
        <v>-9689.9512237500003</v>
      </c>
      <c r="H41" s="30">
        <f t="shared" ref="H41" si="64">+H11*H27</f>
        <v>-107804.70809999999</v>
      </c>
      <c r="J41" s="30">
        <f t="shared" ref="J41" si="65">+J11*J27</f>
        <v>-69251.757150000005</v>
      </c>
      <c r="L41" s="30">
        <f t="shared" ref="L41" si="66">+L11*L27</f>
        <v>-19906.520700000001</v>
      </c>
      <c r="N41" s="30">
        <f t="shared" ref="N41" si="67">+N11*N27</f>
        <v>-39626.737999999998</v>
      </c>
      <c r="P41" s="30">
        <f t="shared" ref="P41" si="68">+P11*P27</f>
        <v>-44173.505999999994</v>
      </c>
      <c r="R41" s="30">
        <f t="shared" ref="R41" si="69">+R11*R27</f>
        <v>-16237.999471718918</v>
      </c>
      <c r="T41" s="30">
        <f t="shared" ref="T41" si="70">+T11*T27</f>
        <v>-20623.759775644365</v>
      </c>
      <c r="V41" s="30">
        <f t="shared" ref="V41" si="71">+V11*V27</f>
        <v>-24540.674789686091</v>
      </c>
      <c r="X41" s="30">
        <f t="shared" ref="X41" si="72">+X11*X27</f>
        <v>-21713.266636953678</v>
      </c>
    </row>
    <row r="42" spans="1:24" x14ac:dyDescent="0.35">
      <c r="A42" s="16" t="s">
        <v>22</v>
      </c>
      <c r="B42" s="30">
        <f t="shared" ref="B42" si="73">+B12*B28</f>
        <v>5767.7885999999999</v>
      </c>
      <c r="C42" s="16"/>
      <c r="D42" s="30">
        <f t="shared" ref="D42" si="74">+D12*D28</f>
        <v>7483.4902686000014</v>
      </c>
      <c r="E42" s="16"/>
      <c r="F42" s="30">
        <f t="shared" ref="F42" si="75">+F12*F28</f>
        <v>6716.8455000000004</v>
      </c>
      <c r="H42" s="30">
        <f t="shared" ref="H42" si="76">+H12*H28</f>
        <v>47191.5</v>
      </c>
      <c r="J42" s="30">
        <f t="shared" ref="J42" si="77">+J12*J28</f>
        <v>50341.72050000001</v>
      </c>
      <c r="L42" s="30">
        <f t="shared" ref="L42" si="78">+L12*L28</f>
        <v>53987.635200000004</v>
      </c>
      <c r="N42" s="30">
        <f t="shared" ref="N42" si="79">+N12*N28</f>
        <v>89048.400000000009</v>
      </c>
      <c r="P42" s="30">
        <f t="shared" ref="P42" si="80">+P12*P28</f>
        <v>57136.799999999996</v>
      </c>
      <c r="R42" s="30">
        <f t="shared" ref="R42" si="81">+R12*R28</f>
        <v>45481.524999999994</v>
      </c>
      <c r="T42" s="30">
        <f t="shared" ref="T42" si="82">+T12*T28</f>
        <v>45674.067920000001</v>
      </c>
      <c r="V42" s="30">
        <f t="shared" ref="V42" si="83">+V12*V28</f>
        <v>44304.819036359011</v>
      </c>
      <c r="X42" s="30">
        <f t="shared" ref="X42" si="84">+X12*X28</f>
        <v>52770.624999999993</v>
      </c>
    </row>
    <row r="43" spans="1:24" x14ac:dyDescent="0.35">
      <c r="A43" s="16" t="s">
        <v>26</v>
      </c>
      <c r="B43" s="30">
        <f t="shared" ref="B43:D43" si="85">+B13*B29</f>
        <v>7168.5372599999992</v>
      </c>
      <c r="C43" s="16"/>
      <c r="D43" s="30">
        <f t="shared" si="85"/>
        <v>9448.4357063999978</v>
      </c>
      <c r="E43" s="16"/>
      <c r="F43" s="30">
        <f t="shared" ref="F43" si="86">+F13*F29</f>
        <v>7452.1823039999999</v>
      </c>
      <c r="H43" s="30">
        <f t="shared" ref="H43" si="87">+H13*H29</f>
        <v>30458.400000000001</v>
      </c>
      <c r="J43" s="30">
        <f t="shared" ref="J43" si="88">+J13*J29</f>
        <v>26975.200000000001</v>
      </c>
      <c r="L43" s="30">
        <f t="shared" ref="L43" si="89">+L13*L29</f>
        <v>28515.200000000001</v>
      </c>
      <c r="N43" s="30">
        <f t="shared" ref="N43" si="90">+N13*N29</f>
        <v>33672</v>
      </c>
      <c r="P43" s="30">
        <f t="shared" ref="P43" si="91">+P13*P29</f>
        <v>26592</v>
      </c>
      <c r="R43" s="30">
        <f t="shared" ref="R43" si="92">+R13*R29</f>
        <v>9429.76</v>
      </c>
      <c r="T43" s="30">
        <f t="shared" ref="T43" si="93">+T13*T29</f>
        <v>16945.635147999998</v>
      </c>
      <c r="V43" s="30">
        <f t="shared" ref="V43" si="94">+V13*V29</f>
        <v>10474.532705085998</v>
      </c>
      <c r="X43" s="30">
        <f t="shared" ref="X43" si="95">+X13*X29</f>
        <v>53665.479999999996</v>
      </c>
    </row>
    <row r="44" spans="1:24" x14ac:dyDescent="0.35">
      <c r="A44" s="16" t="s">
        <v>27</v>
      </c>
      <c r="B44" s="30">
        <f t="shared" ref="B44:D44" si="96">+B14*B30</f>
        <v>2975.4464999999996</v>
      </c>
      <c r="C44" s="16"/>
      <c r="D44" s="30">
        <f t="shared" si="96"/>
        <v>3360.1786646400001</v>
      </c>
      <c r="E44" s="16"/>
      <c r="F44" s="30">
        <f t="shared" ref="F44" si="97">+F14*F30</f>
        <v>2271.1142259000003</v>
      </c>
      <c r="H44" s="30">
        <f t="shared" ref="H44" si="98">+H14*H30</f>
        <v>23330.800000000003</v>
      </c>
      <c r="J44" s="30">
        <f t="shared" ref="J44" si="99">+J14*J30</f>
        <v>26955.200000000001</v>
      </c>
      <c r="L44" s="30">
        <f t="shared" ref="L44" si="100">+L14*L30</f>
        <v>28923.8</v>
      </c>
      <c r="N44" s="30">
        <f t="shared" ref="N44" si="101">+N14*N30</f>
        <v>40641.245999999999</v>
      </c>
      <c r="P44" s="30">
        <f t="shared" ref="P44" si="102">+P14*P30</f>
        <v>26177.841199999999</v>
      </c>
      <c r="R44" s="30">
        <f t="shared" ref="R44" si="103">+R14*R30</f>
        <v>6792.5</v>
      </c>
      <c r="T44" s="30">
        <f t="shared" ref="T44" si="104">+T14*T30</f>
        <v>7075.4571999999998</v>
      </c>
      <c r="V44" s="30">
        <f t="shared" ref="V44" si="105">+V14*V30</f>
        <v>7391.1770680000018</v>
      </c>
      <c r="X44" s="30">
        <f t="shared" ref="X44" si="106">+X14*X30</f>
        <v>8580.2200000000012</v>
      </c>
    </row>
    <row r="45" spans="1:24" ht="16" x14ac:dyDescent="0.5">
      <c r="A45" s="16" t="s">
        <v>28</v>
      </c>
      <c r="B45" s="31">
        <f t="shared" ref="B45:D45" si="107">+B15*B31</f>
        <v>0</v>
      </c>
      <c r="C45" s="16"/>
      <c r="D45" s="31">
        <f t="shared" si="107"/>
        <v>0</v>
      </c>
      <c r="E45" s="16"/>
      <c r="F45" s="31">
        <f t="shared" ref="F45" si="108">+F15*F31</f>
        <v>0</v>
      </c>
      <c r="H45" s="31">
        <f t="shared" ref="H45" si="109">+H15*H31</f>
        <v>0</v>
      </c>
      <c r="J45" s="31">
        <f t="shared" ref="J45" si="110">+J15*J31</f>
        <v>0</v>
      </c>
      <c r="L45" s="31">
        <f t="shared" ref="L45" si="111">+L15*L31</f>
        <v>0</v>
      </c>
      <c r="N45" s="31">
        <f t="shared" ref="N45" si="112">+N15*N31</f>
        <v>0</v>
      </c>
      <c r="P45" s="31">
        <f t="shared" ref="P45" si="113">+P15*P31</f>
        <v>0</v>
      </c>
      <c r="R45" s="31">
        <f t="shared" ref="R45" si="114">+R15*R31</f>
        <v>0</v>
      </c>
      <c r="T45" s="31">
        <f t="shared" ref="T45" si="115">+T15*T31</f>
        <v>-9241.5</v>
      </c>
      <c r="V45" s="31">
        <f t="shared" ref="V45" si="116">+V15*V31</f>
        <v>-2689.8749999999995</v>
      </c>
      <c r="X45" s="31">
        <f t="shared" ref="X45" si="117">+X15*X31</f>
        <v>-7943.625</v>
      </c>
    </row>
    <row r="46" spans="1:24" ht="16" x14ac:dyDescent="0.5">
      <c r="B46" s="32">
        <f>SUM(B36:B45)</f>
        <v>118552.35368388001</v>
      </c>
      <c r="D46" s="32">
        <f>SUM(D36:D45)</f>
        <v>157480.93680719999</v>
      </c>
      <c r="F46" s="32">
        <f>SUM(F36:F45)</f>
        <v>129887.53179435</v>
      </c>
      <c r="H46" s="32">
        <f>SUM(H36:H45)</f>
        <v>762931.29672500014</v>
      </c>
      <c r="J46" s="32">
        <f>SUM(J36:J45)</f>
        <v>793339.14052000002</v>
      </c>
      <c r="L46" s="32">
        <f>SUM(L36:L45)</f>
        <v>1018712.6181</v>
      </c>
      <c r="N46" s="32">
        <f>SUM(N36:N45)</f>
        <v>1069710.5144999998</v>
      </c>
      <c r="P46" s="32">
        <f>SUM(P36:P45)</f>
        <v>967354.38699999999</v>
      </c>
      <c r="R46" s="32">
        <f>SUM(R36:R45)</f>
        <v>324265.65295578109</v>
      </c>
      <c r="T46" s="32">
        <f>SUM(T36:T45)</f>
        <v>360160.89937455568</v>
      </c>
      <c r="V46" s="32">
        <f>SUM(V36:V45)</f>
        <v>377086.36999236088</v>
      </c>
      <c r="X46" s="32">
        <f>SUM(X36:X45)</f>
        <v>397689.53729378129</v>
      </c>
    </row>
    <row r="48" spans="1:24" ht="16" x14ac:dyDescent="0.5">
      <c r="A48" s="28" t="s">
        <v>32</v>
      </c>
      <c r="B48" s="27">
        <f>+B17-B16</f>
        <v>1274.559211</v>
      </c>
      <c r="C48" s="28"/>
      <c r="D48" s="27">
        <f>+D17-D16</f>
        <v>1387.044324</v>
      </c>
      <c r="E48" s="28"/>
      <c r="F48" s="27">
        <f>+F17-F16</f>
        <v>1229.7687599999999</v>
      </c>
      <c r="G48" s="27"/>
      <c r="H48" s="27">
        <f>+H17-H16</f>
        <v>8702.6535000000003</v>
      </c>
      <c r="I48" s="27"/>
      <c r="J48" s="27">
        <f>+J17-J16</f>
        <v>7441.2190000000001</v>
      </c>
      <c r="K48" s="27"/>
      <c r="L48" s="27">
        <f>+L17-L16</f>
        <v>8087.77</v>
      </c>
      <c r="M48" s="27"/>
      <c r="N48" s="27">
        <f>+N17-N16</f>
        <v>8045.01</v>
      </c>
      <c r="O48" s="27"/>
      <c r="P48" s="27">
        <f>+P17-P16</f>
        <v>6911.8599999999988</v>
      </c>
      <c r="R48" s="27">
        <f>+R17-R16</f>
        <v>2396.130975</v>
      </c>
      <c r="T48" s="27">
        <f>+T17-T16</f>
        <v>2794.2083980000002</v>
      </c>
      <c r="V48" s="27">
        <f>+V17-V16</f>
        <v>2668.7977898499989</v>
      </c>
      <c r="X48" s="27">
        <f>+X17-X16</f>
        <v>2730.4124999999995</v>
      </c>
    </row>
    <row r="50" spans="1:24" ht="16" x14ac:dyDescent="0.5">
      <c r="A50" s="13" t="s">
        <v>35</v>
      </c>
      <c r="B50" s="33">
        <f>+B46/B48</f>
        <v>93.01439482820544</v>
      </c>
      <c r="C50" s="13"/>
      <c r="D50" s="33">
        <f>+D46/D48</f>
        <v>113.53706156487613</v>
      </c>
      <c r="E50" s="13"/>
      <c r="F50" s="33">
        <f>+F46/F48</f>
        <v>105.61947580645162</v>
      </c>
      <c r="G50" s="33"/>
      <c r="H50" s="33">
        <f t="shared" ref="H50:N50" si="118">+H46/H48</f>
        <v>87.666514210292306</v>
      </c>
      <c r="I50" s="33"/>
      <c r="J50" s="33">
        <f t="shared" si="118"/>
        <v>106.61413681279909</v>
      </c>
      <c r="K50" s="33"/>
      <c r="L50" s="33">
        <f t="shared" si="118"/>
        <v>125.95716966481488</v>
      </c>
      <c r="M50" s="33"/>
      <c r="N50" s="33">
        <f t="shared" si="118"/>
        <v>132.96571595311875</v>
      </c>
      <c r="P50" s="33">
        <f t="shared" ref="P50:R50" si="119">+P46/P48</f>
        <v>139.95572638913407</v>
      </c>
      <c r="R50" s="33">
        <f t="shared" si="119"/>
        <v>135.32885152731731</v>
      </c>
      <c r="T50" s="33">
        <f t="shared" ref="T50:V50" si="120">+T46/T48</f>
        <v>128.89550386876894</v>
      </c>
      <c r="V50" s="33">
        <f t="shared" si="120"/>
        <v>141.29447027665412</v>
      </c>
      <c r="X50" s="33">
        <f t="shared" ref="X50" si="121">+X46/X48</f>
        <v>145.65181535529206</v>
      </c>
    </row>
    <row r="52" spans="1:24" x14ac:dyDescent="0.35">
      <c r="B52" s="30">
        <f t="shared" ref="B52:V52" si="122">SUM(B42:B45)</f>
        <v>15911.772359999999</v>
      </c>
      <c r="C52" s="30"/>
      <c r="D52" s="30">
        <f t="shared" si="122"/>
        <v>20292.104639639998</v>
      </c>
      <c r="E52" s="30"/>
      <c r="F52" s="30">
        <f t="shared" si="122"/>
        <v>16440.142029900002</v>
      </c>
      <c r="G52" s="30"/>
      <c r="H52" s="30">
        <f t="shared" si="122"/>
        <v>100980.7</v>
      </c>
      <c r="I52" s="30"/>
      <c r="J52" s="30">
        <f t="shared" si="122"/>
        <v>104272.1205</v>
      </c>
      <c r="K52" s="30"/>
      <c r="L52" s="30">
        <f t="shared" si="122"/>
        <v>111426.6352</v>
      </c>
      <c r="M52" s="30"/>
      <c r="N52" s="30">
        <f t="shared" si="122"/>
        <v>163361.64600000001</v>
      </c>
      <c r="O52" s="30"/>
      <c r="P52" s="30">
        <f t="shared" si="122"/>
        <v>109906.64119999998</v>
      </c>
      <c r="Q52" s="30"/>
      <c r="R52" s="30">
        <f t="shared" si="122"/>
        <v>61703.784999999996</v>
      </c>
      <c r="S52" s="30"/>
      <c r="T52" s="30">
        <f t="shared" si="122"/>
        <v>60453.660268000007</v>
      </c>
      <c r="U52" s="30"/>
      <c r="V52" s="30">
        <f t="shared" si="122"/>
        <v>59480.653809445015</v>
      </c>
      <c r="W52" s="30"/>
      <c r="X52" s="30">
        <f>SUM(X42:X45)</f>
        <v>107072.69999999998</v>
      </c>
    </row>
    <row r="53" spans="1:24" x14ac:dyDescent="0.35">
      <c r="B53" s="37">
        <f t="shared" ref="B53:V53" si="123">SUM(B12:B15)</f>
        <v>71.258128999999997</v>
      </c>
      <c r="C53" s="37"/>
      <c r="D53" s="37">
        <f t="shared" si="123"/>
        <v>77.058018000000004</v>
      </c>
      <c r="E53" s="37"/>
      <c r="F53" s="37">
        <f t="shared" si="123"/>
        <v>65.515540000000001</v>
      </c>
      <c r="G53" s="37"/>
      <c r="H53" s="37">
        <f t="shared" si="123"/>
        <v>437.62</v>
      </c>
      <c r="I53" s="37"/>
      <c r="J53" s="37">
        <f t="shared" si="123"/>
        <v>464.6350000000001</v>
      </c>
      <c r="K53" s="37"/>
      <c r="L53" s="37">
        <f t="shared" si="123"/>
        <v>479.03000000000003</v>
      </c>
      <c r="M53" s="37"/>
      <c r="N53" s="37">
        <f t="shared" si="123"/>
        <v>597.4</v>
      </c>
      <c r="O53" s="37"/>
      <c r="P53" s="37">
        <f t="shared" si="123"/>
        <v>392.28</v>
      </c>
      <c r="Q53" s="37"/>
      <c r="R53" s="37">
        <f t="shared" si="123"/>
        <v>227.5351</v>
      </c>
      <c r="S53" s="37"/>
      <c r="T53" s="37">
        <f t="shared" si="123"/>
        <v>302.11807799999997</v>
      </c>
      <c r="U53" s="37"/>
      <c r="V53" s="37">
        <f t="shared" si="123"/>
        <v>243.04639955000005</v>
      </c>
      <c r="W53" s="37"/>
      <c r="X53" s="37">
        <f>SUM(X12:X15)</f>
        <v>353.43299999999999</v>
      </c>
    </row>
    <row r="54" spans="1:24" x14ac:dyDescent="0.35">
      <c r="B54" s="36">
        <f t="shared" ref="B54:V54" si="124">+B52/B53</f>
        <v>223.29764453961457</v>
      </c>
      <c r="C54" s="36"/>
      <c r="D54" s="36">
        <f t="shared" si="124"/>
        <v>263.33540838852093</v>
      </c>
      <c r="E54" s="36"/>
      <c r="F54" s="36">
        <f t="shared" si="124"/>
        <v>250.93500000000003</v>
      </c>
      <c r="G54" s="36"/>
      <c r="H54" s="36">
        <f t="shared" si="124"/>
        <v>230.74973721493532</v>
      </c>
      <c r="I54" s="36"/>
      <c r="J54" s="36">
        <f t="shared" si="124"/>
        <v>224.41727485015116</v>
      </c>
      <c r="K54" s="36"/>
      <c r="L54" s="36">
        <f t="shared" si="124"/>
        <v>232.60888712606726</v>
      </c>
      <c r="M54" s="36"/>
      <c r="N54" s="36">
        <f t="shared" si="124"/>
        <v>273.45437897556081</v>
      </c>
      <c r="O54" s="36"/>
      <c r="P54" s="36">
        <f t="shared" si="124"/>
        <v>280.17396043642293</v>
      </c>
      <c r="Q54" s="36"/>
      <c r="R54" s="36">
        <f t="shared" si="124"/>
        <v>271.18358881772525</v>
      </c>
      <c r="S54" s="36"/>
      <c r="T54" s="36">
        <f t="shared" si="124"/>
        <v>200.09944677325802</v>
      </c>
      <c r="U54" s="36"/>
      <c r="V54" s="36">
        <f t="shared" si="124"/>
        <v>244.72962331296961</v>
      </c>
      <c r="W54" s="36"/>
      <c r="X54" s="36">
        <f>+X52/X53</f>
        <v>302.95048849428315</v>
      </c>
    </row>
  </sheetData>
  <mergeCells count="12">
    <mergeCell ref="B4:C4"/>
    <mergeCell ref="D4:E4"/>
    <mergeCell ref="F4:G4"/>
    <mergeCell ref="H4:I4"/>
    <mergeCell ref="J4:K4"/>
    <mergeCell ref="V4:W4"/>
    <mergeCell ref="X4:Y4"/>
    <mergeCell ref="L4:M4"/>
    <mergeCell ref="N4:O4"/>
    <mergeCell ref="P4:Q4"/>
    <mergeCell ref="R4:S4"/>
    <mergeCell ref="T4:U4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17FE27-8D16-4F91-8BD7-634524FB6E4C}">
  <dimension ref="A1:E21"/>
  <sheetViews>
    <sheetView workbookViewId="0">
      <selection activeCell="B18" sqref="B18"/>
    </sheetView>
  </sheetViews>
  <sheetFormatPr defaultRowHeight="14.5" x14ac:dyDescent="0.35"/>
  <cols>
    <col min="2" max="2" width="10.54296875" bestFit="1" customWidth="1"/>
    <col min="3" max="3" width="12.54296875" bestFit="1" customWidth="1"/>
    <col min="4" max="4" width="9.54296875" bestFit="1" customWidth="1"/>
  </cols>
  <sheetData>
    <row r="1" spans="1:5" ht="23.5" x14ac:dyDescent="0.55000000000000004">
      <c r="A1" s="4" t="s">
        <v>1</v>
      </c>
      <c r="B1" s="2"/>
      <c r="C1" s="3"/>
    </row>
    <row r="2" spans="1:5" ht="18.5" x14ac:dyDescent="0.45">
      <c r="A2" s="5" t="s">
        <v>74</v>
      </c>
      <c r="B2" s="2"/>
      <c r="C2" s="3"/>
    </row>
    <row r="3" spans="1:5" x14ac:dyDescent="0.35">
      <c r="A3" s="6"/>
      <c r="B3" s="2"/>
      <c r="C3" s="3"/>
    </row>
    <row r="4" spans="1:5" x14ac:dyDescent="0.35">
      <c r="B4" s="7" t="s">
        <v>2</v>
      </c>
      <c r="C4" s="8" t="s">
        <v>3</v>
      </c>
    </row>
    <row r="5" spans="1:5" x14ac:dyDescent="0.35">
      <c r="B5" s="9" t="s">
        <v>4</v>
      </c>
      <c r="C5" s="10" t="s">
        <v>5</v>
      </c>
      <c r="D5" s="11" t="s">
        <v>6</v>
      </c>
    </row>
    <row r="6" spans="1:5" x14ac:dyDescent="0.35">
      <c r="B6" s="2"/>
      <c r="C6" s="3"/>
    </row>
    <row r="7" spans="1:5" x14ac:dyDescent="0.35">
      <c r="B7" s="2"/>
      <c r="C7" s="3"/>
    </row>
    <row r="8" spans="1:5" x14ac:dyDescent="0.35">
      <c r="A8" t="s">
        <v>13</v>
      </c>
      <c r="B8" s="2">
        <f>+'Rebate Data'!$B$48</f>
        <v>1274.559211</v>
      </c>
      <c r="C8" s="3">
        <f>+'Rebate Data'!$B$46</f>
        <v>118552.35368388001</v>
      </c>
      <c r="D8" s="14">
        <f t="shared" ref="D8:D19" si="0">+C8/B8</f>
        <v>93.01439482820544</v>
      </c>
    </row>
    <row r="9" spans="1:5" x14ac:dyDescent="0.35">
      <c r="A9" t="s">
        <v>14</v>
      </c>
      <c r="B9" s="2">
        <f>+'Rebate Data'!$D$48</f>
        <v>1387.044324</v>
      </c>
      <c r="C9" s="3">
        <f>+'Rebate Data'!$D$46</f>
        <v>157480.93680719999</v>
      </c>
      <c r="D9" s="14">
        <f t="shared" si="0"/>
        <v>113.53706156487613</v>
      </c>
    </row>
    <row r="10" spans="1:5" x14ac:dyDescent="0.35">
      <c r="A10" t="s">
        <v>16</v>
      </c>
      <c r="B10" s="2">
        <f>+'Rebate Data'!$F$48</f>
        <v>1229.7687599999999</v>
      </c>
      <c r="C10" s="3">
        <f>+'Rebate Data'!$F$46</f>
        <v>129887.53179435</v>
      </c>
      <c r="D10" s="14">
        <f t="shared" si="0"/>
        <v>105.61947580645162</v>
      </c>
      <c r="E10" s="15"/>
    </row>
    <row r="11" spans="1:5" x14ac:dyDescent="0.35">
      <c r="A11" t="s">
        <v>17</v>
      </c>
      <c r="B11" s="2">
        <f>+'Rebate Data'!$H$48</f>
        <v>8702.6535000000003</v>
      </c>
      <c r="C11" s="3">
        <f>+'Rebate Data'!$H$46</f>
        <v>762931.29672500014</v>
      </c>
      <c r="D11" s="14">
        <f t="shared" si="0"/>
        <v>87.666514210292306</v>
      </c>
      <c r="E11" s="14"/>
    </row>
    <row r="12" spans="1:5" x14ac:dyDescent="0.35">
      <c r="A12" t="s">
        <v>18</v>
      </c>
      <c r="B12" s="2">
        <f>+'Rebate Data'!$J$48</f>
        <v>7441.2190000000001</v>
      </c>
      <c r="C12" s="3">
        <f>+'Rebate Data'!$J$46</f>
        <v>793339.14052000002</v>
      </c>
      <c r="D12" s="14">
        <f t="shared" si="0"/>
        <v>106.61413681279909</v>
      </c>
      <c r="E12" s="15"/>
    </row>
    <row r="13" spans="1:5" x14ac:dyDescent="0.35">
      <c r="A13" t="s">
        <v>19</v>
      </c>
      <c r="B13" s="2">
        <f>+'Rebate Data'!$L$48</f>
        <v>8087.77</v>
      </c>
      <c r="C13" s="3">
        <f>+'Rebate Data'!$L$46</f>
        <v>1018712.6181</v>
      </c>
      <c r="D13" s="14">
        <f t="shared" si="0"/>
        <v>125.95716966481488</v>
      </c>
      <c r="E13" s="15"/>
    </row>
    <row r="14" spans="1:5" x14ac:dyDescent="0.35">
      <c r="A14" t="s">
        <v>7</v>
      </c>
      <c r="B14" s="2">
        <f>+'Rebate Data'!$N$48</f>
        <v>8045.01</v>
      </c>
      <c r="C14" s="3">
        <f>+'Rebate Data'!$N$46</f>
        <v>1069710.5144999998</v>
      </c>
      <c r="D14" s="14">
        <f t="shared" si="0"/>
        <v>132.96571595311875</v>
      </c>
      <c r="E14" s="14"/>
    </row>
    <row r="15" spans="1:5" x14ac:dyDescent="0.35">
      <c r="A15" t="s">
        <v>8</v>
      </c>
      <c r="B15" s="2">
        <f>+'Rebate Data'!$P$48</f>
        <v>6911.8599999999988</v>
      </c>
      <c r="C15" s="3">
        <f>+'Rebate Data'!$P$46</f>
        <v>967354.38699999999</v>
      </c>
      <c r="D15" s="14">
        <f t="shared" si="0"/>
        <v>139.95572638913407</v>
      </c>
      <c r="E15" s="14"/>
    </row>
    <row r="16" spans="1:5" x14ac:dyDescent="0.35">
      <c r="A16" t="s">
        <v>9</v>
      </c>
      <c r="B16" s="2">
        <f>+'Rebate Data'!$R$48</f>
        <v>2396.130975</v>
      </c>
      <c r="C16" s="3">
        <f>+'Rebate Data'!$R$46</f>
        <v>324265.65295578109</v>
      </c>
      <c r="D16" s="14">
        <f t="shared" si="0"/>
        <v>135.32885152731731</v>
      </c>
      <c r="E16" s="14"/>
    </row>
    <row r="17" spans="1:5" x14ac:dyDescent="0.35">
      <c r="A17" t="s">
        <v>10</v>
      </c>
      <c r="B17" s="2">
        <f>+'Rebate Data'!$T$48</f>
        <v>2794.2083980000002</v>
      </c>
      <c r="C17" s="3">
        <f>+'Rebate Data'!$T$46</f>
        <v>360160.89937455568</v>
      </c>
      <c r="D17" s="14">
        <f t="shared" si="0"/>
        <v>128.89550386876894</v>
      </c>
      <c r="E17" s="14"/>
    </row>
    <row r="18" spans="1:5" x14ac:dyDescent="0.35">
      <c r="A18" t="s">
        <v>11</v>
      </c>
      <c r="B18" s="2">
        <f>+'Rebate Data'!$V$48</f>
        <v>2668.7977898499989</v>
      </c>
      <c r="C18" s="3">
        <f>+'Rebate Data'!$V$46</f>
        <v>377086.36999236088</v>
      </c>
      <c r="D18" s="92">
        <f t="shared" si="0"/>
        <v>141.29447027665412</v>
      </c>
      <c r="E18" s="15"/>
    </row>
    <row r="19" spans="1:5" x14ac:dyDescent="0.35">
      <c r="A19" t="s">
        <v>12</v>
      </c>
      <c r="B19" s="95">
        <f>+'Rebate Data'!X48</f>
        <v>2730.4124999999995</v>
      </c>
      <c r="C19" s="96">
        <f>+'Rebate Data'!X46</f>
        <v>397689.53729378129</v>
      </c>
      <c r="D19" s="93">
        <f t="shared" si="0"/>
        <v>145.65181535529206</v>
      </c>
      <c r="E19" s="15"/>
    </row>
    <row r="20" spans="1:5" ht="16" x14ac:dyDescent="0.5">
      <c r="B20" s="74">
        <f>SUM(B8:B19)</f>
        <v>53669.434457850002</v>
      </c>
      <c r="C20" s="75">
        <f t="shared" ref="C20" si="1">SUM(C8:C19)</f>
        <v>6477171.2387469085</v>
      </c>
      <c r="D20" s="76">
        <f>+C20/B20</f>
        <v>120.68640752743241</v>
      </c>
      <c r="E20" s="15"/>
    </row>
    <row r="21" spans="1:5" x14ac:dyDescent="0.35">
      <c r="D21" s="14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4954F6AE1BCA9C4DA5931E221D5C2E15" ma:contentTypeVersion="19" ma:contentTypeDescription="" ma:contentTypeScope="" ma:versionID="195f9c234f409e7db2ff904ff787a9f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227</IndustryCode>
    <CaseStatus xmlns="dc463f71-b30c-4ab2-9473-d307f9d35888">Pending</CaseStatus>
    <OpenedDate xmlns="dc463f71-b30c-4ab2-9473-d307f9d35888">2025-01-03T08:00:00+00:00</OpenedDate>
    <SignificantOrder xmlns="dc463f71-b30c-4ab2-9473-d307f9d35888">false</SignificantOrder>
    <Date1 xmlns="dc463f71-b30c-4ab2-9473-d307f9d35888">2025-01-03T08:00:00+00:00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Waste Management of Washington, Inc.  </CaseCompanyNames>
    <Nickname xmlns="http://schemas.microsoft.com/sharepoint/v3" xsi:nil="true"/>
    <DocketNumber xmlns="dc463f71-b30c-4ab2-9473-d307f9d35888">250007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8027FA51-8452-4B00-BFB2-16E39B0A7E83}"/>
</file>

<file path=customXml/itemProps2.xml><?xml version="1.0" encoding="utf-8"?>
<ds:datastoreItem xmlns:ds="http://schemas.openxmlformats.org/officeDocument/2006/customXml" ds:itemID="{A04EF907-7722-4A3B-A2FF-36A2CB1F04BD}"/>
</file>

<file path=customXml/itemProps3.xml><?xml version="1.0" encoding="utf-8"?>
<ds:datastoreItem xmlns:ds="http://schemas.openxmlformats.org/officeDocument/2006/customXml" ds:itemID="{D16CE06B-879A-4662-A113-A4B4A474A3F4}"/>
</file>

<file path=customXml/itemProps4.xml><?xml version="1.0" encoding="utf-8"?>
<ds:datastoreItem xmlns:ds="http://schemas.openxmlformats.org/officeDocument/2006/customXml" ds:itemID="{425DF8A2-3CFE-40AC-9628-51171262CA4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Rebate Calculation</vt:lpstr>
      <vt:lpstr>Recycling Revenue</vt:lpstr>
      <vt:lpstr>Customers</vt:lpstr>
      <vt:lpstr>Rebate Data</vt:lpstr>
      <vt:lpstr>SMaRT Tons Sold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Weinstein, Mike</dc:creator>
  <cp:lastModifiedBy>Burmester, Evan</cp:lastModifiedBy>
  <dcterms:created xsi:type="dcterms:W3CDTF">2019-06-10T22:23:41Z</dcterms:created>
  <dcterms:modified xsi:type="dcterms:W3CDTF">2025-01-03T17:20:03Z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0x0101006E56B4D1795A2E4DB2F0B01679ED314A004954F6AE1BCA9C4DA5931E221D5C2E15</vt:lpwstr>
  </property>
</Properties>
</file>