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wcnx.org\Regions\Western Region\2000 Western Region Office\WUTC\WUTC-LeMay\Commodity Credit\2183 Pacific\Commodity Price Adjust 1-1-2025\"/>
    </mc:Choice>
  </mc:AlternateContent>
  <xr:revisionPtr revIDLastSave="0" documentId="8_{A3B5B2EA-D808-460F-AD53-50BF8F69FF25}" xr6:coauthVersionLast="47" xr6:coauthVersionMax="47" xr10:uidLastSave="{00000000-0000-0000-0000-000000000000}"/>
  <bookViews>
    <workbookView xWindow="28680" yWindow="-120" windowWidth="29040" windowHeight="15840" xr2:uid="{F8044536-4E02-40E0-9C52-30B414217DE5}"/>
  </bookViews>
  <sheets>
    <sheet name="Pacific CPA 1.1.25" sheetId="1" r:id="rId1"/>
  </sheets>
  <externalReferences>
    <externalReference r:id="rId2"/>
    <externalReference r:id="rId3"/>
  </externalReferences>
  <definedNames>
    <definedName name="BREMAIR_COST_of_SERVICE_STUDY" localSheetId="0">#REF!</definedName>
    <definedName name="BREMAIR_COST_of_SERVICE_STUDY">#REF!</definedName>
    <definedName name="_xlnm.Print_Area" localSheetId="0">'Pacific CPA 1.1.25'!$A$1:$O$78</definedName>
    <definedName name="_xlnm.Print_Titles" localSheetId="0">'Pacific CPA 1.1.25'!$1:$4</definedName>
    <definedName name="Print1" localSheetId="0">#REF!</definedName>
    <definedName name="Print1">#REF!</definedName>
    <definedName name="Print2" localSheetId="0">#REF!</definedName>
    <definedName name="Print2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5" i="1" l="1"/>
  <c r="M68" i="1"/>
  <c r="E68" i="1"/>
  <c r="M67" i="1"/>
  <c r="L67" i="1"/>
  <c r="K67" i="1"/>
  <c r="J67" i="1"/>
  <c r="I67" i="1"/>
  <c r="H67" i="1"/>
  <c r="G67" i="1"/>
  <c r="F67" i="1"/>
  <c r="E67" i="1"/>
  <c r="D67" i="1"/>
  <c r="C67" i="1"/>
  <c r="B67" i="1"/>
  <c r="M63" i="1"/>
  <c r="L63" i="1"/>
  <c r="L68" i="1" s="1"/>
  <c r="K63" i="1"/>
  <c r="K68" i="1" s="1"/>
  <c r="J63" i="1"/>
  <c r="J68" i="1" s="1"/>
  <c r="I63" i="1"/>
  <c r="I68" i="1" s="1"/>
  <c r="H63" i="1"/>
  <c r="H68" i="1" s="1"/>
  <c r="G63" i="1"/>
  <c r="G68" i="1" s="1"/>
  <c r="F63" i="1"/>
  <c r="F68" i="1" s="1"/>
  <c r="E63" i="1"/>
  <c r="D63" i="1"/>
  <c r="D68" i="1" s="1"/>
  <c r="C63" i="1"/>
  <c r="C68" i="1" s="1"/>
  <c r="B63" i="1"/>
  <c r="B68" i="1" s="1"/>
  <c r="G54" i="1"/>
  <c r="K53" i="1"/>
  <c r="C53" i="1"/>
  <c r="I50" i="1"/>
  <c r="N48" i="1"/>
  <c r="M48" i="1"/>
  <c r="L48" i="1"/>
  <c r="L58" i="1" s="1"/>
  <c r="K48" i="1"/>
  <c r="J48" i="1"/>
  <c r="I48" i="1"/>
  <c r="H48" i="1"/>
  <c r="G48" i="1"/>
  <c r="G58" i="1" s="1"/>
  <c r="F48" i="1"/>
  <c r="E48" i="1"/>
  <c r="D48" i="1"/>
  <c r="D58" i="1" s="1"/>
  <c r="C48" i="1"/>
  <c r="B48" i="1"/>
  <c r="M47" i="1"/>
  <c r="M50" i="1" s="1"/>
  <c r="L47" i="1"/>
  <c r="L50" i="1" s="1"/>
  <c r="K47" i="1"/>
  <c r="K57" i="1" s="1"/>
  <c r="J47" i="1"/>
  <c r="J50" i="1" s="1"/>
  <c r="I47" i="1"/>
  <c r="H47" i="1"/>
  <c r="H57" i="1" s="1"/>
  <c r="G47" i="1"/>
  <c r="G50" i="1" s="1"/>
  <c r="F47" i="1"/>
  <c r="F50" i="1" s="1"/>
  <c r="E47" i="1"/>
  <c r="E50" i="1" s="1"/>
  <c r="D47" i="1"/>
  <c r="D50" i="1" s="1"/>
  <c r="C47" i="1"/>
  <c r="C57" i="1" s="1"/>
  <c r="B47" i="1"/>
  <c r="N47" i="1" s="1"/>
  <c r="N50" i="1" s="1"/>
  <c r="B45" i="1"/>
  <c r="C45" i="1" s="1"/>
  <c r="D45" i="1" s="1"/>
  <c r="E45" i="1" s="1"/>
  <c r="F45" i="1" s="1"/>
  <c r="G45" i="1" s="1"/>
  <c r="H45" i="1" s="1"/>
  <c r="I45" i="1" s="1"/>
  <c r="J45" i="1" s="1"/>
  <c r="K45" i="1" s="1"/>
  <c r="L45" i="1" s="1"/>
  <c r="M45" i="1" s="1"/>
  <c r="N39" i="1"/>
  <c r="K32" i="1"/>
  <c r="C32" i="1"/>
  <c r="M31" i="1"/>
  <c r="L31" i="1"/>
  <c r="K31" i="1"/>
  <c r="J31" i="1"/>
  <c r="I31" i="1"/>
  <c r="H31" i="1"/>
  <c r="G31" i="1"/>
  <c r="F31" i="1"/>
  <c r="E31" i="1"/>
  <c r="D31" i="1"/>
  <c r="C31" i="1"/>
  <c r="B31" i="1"/>
  <c r="M27" i="1"/>
  <c r="M32" i="1" s="1"/>
  <c r="L27" i="1"/>
  <c r="L32" i="1" s="1"/>
  <c r="K27" i="1"/>
  <c r="J27" i="1"/>
  <c r="J32" i="1" s="1"/>
  <c r="I27" i="1"/>
  <c r="I32" i="1" s="1"/>
  <c r="H27" i="1"/>
  <c r="H32" i="1" s="1"/>
  <c r="G27" i="1"/>
  <c r="G32" i="1" s="1"/>
  <c r="F27" i="1"/>
  <c r="F32" i="1" s="1"/>
  <c r="E27" i="1"/>
  <c r="E32" i="1" s="1"/>
  <c r="D27" i="1"/>
  <c r="D32" i="1" s="1"/>
  <c r="C27" i="1"/>
  <c r="B27" i="1"/>
  <c r="N27" i="1" s="1"/>
  <c r="J22" i="1"/>
  <c r="B22" i="1"/>
  <c r="M18" i="1"/>
  <c r="M54" i="1" s="1"/>
  <c r="L18" i="1"/>
  <c r="L54" i="1" s="1"/>
  <c r="K18" i="1"/>
  <c r="K54" i="1" s="1"/>
  <c r="J18" i="1"/>
  <c r="J54" i="1" s="1"/>
  <c r="I18" i="1"/>
  <c r="I54" i="1" s="1"/>
  <c r="H18" i="1"/>
  <c r="H22" i="1" s="1"/>
  <c r="G18" i="1"/>
  <c r="G22" i="1" s="1"/>
  <c r="F18" i="1"/>
  <c r="F22" i="1" s="1"/>
  <c r="E18" i="1"/>
  <c r="E54" i="1" s="1"/>
  <c r="D18" i="1"/>
  <c r="D54" i="1" s="1"/>
  <c r="C18" i="1"/>
  <c r="C54" i="1" s="1"/>
  <c r="B18" i="1"/>
  <c r="B54" i="1" s="1"/>
  <c r="M17" i="1"/>
  <c r="M53" i="1" s="1"/>
  <c r="L17" i="1"/>
  <c r="L53" i="1" s="1"/>
  <c r="K17" i="1"/>
  <c r="J17" i="1"/>
  <c r="J53" i="1" s="1"/>
  <c r="I17" i="1"/>
  <c r="I53" i="1" s="1"/>
  <c r="H17" i="1"/>
  <c r="H53" i="1" s="1"/>
  <c r="G17" i="1"/>
  <c r="G53" i="1" s="1"/>
  <c r="F17" i="1"/>
  <c r="F53" i="1" s="1"/>
  <c r="E17" i="1"/>
  <c r="E53" i="1" s="1"/>
  <c r="D17" i="1"/>
  <c r="D53" i="1" s="1"/>
  <c r="C17" i="1"/>
  <c r="B17" i="1"/>
  <c r="B53" i="1" s="1"/>
  <c r="L14" i="1"/>
  <c r="D14" i="1"/>
  <c r="M12" i="1"/>
  <c r="L12" i="1"/>
  <c r="K12" i="1"/>
  <c r="J12" i="1"/>
  <c r="I12" i="1"/>
  <c r="H12" i="1"/>
  <c r="G12" i="1"/>
  <c r="F12" i="1"/>
  <c r="E12" i="1"/>
  <c r="D12" i="1"/>
  <c r="C12" i="1"/>
  <c r="B12" i="1"/>
  <c r="N12" i="1" s="1"/>
  <c r="M11" i="1"/>
  <c r="M21" i="1" s="1"/>
  <c r="L11" i="1"/>
  <c r="L21" i="1" s="1"/>
  <c r="K11" i="1"/>
  <c r="K21" i="1" s="1"/>
  <c r="J11" i="1"/>
  <c r="J14" i="1" s="1"/>
  <c r="I11" i="1"/>
  <c r="I14" i="1" s="1"/>
  <c r="H11" i="1"/>
  <c r="H14" i="1" s="1"/>
  <c r="G11" i="1"/>
  <c r="G14" i="1" s="1"/>
  <c r="F11" i="1"/>
  <c r="N11" i="1" s="1"/>
  <c r="E11" i="1"/>
  <c r="E21" i="1" s="1"/>
  <c r="D11" i="1"/>
  <c r="D21" i="1" s="1"/>
  <c r="C11" i="1"/>
  <c r="C21" i="1" s="1"/>
  <c r="B11" i="1"/>
  <c r="B14" i="1" s="1"/>
  <c r="C6" i="1"/>
  <c r="D6" i="1" s="1"/>
  <c r="E6" i="1" s="1"/>
  <c r="F6" i="1" s="1"/>
  <c r="G6" i="1" s="1"/>
  <c r="H6" i="1" s="1"/>
  <c r="I6" i="1" s="1"/>
  <c r="J6" i="1" s="1"/>
  <c r="K6" i="1" s="1"/>
  <c r="L6" i="1" s="1"/>
  <c r="M6" i="1" s="1"/>
  <c r="K60" i="1" l="1"/>
  <c r="I58" i="1"/>
  <c r="N14" i="1"/>
  <c r="B58" i="1"/>
  <c r="J58" i="1"/>
  <c r="C58" i="1"/>
  <c r="C60" i="1" s="1"/>
  <c r="K58" i="1"/>
  <c r="N68" i="1"/>
  <c r="I57" i="1"/>
  <c r="I60" i="1" s="1"/>
  <c r="E58" i="1"/>
  <c r="M58" i="1"/>
  <c r="C14" i="1"/>
  <c r="K14" i="1"/>
  <c r="F21" i="1"/>
  <c r="F24" i="1" s="1"/>
  <c r="I22" i="1"/>
  <c r="B32" i="1"/>
  <c r="N32" i="1" s="1"/>
  <c r="H50" i="1"/>
  <c r="F54" i="1"/>
  <c r="F58" i="1" s="1"/>
  <c r="B57" i="1"/>
  <c r="J57" i="1"/>
  <c r="E14" i="1"/>
  <c r="M14" i="1"/>
  <c r="H21" i="1"/>
  <c r="H24" i="1" s="1"/>
  <c r="C22" i="1"/>
  <c r="C24" i="1" s="1"/>
  <c r="K22" i="1"/>
  <c r="K24" i="1" s="1"/>
  <c r="B50" i="1"/>
  <c r="H54" i="1"/>
  <c r="H58" i="1" s="1"/>
  <c r="H60" i="1" s="1"/>
  <c r="D57" i="1"/>
  <c r="D60" i="1" s="1"/>
  <c r="L57" i="1"/>
  <c r="L60" i="1" s="1"/>
  <c r="F14" i="1"/>
  <c r="I21" i="1"/>
  <c r="I24" i="1" s="1"/>
  <c r="D22" i="1"/>
  <c r="D24" i="1" s="1"/>
  <c r="L22" i="1"/>
  <c r="L24" i="1" s="1"/>
  <c r="C50" i="1"/>
  <c r="K50" i="1"/>
  <c r="E57" i="1"/>
  <c r="M57" i="1"/>
  <c r="G21" i="1"/>
  <c r="G24" i="1" s="1"/>
  <c r="B21" i="1"/>
  <c r="J21" i="1"/>
  <c r="J24" i="1" s="1"/>
  <c r="E22" i="1"/>
  <c r="E24" i="1" s="1"/>
  <c r="M22" i="1"/>
  <c r="M24" i="1" s="1"/>
  <c r="F57" i="1"/>
  <c r="N63" i="1"/>
  <c r="G57" i="1"/>
  <c r="G60" i="1" s="1"/>
  <c r="C66" i="1" l="1"/>
  <c r="C69" i="1"/>
  <c r="H66" i="1"/>
  <c r="H69" i="1"/>
  <c r="M30" i="1"/>
  <c r="M33" i="1"/>
  <c r="E30" i="1"/>
  <c r="E33" i="1"/>
  <c r="L33" i="1"/>
  <c r="L30" i="1"/>
  <c r="K33" i="1"/>
  <c r="K30" i="1"/>
  <c r="D33" i="1"/>
  <c r="D30" i="1"/>
  <c r="C33" i="1"/>
  <c r="C30" i="1"/>
  <c r="F60" i="1"/>
  <c r="I66" i="1"/>
  <c r="I69" i="1"/>
  <c r="N57" i="1"/>
  <c r="N60" i="1" s="1"/>
  <c r="B60" i="1"/>
  <c r="N58" i="1"/>
  <c r="I30" i="1"/>
  <c r="I33" i="1"/>
  <c r="N22" i="1"/>
  <c r="B24" i="1"/>
  <c r="N21" i="1"/>
  <c r="N24" i="1" s="1"/>
  <c r="N36" i="1" s="1"/>
  <c r="H30" i="1"/>
  <c r="H33" i="1"/>
  <c r="K66" i="1"/>
  <c r="K69" i="1"/>
  <c r="G30" i="1"/>
  <c r="G33" i="1"/>
  <c r="F33" i="1"/>
  <c r="F30" i="1"/>
  <c r="J33" i="1"/>
  <c r="J30" i="1"/>
  <c r="G66" i="1"/>
  <c r="G69" i="1"/>
  <c r="M60" i="1"/>
  <c r="L69" i="1"/>
  <c r="L66" i="1"/>
  <c r="E60" i="1"/>
  <c r="D69" i="1"/>
  <c r="D66" i="1"/>
  <c r="J60" i="1"/>
  <c r="M66" i="1" l="1"/>
  <c r="M69" i="1"/>
  <c r="J66" i="1"/>
  <c r="J69" i="1"/>
  <c r="B66" i="1"/>
  <c r="B69" i="1"/>
  <c r="N69" i="1" s="1"/>
  <c r="N72" i="1"/>
  <c r="E66" i="1"/>
  <c r="E69" i="1"/>
  <c r="B33" i="1"/>
  <c r="N33" i="1" s="1"/>
  <c r="N35" i="1" s="1"/>
  <c r="N37" i="1" s="1"/>
  <c r="B30" i="1"/>
  <c r="F69" i="1"/>
  <c r="F66" i="1"/>
  <c r="N73" i="1" l="1"/>
  <c r="N76" i="1" s="1"/>
  <c r="N40" i="1"/>
  <c r="N71" i="1"/>
  <c r="N41" i="1" l="1"/>
  <c r="O40" i="1"/>
  <c r="N77" i="1"/>
  <c r="O7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Vandenburg</author>
  </authors>
  <commentList>
    <comment ref="A31" authorId="0" shapeId="0" xr:uid="{E2330E18-715A-4AEA-B625-5AFC2574C1D3}">
      <text>
        <r>
          <rPr>
            <b/>
            <sz val="9"/>
            <color indexed="81"/>
            <rFont val="Tahoma"/>
            <family val="2"/>
          </rPr>
          <t>Brian Vandenburg:</t>
        </r>
        <r>
          <rPr>
            <sz val="9"/>
            <color indexed="81"/>
            <rFont val="Tahoma"/>
            <family val="2"/>
          </rPr>
          <t xml:space="preserve">
Label changed from income statement to balance sheet terminology.  Debits are expected receivables
</t>
        </r>
      </text>
    </comment>
    <comment ref="A32" authorId="0" shapeId="0" xr:uid="{345B49C8-2CC3-4E9F-93BE-A884DE182AAD}">
      <text>
        <r>
          <rPr>
            <b/>
            <sz val="9"/>
            <color indexed="81"/>
            <rFont val="Tahoma"/>
            <family val="2"/>
          </rPr>
          <t>Brian Vandenburg:</t>
        </r>
        <r>
          <rPr>
            <sz val="9"/>
            <color indexed="81"/>
            <rFont val="Tahoma"/>
            <family val="2"/>
          </rPr>
          <t xml:space="preserve">
"offset" used to always act as a counter to the material sales revenue (expense) from sales.  In a perfect month, the negative from commingle should exactly offset (zero out) from what we collect from customers.</t>
        </r>
      </text>
    </comment>
    <comment ref="A67" authorId="0" shapeId="0" xr:uid="{5E120B91-F6BD-4DFE-B14F-C2C0C91D28C5}">
      <text>
        <r>
          <rPr>
            <b/>
            <sz val="9"/>
            <color indexed="81"/>
            <rFont val="Tahoma"/>
            <family val="2"/>
          </rPr>
          <t>Brian Vandenburg:</t>
        </r>
        <r>
          <rPr>
            <sz val="9"/>
            <color indexed="81"/>
            <rFont val="Tahoma"/>
            <family val="2"/>
          </rPr>
          <t xml:space="preserve">
Label changed from income statement to balance sheet terminology.  Debits are expected receivables
</t>
        </r>
      </text>
    </comment>
    <comment ref="A68" authorId="0" shapeId="0" xr:uid="{51703E3B-6B0F-43D7-B1CE-6193E14B610E}">
      <text>
        <r>
          <rPr>
            <b/>
            <sz val="9"/>
            <color indexed="81"/>
            <rFont val="Tahoma"/>
            <family val="2"/>
          </rPr>
          <t>Brian Vandenburg:</t>
        </r>
        <r>
          <rPr>
            <sz val="9"/>
            <color indexed="81"/>
            <rFont val="Tahoma"/>
            <family val="2"/>
          </rPr>
          <t xml:space="preserve">
"offset" used to always act as a counter to the material sales revenue (expense) from sales.  In a perfect month, the negative from commingle should exactly offset (zero out) from what we collect from customers.</t>
        </r>
      </text>
    </comment>
  </commentList>
</comments>
</file>

<file path=xl/sharedStrings.xml><?xml version="1.0" encoding="utf-8"?>
<sst xmlns="http://schemas.openxmlformats.org/spreadsheetml/2006/main" count="54" uniqueCount="29">
  <si>
    <t>Harold LeMay Enterprises, Inc. G-98</t>
  </si>
  <si>
    <t>Pacific Disposal/Butler Cove Refuse/ Rural Garbage</t>
  </si>
  <si>
    <t>Commodity Credit Accrual Calculation</t>
  </si>
  <si>
    <t>Effective January 1, 2025</t>
  </si>
  <si>
    <t>12-Month</t>
  </si>
  <si>
    <t>Total</t>
  </si>
  <si>
    <t>Single Family</t>
  </si>
  <si>
    <t>Tons</t>
  </si>
  <si>
    <t>Commingle</t>
  </si>
  <si>
    <t>Glass</t>
  </si>
  <si>
    <t>Total Tons</t>
  </si>
  <si>
    <t>Price per Ton</t>
  </si>
  <si>
    <t>Commingle Revenue (Expense)/ton</t>
  </si>
  <si>
    <t>Glass Revenue (Expense)/ton</t>
  </si>
  <si>
    <t>Earned Revenue (Expense)</t>
  </si>
  <si>
    <t>Total Revenue/Expense</t>
  </si>
  <si>
    <t>Customers</t>
  </si>
  <si>
    <t>Actual Commodity Value Due From/(To) Customer</t>
  </si>
  <si>
    <t>Projected Due From/(To) Per Customer</t>
  </si>
  <si>
    <t>Projected Total Offset From/(To) Customers</t>
  </si>
  <si>
    <t>Due From (To) Customers</t>
  </si>
  <si>
    <t>Prior Period True-Up Due From (To) Customer</t>
  </si>
  <si>
    <t>12-Month rolling cost/(benefit) of material sales/customer</t>
  </si>
  <si>
    <t>New Commodity Debit/(Credit):</t>
  </si>
  <si>
    <t>Old Debit/(Credit):</t>
  </si>
  <si>
    <t>Change:</t>
  </si>
  <si>
    <t>12-Month Revenue Impact:</t>
  </si>
  <si>
    <t>Multi-Family</t>
  </si>
  <si>
    <t>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</si>
</sst>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00_);_(* \(#,##0.0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43" fontId="1" fillId="0" borderId="0" xfId="1" applyFont="1" applyFill="1"/>
    <xf numFmtId="3" fontId="1" fillId="0" borderId="0" xfId="1" applyNumberFormat="1" applyFont="1" applyFill="1"/>
    <xf numFmtId="43" fontId="1" fillId="0" borderId="0" xfId="1" applyFont="1" applyFill="1" applyBorder="1"/>
    <xf numFmtId="164" fontId="1" fillId="0" borderId="0" xfId="1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center"/>
    </xf>
    <xf numFmtId="165" fontId="1" fillId="0" borderId="0" xfId="1" applyNumberFormat="1" applyFont="1" applyFill="1" applyBorder="1"/>
    <xf numFmtId="165" fontId="1" fillId="0" borderId="0" xfId="1" applyNumberFormat="1" applyFont="1" applyFill="1"/>
    <xf numFmtId="165" fontId="2" fillId="0" borderId="2" xfId="1" applyNumberFormat="1" applyFont="1" applyFill="1" applyBorder="1"/>
    <xf numFmtId="43" fontId="2" fillId="0" borderId="0" xfId="1" applyFont="1" applyFill="1" applyBorder="1"/>
    <xf numFmtId="165" fontId="2" fillId="0" borderId="0" xfId="1" applyNumberFormat="1" applyFont="1" applyFill="1" applyBorder="1"/>
    <xf numFmtId="166" fontId="1" fillId="0" borderId="0" xfId="2" applyNumberFormat="1" applyFont="1" applyFill="1"/>
    <xf numFmtId="166" fontId="1" fillId="0" borderId="0" xfId="2" applyNumberFormat="1" applyFont="1" applyFill="1" applyBorder="1"/>
    <xf numFmtId="166" fontId="1" fillId="0" borderId="2" xfId="2" applyNumberFormat="1" applyFont="1" applyFill="1" applyBorder="1"/>
    <xf numFmtId="166" fontId="2" fillId="0" borderId="2" xfId="2" applyNumberFormat="1" applyFont="1" applyFill="1" applyBorder="1"/>
    <xf numFmtId="4" fontId="2" fillId="0" borderId="0" xfId="1" applyNumberFormat="1" applyFont="1" applyFill="1" applyBorder="1"/>
    <xf numFmtId="0" fontId="1" fillId="0" borderId="0" xfId="1" applyNumberFormat="1" applyFont="1" applyFill="1"/>
    <xf numFmtId="165" fontId="2" fillId="0" borderId="0" xfId="1" applyNumberFormat="1" applyFont="1" applyFill="1"/>
    <xf numFmtId="3" fontId="1" fillId="0" borderId="0" xfId="1" applyNumberFormat="1" applyFont="1" applyFill="1" applyBorder="1"/>
    <xf numFmtId="167" fontId="1" fillId="0" borderId="0" xfId="1" applyNumberFormat="1" applyFont="1" applyFill="1" applyBorder="1"/>
    <xf numFmtId="44" fontId="1" fillId="0" borderId="0" xfId="2" applyFont="1" applyFill="1"/>
    <xf numFmtId="44" fontId="1" fillId="0" borderId="0" xfId="2" applyFont="1" applyFill="1" applyBorder="1"/>
    <xf numFmtId="4" fontId="1" fillId="0" borderId="0" xfId="1" applyNumberFormat="1" applyFont="1" applyFill="1" applyBorder="1"/>
    <xf numFmtId="0" fontId="2" fillId="0" borderId="0" xfId="1" applyNumberFormat="1" applyFont="1" applyFill="1"/>
    <xf numFmtId="166" fontId="2" fillId="0" borderId="3" xfId="2" applyNumberFormat="1" applyFont="1" applyFill="1" applyBorder="1"/>
    <xf numFmtId="10" fontId="1" fillId="0" borderId="0" xfId="3" applyNumberFormat="1" applyFont="1" applyFill="1" applyAlignment="1">
      <alignment horizontal="right"/>
    </xf>
    <xf numFmtId="165" fontId="1" fillId="0" borderId="0" xfId="1" applyNumberFormat="1" applyFont="1" applyFill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39" fontId="1" fillId="0" borderId="0" xfId="1" applyNumberFormat="1" applyFont="1" applyFill="1" applyBorder="1"/>
    <xf numFmtId="43" fontId="1" fillId="0" borderId="0" xfId="1" applyFont="1" applyFill="1" applyAlignment="1">
      <alignment horizontal="right"/>
    </xf>
    <xf numFmtId="44" fontId="1" fillId="0" borderId="1" xfId="2" applyFont="1" applyFill="1" applyBorder="1"/>
    <xf numFmtId="165" fontId="2" fillId="0" borderId="0" xfId="1" applyNumberFormat="1" applyFont="1" applyFill="1" applyAlignment="1">
      <alignment horizontal="right"/>
    </xf>
    <xf numFmtId="44" fontId="2" fillId="0" borderId="0" xfId="2" applyFont="1" applyFill="1" applyBorder="1"/>
    <xf numFmtId="10" fontId="1" fillId="0" borderId="0" xfId="3" applyNumberFormat="1" applyFont="1" applyFill="1" applyAlignment="1">
      <alignment horizontal="left"/>
    </xf>
    <xf numFmtId="165" fontId="1" fillId="0" borderId="0" xfId="1" applyNumberFormat="1" applyFont="1" applyFill="1" applyAlignment="1">
      <alignment horizontal="left"/>
    </xf>
    <xf numFmtId="10" fontId="1" fillId="0" borderId="0" xfId="3" applyNumberFormat="1" applyFont="1" applyFill="1" applyBorder="1"/>
    <xf numFmtId="43" fontId="2" fillId="0" borderId="2" xfId="1" applyFont="1" applyFill="1" applyBorder="1"/>
    <xf numFmtId="8" fontId="1" fillId="0" borderId="0" xfId="2" applyNumberFormat="1" applyFont="1" applyFill="1"/>
    <xf numFmtId="0" fontId="2" fillId="0" borderId="0" xfId="4" applyFont="1" applyFill="1"/>
    <xf numFmtId="0" fontId="1" fillId="0" borderId="0" xfId="4" applyFill="1"/>
    <xf numFmtId="3" fontId="1" fillId="0" borderId="0" xfId="4" applyNumberFormat="1" applyFill="1"/>
    <xf numFmtId="0" fontId="1" fillId="0" borderId="0" xfId="4" applyFill="1" applyAlignment="1">
      <alignment horizontal="center"/>
    </xf>
    <xf numFmtId="0" fontId="2" fillId="0" borderId="0" xfId="4" applyFont="1" applyFill="1" applyAlignment="1">
      <alignment horizontal="center"/>
    </xf>
    <xf numFmtId="0" fontId="1" fillId="0" borderId="1" xfId="4" applyFill="1" applyBorder="1" applyAlignment="1">
      <alignment horizontal="center"/>
    </xf>
    <xf numFmtId="17" fontId="2" fillId="0" borderId="1" xfId="4" applyNumberFormat="1" applyFont="1" applyFill="1" applyBorder="1" applyAlignment="1">
      <alignment horizontal="center"/>
    </xf>
    <xf numFmtId="164" fontId="1" fillId="0" borderId="0" xfId="4" applyNumberFormat="1" applyFill="1" applyAlignment="1">
      <alignment horizontal="center"/>
    </xf>
    <xf numFmtId="17" fontId="2" fillId="0" borderId="0" xfId="4" applyNumberFormat="1" applyFont="1" applyFill="1" applyAlignment="1">
      <alignment horizontal="center"/>
    </xf>
    <xf numFmtId="17" fontId="2" fillId="0" borderId="0" xfId="4" quotePrefix="1" applyNumberFormat="1" applyFont="1" applyFill="1" applyAlignment="1">
      <alignment horizontal="center"/>
    </xf>
    <xf numFmtId="0" fontId="4" fillId="0" borderId="0" xfId="4" applyFont="1" applyFill="1" applyAlignment="1">
      <alignment horizontal="center"/>
    </xf>
    <xf numFmtId="17" fontId="1" fillId="0" borderId="0" xfId="4" applyNumberFormat="1" applyFill="1" applyAlignment="1">
      <alignment horizontal="center"/>
    </xf>
    <xf numFmtId="0" fontId="5" fillId="0" borderId="0" xfId="4" applyFont="1" applyFill="1" applyAlignment="1">
      <alignment horizontal="left"/>
    </xf>
    <xf numFmtId="43" fontId="1" fillId="0" borderId="0" xfId="4" applyNumberFormat="1" applyFill="1"/>
    <xf numFmtId="0" fontId="5" fillId="0" borderId="0" xfId="4" applyFont="1" applyFill="1"/>
    <xf numFmtId="44" fontId="1" fillId="0" borderId="0" xfId="4" applyNumberFormat="1" applyFill="1"/>
    <xf numFmtId="4" fontId="2" fillId="0" borderId="0" xfId="4" applyNumberFormat="1" applyFont="1" applyFill="1"/>
    <xf numFmtId="43" fontId="6" fillId="0" borderId="0" xfId="1" applyFont="1" applyFill="1" applyBorder="1"/>
    <xf numFmtId="0" fontId="1" fillId="0" borderId="0" xfId="5" applyNumberFormat="1" applyFont="1" applyFill="1"/>
    <xf numFmtId="0" fontId="1" fillId="0" borderId="0" xfId="6" applyFill="1"/>
    <xf numFmtId="165" fontId="7" fillId="0" borderId="0" xfId="1" applyNumberFormat="1" applyFont="1" applyFill="1" applyBorder="1"/>
    <xf numFmtId="39" fontId="1" fillId="0" borderId="0" xfId="4" applyNumberFormat="1" applyFill="1"/>
    <xf numFmtId="0" fontId="4" fillId="0" borderId="0" xfId="4" applyFont="1" applyFill="1" applyAlignment="1">
      <alignment horizontal="left"/>
    </xf>
    <xf numFmtId="2" fontId="1" fillId="0" borderId="0" xfId="4" applyNumberFormat="1" applyFill="1"/>
    <xf numFmtId="165" fontId="1" fillId="0" borderId="0" xfId="4" applyNumberFormat="1" applyFill="1"/>
    <xf numFmtId="43" fontId="2" fillId="0" borderId="0" xfId="4" applyNumberFormat="1" applyFont="1" applyFill="1"/>
    <xf numFmtId="165" fontId="2" fillId="0" borderId="0" xfId="4" applyNumberFormat="1" applyFont="1" applyFill="1"/>
  </cellXfs>
  <cellStyles count="7">
    <cellStyle name="Comma" xfId="1" builtinId="3"/>
    <cellStyle name="Comma 17 2" xfId="5" xr:uid="{2B49DF0D-273E-4A94-B84F-9FB69E929558}"/>
    <cellStyle name="Currency" xfId="2" builtinId="4"/>
    <cellStyle name="Normal" xfId="0" builtinId="0"/>
    <cellStyle name="Normal_Joe's 1-1-2004" xfId="6" xr:uid="{A516F43F-B4EF-429C-A86D-E74175871EDC}"/>
    <cellStyle name="Normal_Pacific 1-1-06" xfId="4" xr:uid="{D5926C40-2971-4357-8A00-6D2D8E3101D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IP%20Files/Commodity%20Credit/2025%20Accrual%20Spreadsheets/2025.01%20S%20LeMay%20Comm%20Credits/Pacific%20Disposal%20Commodity%20Accrual%20Calc%202025.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cific%20Disposal%20CPA%20Calc%201-1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ific Comm Credit"/>
      <sheetName val="Single Fam Comm Details"/>
      <sheetName val="Multi Fam Comm Details"/>
      <sheetName val="Yearly Totals 21"/>
      <sheetName val="Yearly Totals 22"/>
      <sheetName val="Yearly Totals 24"/>
      <sheetName val="Yearly Totals 23"/>
      <sheetName val="Pioneer Pricing"/>
      <sheetName val="MF Customer Counts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</sheetNames>
    <sheetDataSet>
      <sheetData sheetId="0">
        <row r="10">
          <cell r="B10">
            <v>967.57000000000016</v>
          </cell>
          <cell r="C10">
            <v>1077.19</v>
          </cell>
          <cell r="D10">
            <v>1130.7299999999998</v>
          </cell>
          <cell r="E10">
            <v>941.95</v>
          </cell>
          <cell r="F10">
            <v>948.9</v>
          </cell>
          <cell r="G10">
            <v>941.55</v>
          </cell>
          <cell r="H10">
            <v>973.41999999999973</v>
          </cell>
          <cell r="I10">
            <v>922.23999999999978</v>
          </cell>
          <cell r="J10">
            <v>984.30999999999972</v>
          </cell>
          <cell r="K10">
            <v>997.25</v>
          </cell>
          <cell r="L10">
            <v>899.26</v>
          </cell>
          <cell r="M10">
            <v>974.58</v>
          </cell>
        </row>
        <row r="11">
          <cell r="B11">
            <v>81.010000000000005</v>
          </cell>
          <cell r="C11">
            <v>106.86</v>
          </cell>
          <cell r="D11">
            <v>114.39</v>
          </cell>
          <cell r="E11">
            <v>111.51</v>
          </cell>
          <cell r="F11">
            <v>110.04</v>
          </cell>
          <cell r="G11">
            <v>104.24</v>
          </cell>
          <cell r="H11">
            <v>112.45</v>
          </cell>
          <cell r="I11">
            <v>105.33</v>
          </cell>
          <cell r="J11">
            <v>107.45</v>
          </cell>
          <cell r="K11">
            <v>111.49</v>
          </cell>
          <cell r="L11">
            <v>106.46</v>
          </cell>
          <cell r="M11">
            <v>91.78</v>
          </cell>
        </row>
        <row r="16">
          <cell r="B16">
            <v>-108.940516</v>
          </cell>
          <cell r="C16">
            <v>-113.42106999999997</v>
          </cell>
          <cell r="D16">
            <v>-102.47826499999999</v>
          </cell>
          <cell r="E16">
            <v>-102.88196499999999</v>
          </cell>
          <cell r="F16">
            <v>-99.83776499999999</v>
          </cell>
          <cell r="G16">
            <v>-97.796965</v>
          </cell>
          <cell r="H16">
            <v>-86.539065000000022</v>
          </cell>
          <cell r="I16">
            <v>-78.573464999999999</v>
          </cell>
          <cell r="J16">
            <v>-80.41266499999999</v>
          </cell>
          <cell r="K16">
            <v>-86.716464999999999</v>
          </cell>
          <cell r="L16">
            <v>-89.310232999999997</v>
          </cell>
          <cell r="M16">
            <v>-96.313582999999994</v>
          </cell>
        </row>
        <row r="17">
          <cell r="B17">
            <v>-33</v>
          </cell>
          <cell r="C17">
            <v>-33</v>
          </cell>
          <cell r="D17">
            <v>-33</v>
          </cell>
          <cell r="E17">
            <v>-33</v>
          </cell>
          <cell r="F17">
            <v>-33</v>
          </cell>
          <cell r="G17">
            <v>-33</v>
          </cell>
          <cell r="H17">
            <v>-33</v>
          </cell>
          <cell r="I17">
            <v>-38</v>
          </cell>
          <cell r="J17">
            <v>-43</v>
          </cell>
          <cell r="K17">
            <v>-43</v>
          </cell>
          <cell r="L17">
            <v>-43</v>
          </cell>
          <cell r="M17">
            <v>-43</v>
          </cell>
        </row>
        <row r="26">
          <cell r="B26">
            <v>63924</v>
          </cell>
          <cell r="C26">
            <v>63945</v>
          </cell>
          <cell r="D26">
            <v>63948</v>
          </cell>
          <cell r="E26">
            <v>63994</v>
          </cell>
          <cell r="F26">
            <v>64122</v>
          </cell>
          <cell r="G26">
            <v>63874</v>
          </cell>
          <cell r="H26">
            <v>63874</v>
          </cell>
          <cell r="I26">
            <v>64431</v>
          </cell>
          <cell r="J26">
            <v>64431</v>
          </cell>
          <cell r="K26">
            <v>64649</v>
          </cell>
          <cell r="L26">
            <v>64070</v>
          </cell>
          <cell r="M26">
            <v>63160</v>
          </cell>
        </row>
        <row r="44">
          <cell r="B44">
            <v>104.29185199999999</v>
          </cell>
          <cell r="C44">
            <v>104.28250799999996</v>
          </cell>
          <cell r="D44">
            <v>99.527394000000001</v>
          </cell>
          <cell r="E44">
            <v>94.802279999999996</v>
          </cell>
          <cell r="F44">
            <v>109.017622</v>
          </cell>
          <cell r="G44">
            <v>99.527394000000001</v>
          </cell>
          <cell r="H44">
            <v>104.28250799999998</v>
          </cell>
          <cell r="I44">
            <v>104.28250799999995</v>
          </cell>
          <cell r="J44">
            <v>99.527393999999987</v>
          </cell>
          <cell r="K44">
            <v>109.01762199999999</v>
          </cell>
          <cell r="L44">
            <v>104.28250799999996</v>
          </cell>
          <cell r="M44">
            <v>99.527393999999987</v>
          </cell>
        </row>
        <row r="45">
          <cell r="B45">
            <v>18.28</v>
          </cell>
          <cell r="C45">
            <v>19.34</v>
          </cell>
          <cell r="D45">
            <v>18.970000000000002</v>
          </cell>
          <cell r="E45">
            <v>18.170000000000002</v>
          </cell>
          <cell r="F45">
            <v>20.14</v>
          </cell>
          <cell r="G45">
            <v>18.560000000000002</v>
          </cell>
          <cell r="H45">
            <v>19.57</v>
          </cell>
          <cell r="I45">
            <v>19.240000000000002</v>
          </cell>
          <cell r="J45">
            <v>18.650000000000002</v>
          </cell>
          <cell r="K45">
            <v>20.16</v>
          </cell>
          <cell r="L45">
            <v>19.310000000000002</v>
          </cell>
          <cell r="M45">
            <v>18.09</v>
          </cell>
        </row>
        <row r="60">
          <cell r="B60">
            <v>14658.818584070797</v>
          </cell>
          <cell r="C60">
            <v>14699</v>
          </cell>
          <cell r="D60">
            <v>14621.5</v>
          </cell>
          <cell r="E60">
            <v>14621.5</v>
          </cell>
          <cell r="F60">
            <v>14621.5</v>
          </cell>
          <cell r="G60">
            <v>14621.5</v>
          </cell>
          <cell r="H60">
            <v>14621.5</v>
          </cell>
          <cell r="I60">
            <v>14796.000000000004</v>
          </cell>
          <cell r="J60">
            <v>14821.40044247788</v>
          </cell>
          <cell r="K60">
            <v>14755.219026548677</v>
          </cell>
          <cell r="L60">
            <v>15057</v>
          </cell>
          <cell r="M60">
            <v>13913.511578947368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ific CPA 1.1.25 (2)"/>
      <sheetName val="Pacific CPA 1.1.25"/>
      <sheetName val="Pacific CPA 1.1.24"/>
      <sheetName val="Pacific CPA 1.1.23"/>
      <sheetName val="Pacific CPA 1.1.22"/>
      <sheetName val="Pacific CPA 1.1.21"/>
      <sheetName val="Pacific CPA Eff. 1.1.20"/>
      <sheetName val="Pacific CPA Eff. 7.1.19"/>
      <sheetName val="Pacific CPA Eff. 1.1.19"/>
      <sheetName val="Pacific CPA 7.1.18"/>
    </sheetNames>
    <sheetDataSet>
      <sheetData sheetId="0"/>
      <sheetData sheetId="1"/>
      <sheetData sheetId="2">
        <row r="31">
          <cell r="M31">
            <v>-0.88</v>
          </cell>
        </row>
        <row r="36">
          <cell r="N36">
            <v>1.89</v>
          </cell>
        </row>
        <row r="37">
          <cell r="N37">
            <v>2.9299999999999997</v>
          </cell>
        </row>
        <row r="67">
          <cell r="M67">
            <v>-0.42</v>
          </cell>
        </row>
        <row r="72">
          <cell r="N72">
            <v>0.91</v>
          </cell>
        </row>
        <row r="73">
          <cell r="N73">
            <v>1.42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121AD-42C0-4E66-A8A3-1BD91DB1DBCC}">
  <sheetPr>
    <tabColor theme="7" tint="0.59999389629810485"/>
    <pageSetUpPr fitToPage="1"/>
  </sheetPr>
  <dimension ref="A1:AP78"/>
  <sheetViews>
    <sheetView showGridLines="0" tabSelected="1" view="pageBreakPreview" zoomScaleNormal="115" zoomScaleSheetLayoutView="100" workbookViewId="0">
      <pane xSplit="1" ySplit="7" topLeftCell="B61" activePane="bottomRight" state="frozen"/>
      <selection activeCell="B36" sqref="B36"/>
      <selection pane="topRight" activeCell="B36" sqref="B36"/>
      <selection pane="bottomLeft" activeCell="B36" sqref="B36"/>
      <selection pane="bottomRight" activeCell="O40" sqref="O40"/>
    </sheetView>
  </sheetViews>
  <sheetFormatPr defaultColWidth="9.140625" defaultRowHeight="12.75" x14ac:dyDescent="0.2"/>
  <cols>
    <col min="1" max="1" width="48.85546875" style="39" bestFit="1" customWidth="1"/>
    <col min="2" max="2" width="14" style="39" bestFit="1" customWidth="1"/>
    <col min="3" max="12" width="11.28515625" style="39" bestFit="1" customWidth="1"/>
    <col min="13" max="13" width="13" style="39" customWidth="1"/>
    <col min="14" max="14" width="14.5703125" style="39" bestFit="1" customWidth="1"/>
    <col min="15" max="15" width="11.28515625" style="39" bestFit="1" customWidth="1"/>
    <col min="16" max="16" width="10.28515625" style="39" bestFit="1" customWidth="1"/>
    <col min="17" max="17" width="13.5703125" style="39" customWidth="1"/>
    <col min="18" max="18" width="11.85546875" style="39" bestFit="1" customWidth="1"/>
    <col min="19" max="19" width="11.140625" style="39" customWidth="1"/>
    <col min="20" max="20" width="10.7109375" style="39" customWidth="1"/>
    <col min="21" max="21" width="10.85546875" style="39" customWidth="1"/>
    <col min="22" max="22" width="10.42578125" style="39" customWidth="1"/>
    <col min="23" max="23" width="10.85546875" style="39" customWidth="1"/>
    <col min="24" max="24" width="11.42578125" style="39" customWidth="1"/>
    <col min="25" max="25" width="11.85546875" style="39" customWidth="1"/>
    <col min="26" max="16384" width="9.140625" style="39"/>
  </cols>
  <sheetData>
    <row r="1" spans="1:38" x14ac:dyDescent="0.2">
      <c r="A1" s="38" t="s">
        <v>0</v>
      </c>
    </row>
    <row r="2" spans="1:38" x14ac:dyDescent="0.2">
      <c r="A2" s="38" t="s">
        <v>1</v>
      </c>
      <c r="N2" s="40"/>
    </row>
    <row r="3" spans="1:38" x14ac:dyDescent="0.2">
      <c r="A3" s="38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3"/>
    </row>
    <row r="4" spans="1:38" x14ac:dyDescent="0.2">
      <c r="A4" s="38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/>
    </row>
    <row r="5" spans="1:38" s="41" customFormat="1" x14ac:dyDescent="0.2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 t="s">
        <v>4</v>
      </c>
      <c r="P5" s="3"/>
    </row>
    <row r="6" spans="1:38" s="43" customFormat="1" x14ac:dyDescent="0.2">
      <c r="B6" s="44">
        <v>45231</v>
      </c>
      <c r="C6" s="44">
        <f>+B6+31</f>
        <v>45262</v>
      </c>
      <c r="D6" s="44">
        <f t="shared" ref="D6:M6" si="0">+C6+31</f>
        <v>45293</v>
      </c>
      <c r="E6" s="44">
        <f t="shared" si="0"/>
        <v>45324</v>
      </c>
      <c r="F6" s="44">
        <f t="shared" si="0"/>
        <v>45355</v>
      </c>
      <c r="G6" s="44">
        <f t="shared" si="0"/>
        <v>45386</v>
      </c>
      <c r="H6" s="44">
        <f t="shared" si="0"/>
        <v>45417</v>
      </c>
      <c r="I6" s="44">
        <f t="shared" si="0"/>
        <v>45448</v>
      </c>
      <c r="J6" s="44">
        <f t="shared" si="0"/>
        <v>45479</v>
      </c>
      <c r="K6" s="44">
        <f t="shared" si="0"/>
        <v>45510</v>
      </c>
      <c r="L6" s="44">
        <f t="shared" si="0"/>
        <v>45541</v>
      </c>
      <c r="M6" s="44">
        <f t="shared" si="0"/>
        <v>45572</v>
      </c>
      <c r="N6" s="44" t="s">
        <v>5</v>
      </c>
      <c r="O6" s="41"/>
      <c r="P6" s="4"/>
      <c r="Q6" s="45"/>
      <c r="R6" s="4"/>
      <c r="S6" s="4"/>
      <c r="T6" s="45"/>
      <c r="U6" s="45"/>
      <c r="V6" s="45"/>
      <c r="W6" s="45"/>
      <c r="X6" s="45"/>
      <c r="Y6" s="45"/>
      <c r="Z6" s="45"/>
      <c r="AA6" s="45"/>
      <c r="AB6" s="45"/>
      <c r="AC6" s="45"/>
      <c r="AD6" s="41"/>
      <c r="AE6" s="41"/>
      <c r="AF6" s="41"/>
      <c r="AG6" s="41"/>
      <c r="AH6" s="41"/>
      <c r="AI6" s="41"/>
      <c r="AJ6" s="41"/>
      <c r="AK6" s="41"/>
      <c r="AL6" s="41"/>
    </row>
    <row r="7" spans="1:38" s="41" customFormat="1" x14ac:dyDescent="0.2">
      <c r="B7" s="46"/>
      <c r="C7" s="46"/>
      <c r="D7" s="46"/>
      <c r="E7" s="46"/>
      <c r="F7" s="46"/>
      <c r="G7" s="46"/>
      <c r="H7" s="46"/>
      <c r="I7" s="46"/>
      <c r="J7" s="46"/>
      <c r="K7" s="47"/>
      <c r="L7" s="47"/>
      <c r="M7" s="47"/>
      <c r="N7" s="46"/>
      <c r="P7" s="4"/>
      <c r="Q7" s="45"/>
      <c r="R7" s="4"/>
      <c r="S7" s="4"/>
      <c r="T7" s="45"/>
      <c r="U7" s="45"/>
      <c r="V7" s="45"/>
      <c r="W7" s="45"/>
      <c r="X7" s="45"/>
      <c r="Y7" s="45"/>
      <c r="Z7" s="45"/>
      <c r="AA7" s="45"/>
      <c r="AB7" s="45"/>
      <c r="AC7" s="45"/>
    </row>
    <row r="8" spans="1:38" s="41" customFormat="1" x14ac:dyDescent="0.2">
      <c r="A8" s="48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9"/>
      <c r="P8" s="3"/>
    </row>
    <row r="9" spans="1:38" s="41" customForma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9"/>
      <c r="P9" s="3"/>
    </row>
    <row r="10" spans="1:38" s="41" customFormat="1" x14ac:dyDescent="0.2">
      <c r="A10" s="50" t="s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3"/>
    </row>
    <row r="11" spans="1:38" x14ac:dyDescent="0.2">
      <c r="A11" s="39" t="s">
        <v>8</v>
      </c>
      <c r="B11" s="7">
        <f>+'[1]Pacific Comm Credit'!B10</f>
        <v>967.57000000000016</v>
      </c>
      <c r="C11" s="7">
        <f>+'[1]Pacific Comm Credit'!C10</f>
        <v>1077.19</v>
      </c>
      <c r="D11" s="7">
        <f>+'[1]Pacific Comm Credit'!D10</f>
        <v>1130.7299999999998</v>
      </c>
      <c r="E11" s="7">
        <f>+'[1]Pacific Comm Credit'!E10</f>
        <v>941.95</v>
      </c>
      <c r="F11" s="7">
        <f>+'[1]Pacific Comm Credit'!F10</f>
        <v>948.9</v>
      </c>
      <c r="G11" s="7">
        <f>+'[1]Pacific Comm Credit'!G10</f>
        <v>941.55</v>
      </c>
      <c r="H11" s="7">
        <f>+'[1]Pacific Comm Credit'!H10</f>
        <v>973.41999999999973</v>
      </c>
      <c r="I11" s="7">
        <f>+'[1]Pacific Comm Credit'!I10</f>
        <v>922.23999999999978</v>
      </c>
      <c r="J11" s="7">
        <f>+'[1]Pacific Comm Credit'!J10</f>
        <v>984.30999999999972</v>
      </c>
      <c r="K11" s="7">
        <f>+'[1]Pacific Comm Credit'!K10</f>
        <v>997.25</v>
      </c>
      <c r="L11" s="7">
        <f>+'[1]Pacific Comm Credit'!L10</f>
        <v>899.26</v>
      </c>
      <c r="M11" s="7">
        <f>+'[1]Pacific Comm Credit'!M10</f>
        <v>974.58</v>
      </c>
      <c r="N11" s="6">
        <f>SUM(B11:M11)</f>
        <v>11758.949999999999</v>
      </c>
      <c r="P11" s="3"/>
      <c r="R11" s="51"/>
      <c r="S11" s="51"/>
      <c r="T11" s="51"/>
      <c r="U11" s="51"/>
      <c r="V11" s="51"/>
      <c r="W11" s="51"/>
      <c r="X11" s="51"/>
      <c r="Y11" s="51"/>
      <c r="Z11" s="51"/>
    </row>
    <row r="12" spans="1:38" x14ac:dyDescent="0.2">
      <c r="A12" s="39" t="s">
        <v>9</v>
      </c>
      <c r="B12" s="7">
        <f>+'[1]Pacific Comm Credit'!B11</f>
        <v>81.010000000000005</v>
      </c>
      <c r="C12" s="7">
        <f>+'[1]Pacific Comm Credit'!C11</f>
        <v>106.86</v>
      </c>
      <c r="D12" s="7">
        <f>+'[1]Pacific Comm Credit'!D11</f>
        <v>114.39</v>
      </c>
      <c r="E12" s="7">
        <f>+'[1]Pacific Comm Credit'!E11</f>
        <v>111.51</v>
      </c>
      <c r="F12" s="7">
        <f>+'[1]Pacific Comm Credit'!F11</f>
        <v>110.04</v>
      </c>
      <c r="G12" s="7">
        <f>+'[1]Pacific Comm Credit'!G11</f>
        <v>104.24</v>
      </c>
      <c r="H12" s="7">
        <f>+'[1]Pacific Comm Credit'!H11</f>
        <v>112.45</v>
      </c>
      <c r="I12" s="7">
        <f>+'[1]Pacific Comm Credit'!I11</f>
        <v>105.33</v>
      </c>
      <c r="J12" s="7">
        <f>+'[1]Pacific Comm Credit'!J11</f>
        <v>107.45</v>
      </c>
      <c r="K12" s="7">
        <f>+'[1]Pacific Comm Credit'!K11</f>
        <v>111.49</v>
      </c>
      <c r="L12" s="7">
        <f>+'[1]Pacific Comm Credit'!L11</f>
        <v>106.46</v>
      </c>
      <c r="M12" s="7">
        <f>+'[1]Pacific Comm Credit'!M11</f>
        <v>91.78</v>
      </c>
      <c r="N12" s="6">
        <f>SUM(B12:M12)</f>
        <v>1263.01</v>
      </c>
      <c r="P12" s="3"/>
      <c r="R12" s="51"/>
      <c r="S12" s="51"/>
      <c r="T12" s="51"/>
      <c r="U12" s="51"/>
      <c r="V12" s="51"/>
      <c r="W12" s="51"/>
      <c r="X12" s="51"/>
      <c r="Y12" s="51"/>
      <c r="Z12" s="51"/>
    </row>
    <row r="13" spans="1:38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6"/>
      <c r="P13" s="3"/>
    </row>
    <row r="14" spans="1:38" s="38" customFormat="1" x14ac:dyDescent="0.2">
      <c r="A14" s="38" t="s">
        <v>10</v>
      </c>
      <c r="B14" s="8">
        <f>SUM(B11:B12)</f>
        <v>1048.5800000000002</v>
      </c>
      <c r="C14" s="8">
        <f>SUM(C11:C12)</f>
        <v>1184.05</v>
      </c>
      <c r="D14" s="8">
        <f t="shared" ref="D14:M14" si="1">SUM(D11:D12)</f>
        <v>1245.1199999999999</v>
      </c>
      <c r="E14" s="8">
        <f t="shared" si="1"/>
        <v>1053.46</v>
      </c>
      <c r="F14" s="8">
        <f t="shared" si="1"/>
        <v>1058.94</v>
      </c>
      <c r="G14" s="8">
        <f t="shared" si="1"/>
        <v>1045.79</v>
      </c>
      <c r="H14" s="8">
        <f t="shared" si="1"/>
        <v>1085.8699999999997</v>
      </c>
      <c r="I14" s="8">
        <f t="shared" si="1"/>
        <v>1027.5699999999997</v>
      </c>
      <c r="J14" s="8">
        <f t="shared" si="1"/>
        <v>1091.7599999999998</v>
      </c>
      <c r="K14" s="8">
        <f t="shared" si="1"/>
        <v>1108.74</v>
      </c>
      <c r="L14" s="8">
        <f t="shared" si="1"/>
        <v>1005.72</v>
      </c>
      <c r="M14" s="8">
        <f t="shared" si="1"/>
        <v>1066.3600000000001</v>
      </c>
      <c r="N14" s="8">
        <f>SUM(N11:N13)</f>
        <v>13021.96</v>
      </c>
      <c r="P14" s="9"/>
      <c r="R14" s="9"/>
      <c r="S14" s="9"/>
      <c r="T14" s="9"/>
      <c r="U14" s="9"/>
      <c r="V14" s="9"/>
      <c r="W14" s="9"/>
      <c r="X14" s="9"/>
      <c r="Y14" s="9"/>
      <c r="Z14" s="9"/>
    </row>
    <row r="15" spans="1:38" x14ac:dyDescent="0.2">
      <c r="P15" s="3"/>
    </row>
    <row r="16" spans="1:38" x14ac:dyDescent="0.2">
      <c r="A16" s="52" t="s">
        <v>11</v>
      </c>
      <c r="P16" s="3"/>
    </row>
    <row r="17" spans="1:42" x14ac:dyDescent="0.2">
      <c r="A17" s="39" t="s">
        <v>12</v>
      </c>
      <c r="B17" s="37">
        <f>+'[1]Pacific Comm Credit'!B16</f>
        <v>-108.940516</v>
      </c>
      <c r="C17" s="37">
        <f>+'[1]Pacific Comm Credit'!C16</f>
        <v>-113.42106999999997</v>
      </c>
      <c r="D17" s="37">
        <f>+'[1]Pacific Comm Credit'!D16</f>
        <v>-102.47826499999999</v>
      </c>
      <c r="E17" s="37">
        <f>+'[1]Pacific Comm Credit'!E16</f>
        <v>-102.88196499999999</v>
      </c>
      <c r="F17" s="37">
        <f>+'[1]Pacific Comm Credit'!F16</f>
        <v>-99.83776499999999</v>
      </c>
      <c r="G17" s="37">
        <f>+'[1]Pacific Comm Credit'!G16</f>
        <v>-97.796965</v>
      </c>
      <c r="H17" s="37">
        <f>+'[1]Pacific Comm Credit'!H16</f>
        <v>-86.539065000000022</v>
      </c>
      <c r="I17" s="37">
        <f>+'[1]Pacific Comm Credit'!I16</f>
        <v>-78.573464999999999</v>
      </c>
      <c r="J17" s="37">
        <f>+'[1]Pacific Comm Credit'!J16</f>
        <v>-80.41266499999999</v>
      </c>
      <c r="K17" s="37">
        <f>+'[1]Pacific Comm Credit'!K16</f>
        <v>-86.716464999999999</v>
      </c>
      <c r="L17" s="37">
        <f>+'[1]Pacific Comm Credit'!L16</f>
        <v>-89.310232999999997</v>
      </c>
      <c r="M17" s="37">
        <f>+'[1]Pacific Comm Credit'!M16</f>
        <v>-96.313582999999994</v>
      </c>
      <c r="N17" s="10"/>
      <c r="P17" s="3"/>
      <c r="R17" s="53"/>
      <c r="S17" s="53"/>
      <c r="T17" s="53"/>
      <c r="U17" s="53"/>
      <c r="V17" s="53"/>
      <c r="W17" s="53"/>
      <c r="X17" s="53"/>
      <c r="Y17" s="53"/>
      <c r="Z17" s="53"/>
    </row>
    <row r="18" spans="1:42" x14ac:dyDescent="0.2">
      <c r="A18" s="39" t="s">
        <v>13</v>
      </c>
      <c r="B18" s="37">
        <f>+'[1]Pacific Comm Credit'!B17</f>
        <v>-33</v>
      </c>
      <c r="C18" s="37">
        <f>+'[1]Pacific Comm Credit'!C17</f>
        <v>-33</v>
      </c>
      <c r="D18" s="37">
        <f>+'[1]Pacific Comm Credit'!D17</f>
        <v>-33</v>
      </c>
      <c r="E18" s="37">
        <f>+'[1]Pacific Comm Credit'!E17</f>
        <v>-33</v>
      </c>
      <c r="F18" s="37">
        <f>+'[1]Pacific Comm Credit'!F17</f>
        <v>-33</v>
      </c>
      <c r="G18" s="37">
        <f>+'[1]Pacific Comm Credit'!G17</f>
        <v>-33</v>
      </c>
      <c r="H18" s="37">
        <f>+'[1]Pacific Comm Credit'!H17</f>
        <v>-33</v>
      </c>
      <c r="I18" s="37">
        <f>+'[1]Pacific Comm Credit'!I17</f>
        <v>-38</v>
      </c>
      <c r="J18" s="37">
        <f>+'[1]Pacific Comm Credit'!J17</f>
        <v>-43</v>
      </c>
      <c r="K18" s="37">
        <f>+'[1]Pacific Comm Credit'!K17</f>
        <v>-43</v>
      </c>
      <c r="L18" s="37">
        <f>+'[1]Pacific Comm Credit'!L17</f>
        <v>-43</v>
      </c>
      <c r="M18" s="37">
        <f>+'[1]Pacific Comm Credit'!M17</f>
        <v>-43</v>
      </c>
      <c r="N18" s="6"/>
      <c r="P18" s="3"/>
      <c r="R18" s="3"/>
      <c r="S18" s="3"/>
      <c r="T18" s="3"/>
      <c r="U18" s="3"/>
      <c r="V18" s="3"/>
      <c r="W18" s="3"/>
      <c r="X18" s="3"/>
      <c r="Y18" s="3"/>
      <c r="Z18" s="3"/>
    </row>
    <row r="19" spans="1:42" x14ac:dyDescent="0.2">
      <c r="P19" s="3"/>
    </row>
    <row r="20" spans="1:42" x14ac:dyDescent="0.2">
      <c r="A20" s="52" t="s">
        <v>14</v>
      </c>
      <c r="P20" s="3"/>
    </row>
    <row r="21" spans="1:42" x14ac:dyDescent="0.2">
      <c r="A21" s="39" t="s">
        <v>8</v>
      </c>
      <c r="B21" s="11">
        <f t="shared" ref="B21:M21" si="2">+B11*B17</f>
        <v>-105407.57506612001</v>
      </c>
      <c r="C21" s="11">
        <f t="shared" si="2"/>
        <v>-122176.04239329997</v>
      </c>
      <c r="D21" s="11">
        <f t="shared" si="2"/>
        <v>-115875.24858344997</v>
      </c>
      <c r="E21" s="11">
        <f t="shared" si="2"/>
        <v>-96909.666931750005</v>
      </c>
      <c r="F21" s="11">
        <f t="shared" si="2"/>
        <v>-94736.055208499994</v>
      </c>
      <c r="G21" s="11">
        <f t="shared" si="2"/>
        <v>-92080.73239574999</v>
      </c>
      <c r="H21" s="11">
        <f t="shared" si="2"/>
        <v>-84238.856652300004</v>
      </c>
      <c r="I21" s="11">
        <f t="shared" si="2"/>
        <v>-72463.592361599978</v>
      </c>
      <c r="J21" s="11">
        <f t="shared" si="2"/>
        <v>-79150.990286149972</v>
      </c>
      <c r="K21" s="11">
        <f t="shared" si="2"/>
        <v>-86477.994721249997</v>
      </c>
      <c r="L21" s="11">
        <f t="shared" si="2"/>
        <v>-80313.120127579998</v>
      </c>
      <c r="M21" s="11">
        <f t="shared" si="2"/>
        <v>-93865.291720139998</v>
      </c>
      <c r="N21" s="12">
        <f>SUM(B21:M21)</f>
        <v>-1123695.16644789</v>
      </c>
      <c r="P21" s="6"/>
      <c r="R21" s="6"/>
      <c r="S21" s="6"/>
      <c r="T21" s="6"/>
      <c r="U21" s="6"/>
      <c r="V21" s="6"/>
      <c r="W21" s="6"/>
      <c r="X21" s="6"/>
      <c r="Y21" s="6"/>
      <c r="Z21" s="6"/>
    </row>
    <row r="22" spans="1:42" x14ac:dyDescent="0.2">
      <c r="A22" s="39" t="s">
        <v>9</v>
      </c>
      <c r="B22" s="11">
        <f t="shared" ref="B22:M22" si="3">+B18*B12</f>
        <v>-2673.3300000000004</v>
      </c>
      <c r="C22" s="11">
        <f t="shared" si="3"/>
        <v>-3526.38</v>
      </c>
      <c r="D22" s="11">
        <f t="shared" si="3"/>
        <v>-3774.87</v>
      </c>
      <c r="E22" s="11">
        <f t="shared" si="3"/>
        <v>-3679.8300000000004</v>
      </c>
      <c r="F22" s="11">
        <f t="shared" si="3"/>
        <v>-3631.32</v>
      </c>
      <c r="G22" s="11">
        <f t="shared" si="3"/>
        <v>-3439.9199999999996</v>
      </c>
      <c r="H22" s="11">
        <f t="shared" si="3"/>
        <v>-3710.85</v>
      </c>
      <c r="I22" s="11">
        <f t="shared" si="3"/>
        <v>-4002.54</v>
      </c>
      <c r="J22" s="11">
        <f t="shared" si="3"/>
        <v>-4620.3500000000004</v>
      </c>
      <c r="K22" s="11">
        <f t="shared" si="3"/>
        <v>-4794.07</v>
      </c>
      <c r="L22" s="11">
        <f t="shared" si="3"/>
        <v>-4577.78</v>
      </c>
      <c r="M22" s="11">
        <f t="shared" si="3"/>
        <v>-3946.54</v>
      </c>
      <c r="N22" s="12">
        <f>SUM(B22:M22)</f>
        <v>-46377.78</v>
      </c>
      <c r="P22" s="6"/>
      <c r="Q22" s="51"/>
      <c r="R22" s="6"/>
      <c r="S22" s="6"/>
      <c r="T22" s="6"/>
      <c r="U22" s="6"/>
      <c r="V22" s="6"/>
      <c r="W22" s="6"/>
      <c r="X22" s="6"/>
      <c r="Y22" s="6"/>
      <c r="Z22" s="6"/>
    </row>
    <row r="23" spans="1:42" x14ac:dyDescent="0.2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6"/>
      <c r="P23" s="3"/>
    </row>
    <row r="24" spans="1:42" s="38" customFormat="1" x14ac:dyDescent="0.2">
      <c r="A24" s="38" t="s">
        <v>15</v>
      </c>
      <c r="B24" s="13">
        <f>SUM(B21:B22)</f>
        <v>-108080.90506612002</v>
      </c>
      <c r="C24" s="13">
        <f>SUM(C21:C22)</f>
        <v>-125702.42239329997</v>
      </c>
      <c r="D24" s="13">
        <f t="shared" ref="D24:M24" si="4">SUM(D21:D22)</f>
        <v>-119650.11858344996</v>
      </c>
      <c r="E24" s="13">
        <f t="shared" si="4"/>
        <v>-100589.49693175001</v>
      </c>
      <c r="F24" s="13">
        <f t="shared" si="4"/>
        <v>-98367.375208500001</v>
      </c>
      <c r="G24" s="13">
        <f t="shared" si="4"/>
        <v>-95520.652395749989</v>
      </c>
      <c r="H24" s="13">
        <f t="shared" si="4"/>
        <v>-87949.70665230001</v>
      </c>
      <c r="I24" s="13">
        <f t="shared" si="4"/>
        <v>-76466.132361599972</v>
      </c>
      <c r="J24" s="13">
        <f t="shared" si="4"/>
        <v>-83771.340286149978</v>
      </c>
      <c r="K24" s="13">
        <f t="shared" si="4"/>
        <v>-91272.064721250004</v>
      </c>
      <c r="L24" s="13">
        <f t="shared" si="4"/>
        <v>-84890.900127579996</v>
      </c>
      <c r="M24" s="13">
        <f t="shared" si="4"/>
        <v>-97811.831720139991</v>
      </c>
      <c r="N24" s="14">
        <f>SUM(N21:N23)</f>
        <v>-1170072.94644789</v>
      </c>
      <c r="P24" s="9"/>
      <c r="R24" s="15"/>
      <c r="S24" s="15"/>
      <c r="T24" s="15"/>
      <c r="U24" s="15"/>
      <c r="V24" s="15"/>
      <c r="W24" s="15"/>
      <c r="X24" s="15"/>
      <c r="Y24" s="15"/>
      <c r="Z24" s="15"/>
      <c r="AA24" s="54"/>
    </row>
    <row r="25" spans="1:42" x14ac:dyDescent="0.2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6"/>
      <c r="P25" s="3"/>
    </row>
    <row r="26" spans="1:42" x14ac:dyDescent="0.2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6"/>
      <c r="P26" s="3"/>
    </row>
    <row r="27" spans="1:42" s="1" customFormat="1" x14ac:dyDescent="0.2">
      <c r="A27" s="16" t="s">
        <v>16</v>
      </c>
      <c r="B27" s="7">
        <f>+'[1]Pacific Comm Credit'!B26</f>
        <v>63924</v>
      </c>
      <c r="C27" s="7">
        <f>+'[1]Pacific Comm Credit'!C26</f>
        <v>63945</v>
      </c>
      <c r="D27" s="7">
        <f>+'[1]Pacific Comm Credit'!D26</f>
        <v>63948</v>
      </c>
      <c r="E27" s="7">
        <f>+'[1]Pacific Comm Credit'!E26</f>
        <v>63994</v>
      </c>
      <c r="F27" s="7">
        <f>+'[1]Pacific Comm Credit'!F26</f>
        <v>64122</v>
      </c>
      <c r="G27" s="7">
        <f>+'[1]Pacific Comm Credit'!G26</f>
        <v>63874</v>
      </c>
      <c r="H27" s="7">
        <f>+'[1]Pacific Comm Credit'!H26</f>
        <v>63874</v>
      </c>
      <c r="I27" s="7">
        <f>+'[1]Pacific Comm Credit'!I26</f>
        <v>64431</v>
      </c>
      <c r="J27" s="7">
        <f>+'[1]Pacific Comm Credit'!J26</f>
        <v>64431</v>
      </c>
      <c r="K27" s="7">
        <f>+'[1]Pacific Comm Credit'!K26</f>
        <v>64649</v>
      </c>
      <c r="L27" s="7">
        <f>+'[1]Pacific Comm Credit'!L26</f>
        <v>64070</v>
      </c>
      <c r="M27" s="7">
        <f>+'[1]Pacific Comm Credit'!M26</f>
        <v>63160</v>
      </c>
      <c r="N27" s="17">
        <f>+SUM(B27:M27)</f>
        <v>768422</v>
      </c>
      <c r="P27" s="55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2"/>
      <c r="AN27" s="2"/>
      <c r="AO27" s="2"/>
      <c r="AP27" s="2"/>
    </row>
    <row r="28" spans="1:42" s="1" customFormat="1" x14ac:dyDescent="0.2">
      <c r="A28" s="16"/>
      <c r="N28" s="6"/>
      <c r="O28" s="6"/>
      <c r="P28" s="9"/>
      <c r="Q28" s="3"/>
      <c r="R28" s="18"/>
      <c r="S28" s="18"/>
      <c r="T28" s="18"/>
      <c r="U28" s="18"/>
      <c r="V28" s="18"/>
      <c r="W28" s="18"/>
      <c r="X28" s="18"/>
      <c r="Y28" s="18"/>
      <c r="Z28" s="18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42" s="7" customFormat="1" x14ac:dyDescent="0.2">
      <c r="A29" s="16"/>
      <c r="N29" s="19"/>
      <c r="O29" s="6"/>
      <c r="P29" s="9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42" s="7" customFormat="1" x14ac:dyDescent="0.2">
      <c r="A30" s="56" t="s">
        <v>17</v>
      </c>
      <c r="B30" s="20">
        <f>-IFERROR(B24/B27,0)</f>
        <v>1.6907719333289535</v>
      </c>
      <c r="C30" s="20">
        <f>-IFERROR(C24/C27,0)</f>
        <v>1.9657897004191098</v>
      </c>
      <c r="D30" s="20">
        <f t="shared" ref="D30:M30" si="5">-IFERROR(D24/D27,0)</f>
        <v>1.871053333700037</v>
      </c>
      <c r="E30" s="20">
        <f t="shared" si="5"/>
        <v>1.5718582512696504</v>
      </c>
      <c r="F30" s="20">
        <f t="shared" si="5"/>
        <v>1.5340659244643025</v>
      </c>
      <c r="G30" s="20">
        <f t="shared" si="5"/>
        <v>1.4954543694734945</v>
      </c>
      <c r="H30" s="20">
        <f t="shared" si="5"/>
        <v>1.3769249875113507</v>
      </c>
      <c r="I30" s="20">
        <f t="shared" si="5"/>
        <v>1.1867910223588021</v>
      </c>
      <c r="J30" s="20">
        <f t="shared" si="5"/>
        <v>1.300171350532352</v>
      </c>
      <c r="K30" s="20">
        <f t="shared" si="5"/>
        <v>1.4118093817576451</v>
      </c>
      <c r="L30" s="20">
        <f t="shared" si="5"/>
        <v>1.3249711273229281</v>
      </c>
      <c r="M30" s="20">
        <f t="shared" si="5"/>
        <v>1.548635714378404</v>
      </c>
      <c r="N30" s="21"/>
      <c r="O30" s="6"/>
      <c r="P30" s="3"/>
      <c r="Q30" s="6"/>
      <c r="R30" s="3"/>
      <c r="S30" s="3"/>
      <c r="T30" s="3"/>
      <c r="U30" s="3"/>
      <c r="V30" s="3"/>
      <c r="W30" s="3"/>
      <c r="X30" s="3"/>
      <c r="Y30" s="3"/>
      <c r="Z30" s="3"/>
      <c r="AA30" s="22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42" s="7" customFormat="1" x14ac:dyDescent="0.2">
      <c r="A31" s="57" t="s">
        <v>18</v>
      </c>
      <c r="B31" s="20">
        <f>-'[2]Pacific CPA 1.1.24'!$M31</f>
        <v>0.88</v>
      </c>
      <c r="C31" s="20">
        <f>-'[2]Pacific CPA 1.1.24'!$M31</f>
        <v>0.88</v>
      </c>
      <c r="D31" s="20">
        <f>'[2]Pacific CPA 1.1.24'!$N36</f>
        <v>1.89</v>
      </c>
      <c r="E31" s="20">
        <f>'[2]Pacific CPA 1.1.24'!$N36</f>
        <v>1.89</v>
      </c>
      <c r="F31" s="20">
        <f>'[2]Pacific CPA 1.1.24'!$N36</f>
        <v>1.89</v>
      </c>
      <c r="G31" s="20">
        <f>'[2]Pacific CPA 1.1.24'!$N36</f>
        <v>1.89</v>
      </c>
      <c r="H31" s="20">
        <f>'[2]Pacific CPA 1.1.24'!$N36</f>
        <v>1.89</v>
      </c>
      <c r="I31" s="20">
        <f>'[2]Pacific CPA 1.1.24'!$N36</f>
        <v>1.89</v>
      </c>
      <c r="J31" s="20">
        <f>'[2]Pacific CPA 1.1.24'!$N36</f>
        <v>1.89</v>
      </c>
      <c r="K31" s="20">
        <f>'[2]Pacific CPA 1.1.24'!$N36</f>
        <v>1.89</v>
      </c>
      <c r="L31" s="20">
        <f>'[2]Pacific CPA 1.1.24'!$N36</f>
        <v>1.89</v>
      </c>
      <c r="M31" s="20">
        <f>'[2]Pacific CPA 1.1.24'!$N36</f>
        <v>1.89</v>
      </c>
      <c r="N31" s="21"/>
      <c r="O31" s="6"/>
      <c r="P31" s="3"/>
      <c r="Q31" s="6"/>
      <c r="R31" s="3"/>
      <c r="S31" s="3"/>
      <c r="T31" s="3"/>
      <c r="U31" s="3"/>
      <c r="V31" s="3"/>
      <c r="W31" s="3"/>
      <c r="X31" s="3"/>
      <c r="Y31" s="3"/>
      <c r="Z31" s="3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42" s="7" customFormat="1" x14ac:dyDescent="0.2">
      <c r="A32" s="57" t="s">
        <v>19</v>
      </c>
      <c r="B32" s="11">
        <f>+B27*B31</f>
        <v>56253.120000000003</v>
      </c>
      <c r="C32" s="11">
        <f t="shared" ref="C32:M32" si="6">+C27*C31</f>
        <v>56271.6</v>
      </c>
      <c r="D32" s="11">
        <f t="shared" si="6"/>
        <v>120861.71999999999</v>
      </c>
      <c r="E32" s="11">
        <f t="shared" si="6"/>
        <v>120948.65999999999</v>
      </c>
      <c r="F32" s="11">
        <f t="shared" si="6"/>
        <v>121190.57999999999</v>
      </c>
      <c r="G32" s="11">
        <f t="shared" si="6"/>
        <v>120721.86</v>
      </c>
      <c r="H32" s="11">
        <f t="shared" si="6"/>
        <v>120721.86</v>
      </c>
      <c r="I32" s="11">
        <f t="shared" si="6"/>
        <v>121774.59</v>
      </c>
      <c r="J32" s="11">
        <f t="shared" si="6"/>
        <v>121774.59</v>
      </c>
      <c r="K32" s="11">
        <f t="shared" si="6"/>
        <v>122186.61</v>
      </c>
      <c r="L32" s="11">
        <f t="shared" si="6"/>
        <v>121092.29999999999</v>
      </c>
      <c r="M32" s="11">
        <f t="shared" si="6"/>
        <v>119372.4</v>
      </c>
      <c r="N32" s="6">
        <f>SUM(B32:M32)</f>
        <v>1323169.8899999999</v>
      </c>
      <c r="O32" s="6"/>
      <c r="P32" s="3"/>
      <c r="Q32" s="6"/>
      <c r="R32" s="3"/>
      <c r="S32" s="3"/>
      <c r="T32" s="3"/>
      <c r="U32" s="3"/>
      <c r="V32" s="3"/>
      <c r="W32" s="3"/>
      <c r="X32" s="3"/>
      <c r="Y32" s="3"/>
      <c r="Z32" s="3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s="17" customFormat="1" ht="13.5" thickBot="1" x14ac:dyDescent="0.25">
      <c r="A33" s="23" t="s">
        <v>20</v>
      </c>
      <c r="B33" s="24">
        <f>-(B24+B32)</f>
        <v>51827.785066120014</v>
      </c>
      <c r="C33" s="24">
        <f t="shared" ref="C33:M33" si="7">-(C24+C32)</f>
        <v>69430.822393299983</v>
      </c>
      <c r="D33" s="24">
        <f t="shared" si="7"/>
        <v>-1211.6014165500237</v>
      </c>
      <c r="E33" s="24">
        <f t="shared" si="7"/>
        <v>-20359.163068249982</v>
      </c>
      <c r="F33" s="24">
        <f t="shared" si="7"/>
        <v>-22823.204791499986</v>
      </c>
      <c r="G33" s="24">
        <f t="shared" si="7"/>
        <v>-25201.207604250012</v>
      </c>
      <c r="H33" s="24">
        <f t="shared" si="7"/>
        <v>-32772.15334769999</v>
      </c>
      <c r="I33" s="24">
        <f t="shared" si="7"/>
        <v>-45308.457638400025</v>
      </c>
      <c r="J33" s="24">
        <f t="shared" si="7"/>
        <v>-38003.249713850018</v>
      </c>
      <c r="K33" s="24">
        <f t="shared" si="7"/>
        <v>-30914.545278749996</v>
      </c>
      <c r="L33" s="24">
        <f t="shared" si="7"/>
        <v>-36201.399872419992</v>
      </c>
      <c r="M33" s="24">
        <f t="shared" si="7"/>
        <v>-21560.568279860003</v>
      </c>
      <c r="N33" s="24">
        <f>SUM(B33:M33)</f>
        <v>-153096.94355211005</v>
      </c>
      <c r="O33" s="10"/>
      <c r="P33" s="58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s="7" customFormat="1" x14ac:dyDescent="0.2">
      <c r="A34" s="1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x14ac:dyDescent="0.2">
      <c r="A35" s="7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 t="s">
        <v>21</v>
      </c>
      <c r="N35" s="21">
        <f>ROUND(N33/N27,2)</f>
        <v>-0.2</v>
      </c>
      <c r="Q35" s="6"/>
      <c r="R35" s="51"/>
      <c r="X35" s="27"/>
      <c r="Y35" s="27"/>
      <c r="Z35" s="27"/>
      <c r="AA35" s="28"/>
    </row>
    <row r="36" spans="1:38" x14ac:dyDescent="0.2">
      <c r="A36" s="7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6"/>
      <c r="M36" s="26" t="s">
        <v>22</v>
      </c>
      <c r="N36" s="30">
        <f>-ROUND(N24/N27,2)</f>
        <v>1.52</v>
      </c>
      <c r="X36" s="27"/>
      <c r="Y36" s="27"/>
      <c r="Z36" s="27"/>
      <c r="AA36" s="51"/>
    </row>
    <row r="37" spans="1:38" x14ac:dyDescent="0.2">
      <c r="A37" s="7"/>
      <c r="J37" s="26"/>
      <c r="K37" s="26"/>
      <c r="L37" s="26"/>
      <c r="M37" s="31" t="s">
        <v>23</v>
      </c>
      <c r="N37" s="32">
        <f>SUM(N35:N36)</f>
        <v>1.32</v>
      </c>
      <c r="X37" s="27"/>
      <c r="Y37" s="27"/>
      <c r="Z37" s="27"/>
      <c r="AA37" s="59"/>
    </row>
    <row r="38" spans="1:38" x14ac:dyDescent="0.2">
      <c r="A38" s="7"/>
      <c r="B38" s="33"/>
      <c r="C38" s="26"/>
      <c r="D38" s="26"/>
      <c r="E38" s="34"/>
      <c r="F38" s="26"/>
      <c r="G38" s="26"/>
      <c r="H38" s="26"/>
      <c r="I38" s="26"/>
      <c r="J38" s="26"/>
      <c r="K38" s="26"/>
      <c r="L38" s="26"/>
      <c r="M38" s="26"/>
      <c r="N38" s="32"/>
      <c r="Q38" s="53"/>
      <c r="X38" s="27"/>
      <c r="Y38" s="27"/>
      <c r="Z38" s="27"/>
      <c r="AA38" s="59"/>
    </row>
    <row r="39" spans="1:38" x14ac:dyDescent="0.2">
      <c r="A39" s="60"/>
      <c r="B39" s="61"/>
      <c r="C39" s="61"/>
      <c r="D39" s="61"/>
      <c r="E39" s="61"/>
      <c r="F39" s="61"/>
      <c r="G39" s="61"/>
      <c r="H39" s="61"/>
      <c r="I39" s="61"/>
      <c r="J39" s="26"/>
      <c r="K39" s="26"/>
      <c r="L39" s="26"/>
      <c r="M39" s="26" t="s">
        <v>24</v>
      </c>
      <c r="N39" s="21">
        <f>+'[2]Pacific CPA 1.1.24'!N37</f>
        <v>2.9299999999999997</v>
      </c>
      <c r="Q39" s="6"/>
      <c r="R39" s="6"/>
      <c r="S39" s="62"/>
      <c r="X39" s="6"/>
      <c r="Y39" s="6"/>
      <c r="Z39" s="27"/>
    </row>
    <row r="40" spans="1:38" x14ac:dyDescent="0.2">
      <c r="A40" s="1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 t="s">
        <v>25</v>
      </c>
      <c r="N40" s="21">
        <f>+N37-N39</f>
        <v>-1.6099999999999997</v>
      </c>
      <c r="O40" s="35">
        <f>N40/N39</f>
        <v>-0.54948805460750849</v>
      </c>
      <c r="X40" s="6"/>
      <c r="Y40" s="6"/>
      <c r="Z40" s="27"/>
    </row>
    <row r="41" spans="1:38" x14ac:dyDescent="0.2">
      <c r="A41" s="1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 t="s">
        <v>26</v>
      </c>
      <c r="N41" s="12">
        <f>N40*M27*12</f>
        <v>-1220251.1999999997</v>
      </c>
      <c r="P41" s="51"/>
      <c r="Q41" s="7"/>
      <c r="R41" s="51"/>
      <c r="S41" s="51"/>
      <c r="T41" s="51"/>
      <c r="U41" s="51"/>
      <c r="V41" s="51"/>
      <c r="W41" s="51"/>
      <c r="X41" s="51"/>
      <c r="Y41" s="51"/>
      <c r="Z41" s="51"/>
    </row>
    <row r="42" spans="1:38" x14ac:dyDescent="0.2">
      <c r="A42" s="1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6"/>
      <c r="P42" s="51"/>
      <c r="Q42" s="1"/>
      <c r="R42" s="51"/>
      <c r="S42" s="51"/>
      <c r="T42" s="51"/>
      <c r="U42" s="51"/>
      <c r="V42" s="51"/>
      <c r="W42" s="51"/>
      <c r="X42" s="51"/>
      <c r="Y42" s="51"/>
      <c r="Z42" s="51"/>
    </row>
    <row r="43" spans="1:38" x14ac:dyDescent="0.2">
      <c r="A43" s="16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6"/>
    </row>
    <row r="44" spans="1:38" x14ac:dyDescent="0.2">
      <c r="A44" s="60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 t="s">
        <v>4</v>
      </c>
      <c r="Y44" s="27"/>
      <c r="Z44" s="27"/>
      <c r="AA44" s="28"/>
    </row>
    <row r="45" spans="1:38" x14ac:dyDescent="0.2">
      <c r="A45" s="60" t="s">
        <v>27</v>
      </c>
      <c r="B45" s="44">
        <f>B6</f>
        <v>45231</v>
      </c>
      <c r="C45" s="44">
        <f>B45+31</f>
        <v>45262</v>
      </c>
      <c r="D45" s="44">
        <f t="shared" ref="D45:M45" si="8">C45+31</f>
        <v>45293</v>
      </c>
      <c r="E45" s="44">
        <f t="shared" si="8"/>
        <v>45324</v>
      </c>
      <c r="F45" s="44">
        <f t="shared" si="8"/>
        <v>45355</v>
      </c>
      <c r="G45" s="44">
        <f t="shared" si="8"/>
        <v>45386</v>
      </c>
      <c r="H45" s="44">
        <f t="shared" si="8"/>
        <v>45417</v>
      </c>
      <c r="I45" s="44">
        <f t="shared" si="8"/>
        <v>45448</v>
      </c>
      <c r="J45" s="44">
        <f t="shared" si="8"/>
        <v>45479</v>
      </c>
      <c r="K45" s="44">
        <f t="shared" si="8"/>
        <v>45510</v>
      </c>
      <c r="L45" s="44">
        <f t="shared" si="8"/>
        <v>45541</v>
      </c>
      <c r="M45" s="44">
        <f t="shared" si="8"/>
        <v>45572</v>
      </c>
      <c r="N45" s="44" t="s">
        <v>5</v>
      </c>
      <c r="Y45" s="27"/>
      <c r="Z45" s="27"/>
      <c r="AA45" s="51"/>
    </row>
    <row r="46" spans="1:38" x14ac:dyDescent="0.2">
      <c r="A46" s="50" t="s">
        <v>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Y46" s="27"/>
      <c r="Z46" s="27"/>
      <c r="AA46" s="59"/>
    </row>
    <row r="47" spans="1:38" x14ac:dyDescent="0.2">
      <c r="A47" s="39" t="s">
        <v>8</v>
      </c>
      <c r="B47" s="1">
        <f>+'[1]Pacific Comm Credit'!B44</f>
        <v>104.29185199999999</v>
      </c>
      <c r="C47" s="1">
        <f>+'[1]Pacific Comm Credit'!C44</f>
        <v>104.28250799999996</v>
      </c>
      <c r="D47" s="1">
        <f>+'[1]Pacific Comm Credit'!D44</f>
        <v>99.527394000000001</v>
      </c>
      <c r="E47" s="1">
        <f>+'[1]Pacific Comm Credit'!E44</f>
        <v>94.802279999999996</v>
      </c>
      <c r="F47" s="1">
        <f>+'[1]Pacific Comm Credit'!F44</f>
        <v>109.017622</v>
      </c>
      <c r="G47" s="1">
        <f>+'[1]Pacific Comm Credit'!G44</f>
        <v>99.527394000000001</v>
      </c>
      <c r="H47" s="1">
        <f>+'[1]Pacific Comm Credit'!H44</f>
        <v>104.28250799999998</v>
      </c>
      <c r="I47" s="1">
        <f>+'[1]Pacific Comm Credit'!I44</f>
        <v>104.28250799999995</v>
      </c>
      <c r="J47" s="1">
        <f>+'[1]Pacific Comm Credit'!J44</f>
        <v>99.527393999999987</v>
      </c>
      <c r="K47" s="1">
        <f>+'[1]Pacific Comm Credit'!K44</f>
        <v>109.01762199999999</v>
      </c>
      <c r="L47" s="1">
        <f>+'[1]Pacific Comm Credit'!L44</f>
        <v>104.28250799999996</v>
      </c>
      <c r="M47" s="1">
        <f>+'[1]Pacific Comm Credit'!M44</f>
        <v>99.527393999999987</v>
      </c>
      <c r="N47" s="3">
        <f>SUM(B47:M47)</f>
        <v>1232.368984</v>
      </c>
    </row>
    <row r="48" spans="1:38" x14ac:dyDescent="0.2">
      <c r="A48" s="39" t="s">
        <v>9</v>
      </c>
      <c r="B48" s="1">
        <f>+'[1]Pacific Comm Credit'!B45</f>
        <v>18.28</v>
      </c>
      <c r="C48" s="1">
        <f>+'[1]Pacific Comm Credit'!C45</f>
        <v>19.34</v>
      </c>
      <c r="D48" s="1">
        <f>+'[1]Pacific Comm Credit'!D45</f>
        <v>18.970000000000002</v>
      </c>
      <c r="E48" s="1">
        <f>+'[1]Pacific Comm Credit'!E45</f>
        <v>18.170000000000002</v>
      </c>
      <c r="F48" s="1">
        <f>+'[1]Pacific Comm Credit'!F45</f>
        <v>20.14</v>
      </c>
      <c r="G48" s="1">
        <f>+'[1]Pacific Comm Credit'!G45</f>
        <v>18.560000000000002</v>
      </c>
      <c r="H48" s="1">
        <f>+'[1]Pacific Comm Credit'!H45</f>
        <v>19.57</v>
      </c>
      <c r="I48" s="1">
        <f>+'[1]Pacific Comm Credit'!I45</f>
        <v>19.240000000000002</v>
      </c>
      <c r="J48" s="1">
        <f>+'[1]Pacific Comm Credit'!J45</f>
        <v>18.650000000000002</v>
      </c>
      <c r="K48" s="1">
        <f>+'[1]Pacific Comm Credit'!K45</f>
        <v>20.16</v>
      </c>
      <c r="L48" s="1">
        <f>+'[1]Pacific Comm Credit'!L45</f>
        <v>19.310000000000002</v>
      </c>
      <c r="M48" s="1">
        <f>+'[1]Pacific Comm Credit'!M45</f>
        <v>18.09</v>
      </c>
      <c r="N48" s="3">
        <f>SUM(B48:M48)</f>
        <v>228.48000000000002</v>
      </c>
    </row>
    <row r="49" spans="1:16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3"/>
    </row>
    <row r="50" spans="1:16" s="38" customFormat="1" x14ac:dyDescent="0.2">
      <c r="A50" s="38" t="s">
        <v>10</v>
      </c>
      <c r="B50" s="36">
        <f>SUM(B47:B49)</f>
        <v>122.57185199999999</v>
      </c>
      <c r="C50" s="36">
        <f>SUM(C47:C49)</f>
        <v>123.62250799999997</v>
      </c>
      <c r="D50" s="36">
        <f t="shared" ref="D50:K50" si="9">SUM(D47:D48)</f>
        <v>118.497394</v>
      </c>
      <c r="E50" s="36">
        <f t="shared" si="9"/>
        <v>112.97228</v>
      </c>
      <c r="F50" s="36">
        <f t="shared" si="9"/>
        <v>129.157622</v>
      </c>
      <c r="G50" s="36">
        <f t="shared" si="9"/>
        <v>118.087394</v>
      </c>
      <c r="H50" s="36">
        <f t="shared" si="9"/>
        <v>123.85250799999997</v>
      </c>
      <c r="I50" s="36">
        <f t="shared" si="9"/>
        <v>123.52250799999996</v>
      </c>
      <c r="J50" s="36">
        <f t="shared" si="9"/>
        <v>118.17739399999999</v>
      </c>
      <c r="K50" s="36">
        <f t="shared" si="9"/>
        <v>129.17762199999999</v>
      </c>
      <c r="L50" s="36">
        <f>SUM(L47:L48)</f>
        <v>123.59250799999997</v>
      </c>
      <c r="M50" s="36">
        <f>SUM(M47:M48)</f>
        <v>117.61739399999999</v>
      </c>
      <c r="N50" s="36">
        <f>SUM(N47:N49)</f>
        <v>1460.848984</v>
      </c>
      <c r="P50" s="63"/>
    </row>
    <row r="52" spans="1:16" x14ac:dyDescent="0.2">
      <c r="A52" s="52" t="s">
        <v>11</v>
      </c>
    </row>
    <row r="53" spans="1:16" x14ac:dyDescent="0.2">
      <c r="A53" s="39" t="s">
        <v>12</v>
      </c>
      <c r="B53" s="37">
        <f>B17</f>
        <v>-108.940516</v>
      </c>
      <c r="C53" s="37">
        <f t="shared" ref="C53:M54" si="10">C17</f>
        <v>-113.42106999999997</v>
      </c>
      <c r="D53" s="37">
        <f t="shared" si="10"/>
        <v>-102.47826499999999</v>
      </c>
      <c r="E53" s="37">
        <f t="shared" si="10"/>
        <v>-102.88196499999999</v>
      </c>
      <c r="F53" s="37">
        <f t="shared" si="10"/>
        <v>-99.83776499999999</v>
      </c>
      <c r="G53" s="37">
        <f t="shared" si="10"/>
        <v>-97.796965</v>
      </c>
      <c r="H53" s="37">
        <f t="shared" si="10"/>
        <v>-86.539065000000022</v>
      </c>
      <c r="I53" s="37">
        <f t="shared" si="10"/>
        <v>-78.573464999999999</v>
      </c>
      <c r="J53" s="37">
        <f t="shared" si="10"/>
        <v>-80.41266499999999</v>
      </c>
      <c r="K53" s="37">
        <f t="shared" si="10"/>
        <v>-86.716464999999999</v>
      </c>
      <c r="L53" s="37">
        <f t="shared" si="10"/>
        <v>-89.310232999999997</v>
      </c>
      <c r="M53" s="37">
        <f t="shared" si="10"/>
        <v>-96.313582999999994</v>
      </c>
      <c r="N53" s="6"/>
    </row>
    <row r="54" spans="1:16" x14ac:dyDescent="0.2">
      <c r="A54" s="39" t="s">
        <v>13</v>
      </c>
      <c r="B54" s="37">
        <f>B18</f>
        <v>-33</v>
      </c>
      <c r="C54" s="37">
        <f t="shared" si="10"/>
        <v>-33</v>
      </c>
      <c r="D54" s="37">
        <f t="shared" si="10"/>
        <v>-33</v>
      </c>
      <c r="E54" s="37">
        <f t="shared" si="10"/>
        <v>-33</v>
      </c>
      <c r="F54" s="37">
        <f t="shared" si="10"/>
        <v>-33</v>
      </c>
      <c r="G54" s="37">
        <f t="shared" si="10"/>
        <v>-33</v>
      </c>
      <c r="H54" s="37">
        <f t="shared" si="10"/>
        <v>-33</v>
      </c>
      <c r="I54" s="37">
        <f t="shared" si="10"/>
        <v>-38</v>
      </c>
      <c r="J54" s="37">
        <f t="shared" si="10"/>
        <v>-43</v>
      </c>
      <c r="K54" s="37">
        <f t="shared" si="10"/>
        <v>-43</v>
      </c>
      <c r="L54" s="37">
        <f t="shared" si="10"/>
        <v>-43</v>
      </c>
      <c r="M54" s="37">
        <f t="shared" si="10"/>
        <v>-43</v>
      </c>
      <c r="N54" s="6"/>
    </row>
    <row r="56" spans="1:16" x14ac:dyDescent="0.2">
      <c r="A56" s="52" t="s">
        <v>14</v>
      </c>
    </row>
    <row r="57" spans="1:16" x14ac:dyDescent="0.2">
      <c r="A57" s="39" t="s">
        <v>8</v>
      </c>
      <c r="B57" s="11">
        <f>B47*B53</f>
        <v>-11361.608171475631</v>
      </c>
      <c r="C57" s="11">
        <f t="shared" ref="C57:M58" si="11">C47*C53</f>
        <v>-11827.833639643553</v>
      </c>
      <c r="D57" s="11">
        <f t="shared" si="11"/>
        <v>-10199.394657091409</v>
      </c>
      <c r="E57" s="11">
        <f t="shared" si="11"/>
        <v>-9753.4448528801986</v>
      </c>
      <c r="F57" s="11">
        <f t="shared" si="11"/>
        <v>-10884.075726094828</v>
      </c>
      <c r="G57" s="11">
        <f t="shared" si="11"/>
        <v>-9733.4770675592099</v>
      </c>
      <c r="H57" s="11">
        <f t="shared" si="11"/>
        <v>-9024.5107381750204</v>
      </c>
      <c r="I57" s="11">
        <f t="shared" si="11"/>
        <v>-8193.8379924502151</v>
      </c>
      <c r="J57" s="11">
        <f t="shared" si="11"/>
        <v>-8003.2629920450081</v>
      </c>
      <c r="K57" s="11">
        <f t="shared" si="11"/>
        <v>-9453.6228025462297</v>
      </c>
      <c r="L57" s="11">
        <f t="shared" si="11"/>
        <v>-9313.4950873043599</v>
      </c>
      <c r="M57" s="11">
        <f t="shared" si="11"/>
        <v>-9585.8399227927002</v>
      </c>
      <c r="N57" s="12">
        <f>SUM(B57:M57)</f>
        <v>-117334.40365005836</v>
      </c>
    </row>
    <row r="58" spans="1:16" x14ac:dyDescent="0.2">
      <c r="A58" s="39" t="s">
        <v>9</v>
      </c>
      <c r="B58" s="11">
        <f>B48*B54</f>
        <v>-603.24</v>
      </c>
      <c r="C58" s="11">
        <f t="shared" si="11"/>
        <v>-638.22</v>
      </c>
      <c r="D58" s="11">
        <f t="shared" si="11"/>
        <v>-626.0100000000001</v>
      </c>
      <c r="E58" s="11">
        <f t="shared" si="11"/>
        <v>-599.61</v>
      </c>
      <c r="F58" s="11">
        <f t="shared" si="11"/>
        <v>-664.62</v>
      </c>
      <c r="G58" s="11">
        <f t="shared" si="11"/>
        <v>-612.48</v>
      </c>
      <c r="H58" s="11">
        <f t="shared" si="11"/>
        <v>-645.81000000000006</v>
      </c>
      <c r="I58" s="11">
        <f t="shared" si="11"/>
        <v>-731.12000000000012</v>
      </c>
      <c r="J58" s="11">
        <f t="shared" si="11"/>
        <v>-801.95</v>
      </c>
      <c r="K58" s="11">
        <f t="shared" si="11"/>
        <v>-866.88</v>
      </c>
      <c r="L58" s="11">
        <f t="shared" si="11"/>
        <v>-830.33000000000015</v>
      </c>
      <c r="M58" s="11">
        <f t="shared" si="11"/>
        <v>-777.87</v>
      </c>
      <c r="N58" s="12">
        <f>SUM(B58:M58)</f>
        <v>-8398.1400000000012</v>
      </c>
    </row>
    <row r="59" spans="1:16" x14ac:dyDescent="0.2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6"/>
    </row>
    <row r="60" spans="1:16" s="38" customFormat="1" x14ac:dyDescent="0.2">
      <c r="A60" s="38" t="s">
        <v>28</v>
      </c>
      <c r="B60" s="13">
        <f t="shared" ref="B60:I60" si="12">SUM(B57:B58)</f>
        <v>-11964.848171475631</v>
      </c>
      <c r="C60" s="13">
        <f t="shared" si="12"/>
        <v>-12466.053639643553</v>
      </c>
      <c r="D60" s="13">
        <f t="shared" si="12"/>
        <v>-10825.404657091409</v>
      </c>
      <c r="E60" s="13">
        <f t="shared" si="12"/>
        <v>-10353.054852880199</v>
      </c>
      <c r="F60" s="13">
        <f t="shared" si="12"/>
        <v>-11548.695726094829</v>
      </c>
      <c r="G60" s="13">
        <f t="shared" si="12"/>
        <v>-10345.957067559209</v>
      </c>
      <c r="H60" s="13">
        <f t="shared" si="12"/>
        <v>-9670.3207381750199</v>
      </c>
      <c r="I60" s="13">
        <f t="shared" si="12"/>
        <v>-8924.9579924502159</v>
      </c>
      <c r="J60" s="13">
        <f>SUM(J57:J58)</f>
        <v>-8805.2129920450079</v>
      </c>
      <c r="K60" s="13">
        <f>SUM(K57:K58)</f>
        <v>-10320.502802546229</v>
      </c>
      <c r="L60" s="13">
        <f>SUM(L57:L58)</f>
        <v>-10143.82508730436</v>
      </c>
      <c r="M60" s="13">
        <f>SUM(M57:M58)</f>
        <v>-10363.709922792701</v>
      </c>
      <c r="N60" s="14">
        <f>SUM(N57:N58)</f>
        <v>-125732.54365005836</v>
      </c>
      <c r="O60" s="64"/>
      <c r="P60" s="9"/>
    </row>
    <row r="61" spans="1:16" x14ac:dyDescent="0.2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6"/>
    </row>
    <row r="62" spans="1:16" x14ac:dyDescent="0.2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6"/>
    </row>
    <row r="63" spans="1:16" x14ac:dyDescent="0.2">
      <c r="A63" s="16" t="s">
        <v>16</v>
      </c>
      <c r="B63" s="7">
        <f>+'[1]Pacific Comm Credit'!B$60</f>
        <v>14658.818584070797</v>
      </c>
      <c r="C63" s="7">
        <f>+'[1]Pacific Comm Credit'!C$60</f>
        <v>14699</v>
      </c>
      <c r="D63" s="7">
        <f>+'[1]Pacific Comm Credit'!D$60</f>
        <v>14621.5</v>
      </c>
      <c r="E63" s="7">
        <f>+'[1]Pacific Comm Credit'!E$60</f>
        <v>14621.5</v>
      </c>
      <c r="F63" s="7">
        <f>+'[1]Pacific Comm Credit'!F$60</f>
        <v>14621.5</v>
      </c>
      <c r="G63" s="7">
        <f>+'[1]Pacific Comm Credit'!G$60</f>
        <v>14621.5</v>
      </c>
      <c r="H63" s="7">
        <f>+'[1]Pacific Comm Credit'!H$60</f>
        <v>14621.5</v>
      </c>
      <c r="I63" s="7">
        <f>+'[1]Pacific Comm Credit'!I$60</f>
        <v>14796.000000000004</v>
      </c>
      <c r="J63" s="7">
        <f>+'[1]Pacific Comm Credit'!J$60</f>
        <v>14821.40044247788</v>
      </c>
      <c r="K63" s="7">
        <f>+'[1]Pacific Comm Credit'!K$60</f>
        <v>14755.219026548677</v>
      </c>
      <c r="L63" s="7">
        <f>+'[1]Pacific Comm Credit'!L$60</f>
        <v>15057</v>
      </c>
      <c r="M63" s="7">
        <f>+'[1]Pacific Comm Credit'!M$60</f>
        <v>13913.511578947368</v>
      </c>
      <c r="N63" s="10">
        <f>SUM(B63:M63)</f>
        <v>175808.44963204471</v>
      </c>
      <c r="P63" s="55"/>
    </row>
    <row r="64" spans="1:16" x14ac:dyDescent="0.2">
      <c r="A64" s="1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6"/>
    </row>
    <row r="65" spans="1:19" x14ac:dyDescent="0.2">
      <c r="A65" s="1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19"/>
    </row>
    <row r="66" spans="1:19" x14ac:dyDescent="0.2">
      <c r="A66" s="56" t="s">
        <v>17</v>
      </c>
      <c r="B66" s="20">
        <f>-IFERROR(B60/B63,0)</f>
        <v>0.81622186009433217</v>
      </c>
      <c r="C66" s="20">
        <f>-IFERROR(C60/C63,0)</f>
        <v>0.8480885529385368</v>
      </c>
      <c r="D66" s="20">
        <f t="shared" ref="D66:M66" si="13">-IFERROR(D60/D63,0)</f>
        <v>0.74037579298234857</v>
      </c>
      <c r="E66" s="20">
        <f t="shared" si="13"/>
        <v>0.70807063932429637</v>
      </c>
      <c r="F66" s="20">
        <f t="shared" si="13"/>
        <v>0.78984343098141974</v>
      </c>
      <c r="G66" s="20">
        <f t="shared" si="13"/>
        <v>0.70758520449743256</v>
      </c>
      <c r="H66" s="20">
        <f t="shared" si="13"/>
        <v>0.66137679021817319</v>
      </c>
      <c r="I66" s="20">
        <f t="shared" si="13"/>
        <v>0.60320072941674874</v>
      </c>
      <c r="J66" s="20">
        <f t="shared" si="13"/>
        <v>0.59408778719785604</v>
      </c>
      <c r="K66" s="20">
        <f t="shared" si="13"/>
        <v>0.69944761809206768</v>
      </c>
      <c r="L66" s="20">
        <f t="shared" si="13"/>
        <v>0.67369496495346748</v>
      </c>
      <c r="M66" s="20">
        <f t="shared" si="13"/>
        <v>0.74486658986032706</v>
      </c>
      <c r="N66" s="3"/>
    </row>
    <row r="67" spans="1:19" x14ac:dyDescent="0.2">
      <c r="A67" s="57" t="s">
        <v>18</v>
      </c>
      <c r="B67" s="20">
        <f>-'[2]Pacific CPA 1.1.24'!$M67</f>
        <v>0.42</v>
      </c>
      <c r="C67" s="20">
        <f>-'[2]Pacific CPA 1.1.24'!$M67</f>
        <v>0.42</v>
      </c>
      <c r="D67" s="20">
        <f>'[2]Pacific CPA 1.1.24'!$N72</f>
        <v>0.91</v>
      </c>
      <c r="E67" s="20">
        <f>'[2]Pacific CPA 1.1.24'!$N72</f>
        <v>0.91</v>
      </c>
      <c r="F67" s="20">
        <f>'[2]Pacific CPA 1.1.24'!$N72</f>
        <v>0.91</v>
      </c>
      <c r="G67" s="20">
        <f>'[2]Pacific CPA 1.1.24'!$N72</f>
        <v>0.91</v>
      </c>
      <c r="H67" s="20">
        <f>'[2]Pacific CPA 1.1.24'!$N72</f>
        <v>0.91</v>
      </c>
      <c r="I67" s="20">
        <f>'[2]Pacific CPA 1.1.24'!$N72</f>
        <v>0.91</v>
      </c>
      <c r="J67" s="20">
        <f>'[2]Pacific CPA 1.1.24'!$N72</f>
        <v>0.91</v>
      </c>
      <c r="K67" s="20">
        <f>'[2]Pacific CPA 1.1.24'!$N72</f>
        <v>0.91</v>
      </c>
      <c r="L67" s="20">
        <f>'[2]Pacific CPA 1.1.24'!$N72</f>
        <v>0.91</v>
      </c>
      <c r="M67" s="20">
        <f>'[2]Pacific CPA 1.1.24'!$N72</f>
        <v>0.91</v>
      </c>
      <c r="N67" s="3"/>
    </row>
    <row r="68" spans="1:19" x14ac:dyDescent="0.2">
      <c r="A68" s="57" t="s">
        <v>19</v>
      </c>
      <c r="B68" s="11">
        <f>+B63*B67</f>
        <v>6156.7038053097349</v>
      </c>
      <c r="C68" s="11">
        <f t="shared" ref="C68:M68" si="14">+C63*C67</f>
        <v>6173.58</v>
      </c>
      <c r="D68" s="11">
        <f t="shared" si="14"/>
        <v>13305.565000000001</v>
      </c>
      <c r="E68" s="11">
        <f t="shared" si="14"/>
        <v>13305.565000000001</v>
      </c>
      <c r="F68" s="11">
        <f t="shared" si="14"/>
        <v>13305.565000000001</v>
      </c>
      <c r="G68" s="11">
        <f t="shared" si="14"/>
        <v>13305.565000000001</v>
      </c>
      <c r="H68" s="11">
        <f t="shared" si="14"/>
        <v>13305.565000000001</v>
      </c>
      <c r="I68" s="11">
        <f t="shared" si="14"/>
        <v>13464.360000000004</v>
      </c>
      <c r="J68" s="11">
        <f t="shared" si="14"/>
        <v>13487.474402654871</v>
      </c>
      <c r="K68" s="11">
        <f t="shared" si="14"/>
        <v>13427.249314159297</v>
      </c>
      <c r="L68" s="11">
        <f t="shared" si="14"/>
        <v>13701.87</v>
      </c>
      <c r="M68" s="11">
        <f t="shared" si="14"/>
        <v>12661.295536842104</v>
      </c>
      <c r="N68" s="6">
        <f>SUM(B68:M68)</f>
        <v>145600.35805896603</v>
      </c>
    </row>
    <row r="69" spans="1:19" s="38" customFormat="1" ht="13.5" thickBot="1" x14ac:dyDescent="0.25">
      <c r="A69" s="23" t="s">
        <v>20</v>
      </c>
      <c r="B69" s="24">
        <f>-(B60+B68)</f>
        <v>5808.1443661658959</v>
      </c>
      <c r="C69" s="24">
        <f t="shared" ref="C69:M69" si="15">-(C60+C68)</f>
        <v>6292.4736396435528</v>
      </c>
      <c r="D69" s="24">
        <f t="shared" si="15"/>
        <v>-2480.1603429085917</v>
      </c>
      <c r="E69" s="24">
        <f t="shared" si="15"/>
        <v>-2952.5101471198013</v>
      </c>
      <c r="F69" s="24">
        <f t="shared" si="15"/>
        <v>-1756.8692739051712</v>
      </c>
      <c r="G69" s="24">
        <f t="shared" si="15"/>
        <v>-2959.607932440791</v>
      </c>
      <c r="H69" s="24">
        <f t="shared" si="15"/>
        <v>-3635.2442618249806</v>
      </c>
      <c r="I69" s="24">
        <f t="shared" si="15"/>
        <v>-4539.4020075497883</v>
      </c>
      <c r="J69" s="24">
        <f t="shared" si="15"/>
        <v>-4682.2614106098627</v>
      </c>
      <c r="K69" s="24">
        <f t="shared" si="15"/>
        <v>-3106.7465116130679</v>
      </c>
      <c r="L69" s="24">
        <f t="shared" si="15"/>
        <v>-3558.044912695641</v>
      </c>
      <c r="M69" s="24">
        <f t="shared" si="15"/>
        <v>-2297.5856140494034</v>
      </c>
      <c r="N69" s="24">
        <f>SUM(B69:M69)</f>
        <v>-19867.814408907649</v>
      </c>
      <c r="P69" s="58"/>
    </row>
    <row r="70" spans="1:19" x14ac:dyDescent="0.2">
      <c r="A70" s="16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6"/>
    </row>
    <row r="71" spans="1:19" x14ac:dyDescent="0.2">
      <c r="A71" s="7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6" t="s">
        <v>21</v>
      </c>
      <c r="N71" s="21">
        <f>ROUND(N69/N63,2)</f>
        <v>-0.11</v>
      </c>
    </row>
    <row r="72" spans="1:19" x14ac:dyDescent="0.2"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 t="s">
        <v>22</v>
      </c>
      <c r="N72" s="30">
        <f>-ROUND(N60/N63,2)</f>
        <v>0.72</v>
      </c>
    </row>
    <row r="73" spans="1:19" x14ac:dyDescent="0.2">
      <c r="B73" s="33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31" t="s">
        <v>23</v>
      </c>
      <c r="N73" s="32">
        <f>+N72+N71</f>
        <v>0.61</v>
      </c>
    </row>
    <row r="74" spans="1:19" x14ac:dyDescent="0.2">
      <c r="A74" s="7"/>
      <c r="B74" s="34"/>
      <c r="C74" s="26"/>
      <c r="D74" s="26"/>
      <c r="E74" s="34"/>
      <c r="F74" s="26"/>
      <c r="G74" s="26"/>
      <c r="H74" s="26"/>
      <c r="I74" s="26"/>
      <c r="J74" s="26"/>
      <c r="K74" s="26"/>
      <c r="L74" s="26"/>
      <c r="M74" s="26"/>
      <c r="N74" s="32"/>
    </row>
    <row r="75" spans="1:19" x14ac:dyDescent="0.2">
      <c r="A75" s="1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 t="s">
        <v>24</v>
      </c>
      <c r="N75" s="21">
        <f>+'[2]Pacific CPA 1.1.24'!N73</f>
        <v>1.42</v>
      </c>
      <c r="Q75" s="6"/>
      <c r="R75" s="6"/>
      <c r="S75" s="62"/>
    </row>
    <row r="76" spans="1:19" x14ac:dyDescent="0.2">
      <c r="A76" s="1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 t="s">
        <v>25</v>
      </c>
      <c r="N76" s="21">
        <f>+N73-N75</f>
        <v>-0.80999999999999994</v>
      </c>
      <c r="O76" s="35">
        <f>N76/N75</f>
        <v>-0.57042253521126762</v>
      </c>
    </row>
    <row r="77" spans="1:19" x14ac:dyDescent="0.2">
      <c r="A77" s="1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 t="s">
        <v>26</v>
      </c>
      <c r="N77" s="12">
        <f>N76*M63*12</f>
        <v>-135239.33254736839</v>
      </c>
    </row>
    <row r="78" spans="1:19" x14ac:dyDescent="0.2">
      <c r="A78" s="1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O78" s="3"/>
    </row>
  </sheetData>
  <pageMargins left="0.7" right="0.7" top="0.75" bottom="0.75" header="0.3" footer="0.3"/>
  <pageSetup scale="57" fitToHeight="0" orientation="landscape" r:id="rId1"/>
  <rowBreaks count="1" manualBreakCount="1">
    <brk id="43" max="14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A81B0B7C60AA44CA9520E1D6A374201" ma:contentTypeVersion="16" ma:contentTypeDescription="" ma:contentTypeScope="" ma:versionID="3d4efeca6c108b4626a089c1a69580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2024-11-15T08:00:00+00:00</OpenedDate>
    <SignificantOrder xmlns="dc463f71-b30c-4ab2-9473-d307f9d35888">false</SignificantOrder>
    <Date1 xmlns="dc463f71-b30c-4ab2-9473-d307f9d35888">2024-11-15T08:00:00+00:00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HAROLD LEMAY ENTERPRISES, INC.                </CaseCompanyNames>
    <Nickname xmlns="http://schemas.microsoft.com/sharepoint/v3" xsi:nil="true"/>
    <DocketNumber xmlns="dc463f71-b30c-4ab2-9473-d307f9d35888">240923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ABF76A5-2CDA-452D-B4D2-8197CDBC372D}"/>
</file>

<file path=customXml/itemProps2.xml><?xml version="1.0" encoding="utf-8"?>
<ds:datastoreItem xmlns:ds="http://schemas.openxmlformats.org/officeDocument/2006/customXml" ds:itemID="{81EF4506-B415-4684-B41C-9B46F03C3F64}"/>
</file>

<file path=customXml/itemProps3.xml><?xml version="1.0" encoding="utf-8"?>
<ds:datastoreItem xmlns:ds="http://schemas.openxmlformats.org/officeDocument/2006/customXml" ds:itemID="{0545E13A-4D81-4702-973E-08252BADB46E}"/>
</file>

<file path=customXml/itemProps4.xml><?xml version="1.0" encoding="utf-8"?>
<ds:datastoreItem xmlns:ds="http://schemas.openxmlformats.org/officeDocument/2006/customXml" ds:itemID="{EF9D3C04-851F-4524-8E9B-31BA25837F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Pacific CPA 1.1.25</vt:lpstr>
      <vt:lpstr>'Pacific CPA 1.1.25'!Print_Area</vt:lpstr>
      <vt:lpstr>'Pacific CPA 1.1.25'!Print_Titles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Vandenburg</dc:creator>
  <cp:lastModifiedBy>Brian Vandenburg</cp:lastModifiedBy>
  <cp:lastPrinted>2024-11-14T23:52:55Z</cp:lastPrinted>
  <dcterms:created xsi:type="dcterms:W3CDTF">2024-11-14T23:52:32Z</dcterms:created>
  <dcterms:modified xsi:type="dcterms:W3CDTF">2024-11-14T23:53:10Z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0x0101006E56B4D1795A2E4DB2F0B01679ED314A005A81B0B7C60AA44CA9520E1D6A374201</vt:lpwstr>
  </property>
</Properties>
</file>