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externalLinks/externalLink1.xml" ContentType="application/vnd.openxmlformats-officedocument.spreadsheetml.externalLink+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cwcpa-my.sharepoint.com/personal/mike_ncwcpa_com/Documents/Client Files/S/S380 Sunrise Disposal/UTC/"/>
    </mc:Choice>
  </mc:AlternateContent>
  <xr:revisionPtr revIDLastSave="381" documentId="11_297398150CBCC0C19B25178AEBC81FF048C304BD" xr6:coauthVersionLast="47" xr6:coauthVersionMax="47" xr10:uidLastSave="{66DE580D-FCF0-4BE9-96A3-C88AAFB6F0E7}"/>
  <bookViews>
    <workbookView xWindow="1689" yWindow="249" windowWidth="28525" windowHeight="17622" firstSheet="3" activeTab="9" xr2:uid="{00000000-000D-0000-FFFF-FFFF00000000}"/>
  </bookViews>
  <sheets>
    <sheet name="LG Nonpublic 2018 V5.2a" sheetId="1" r:id="rId1"/>
    <sheet name="Instructions" sheetId="3" r:id="rId2"/>
    <sheet name="Balance Sheet" sheetId="4" r:id="rId3"/>
    <sheet name="Income Statement" sheetId="5" r:id="rId4"/>
    <sheet name="Interest Expense" sheetId="7" r:id="rId5"/>
    <sheet name="Interco Transactions" sheetId="8" r:id="rId6"/>
    <sheet name="Leases" sheetId="9" r:id="rId7"/>
    <sheet name="Restating Matrix" sheetId="10" r:id="rId8"/>
    <sheet name="Depr. Input and Calculation" sheetId="11" r:id="rId9"/>
    <sheet name="Monthly Dep Exp" sheetId="13" r:id="rId10"/>
  </sheets>
  <externalReferences>
    <externalReference r:id="rId11"/>
  </externalReferences>
  <definedNames>
    <definedName name="\A">#REF!</definedName>
    <definedName name="\c">#REF!</definedName>
    <definedName name="\D">#REF!</definedName>
    <definedName name="\E">#REF!</definedName>
    <definedName name="\R">#REF!</definedName>
    <definedName name="\S">#REF!</definedName>
    <definedName name="\Y">#REF!</definedName>
    <definedName name="\z">#REF!</definedName>
    <definedName name="______________CYA1">#REF!</definedName>
    <definedName name="______________CYA10">#REF!</definedName>
    <definedName name="______________CYA11">#REF!</definedName>
    <definedName name="______________CYA2">#REF!</definedName>
    <definedName name="______________CYA3">#REF!</definedName>
    <definedName name="______________CYA4">#REF!</definedName>
    <definedName name="______________CYA5">#REF!</definedName>
    <definedName name="______________CYA6">#REF!</definedName>
    <definedName name="______________CYA7">#REF!</definedName>
    <definedName name="______________CYA8">#REF!</definedName>
    <definedName name="______________CYA9">#REF!</definedName>
    <definedName name="______________LYA12">#REF!</definedName>
    <definedName name="_____________CYA1">#REF!</definedName>
    <definedName name="_____________CYA10">#REF!</definedName>
    <definedName name="_____________CYA11">#REF!</definedName>
    <definedName name="_____________CYA2">#REF!</definedName>
    <definedName name="_____________CYA3">#REF!</definedName>
    <definedName name="_____________CYA4">#REF!</definedName>
    <definedName name="_____________CYA5">#REF!</definedName>
    <definedName name="_____________CYA6">#REF!</definedName>
    <definedName name="_____________CYA7">#REF!</definedName>
    <definedName name="_____________CYA8">#REF!</definedName>
    <definedName name="_____________CYA9">#REF!</definedName>
    <definedName name="_____________LYA12">#REF!</definedName>
    <definedName name="____________CYA1">#REF!</definedName>
    <definedName name="____________CYA10">#REF!</definedName>
    <definedName name="____________CYA11">#REF!</definedName>
    <definedName name="____________CYA2">#REF!</definedName>
    <definedName name="____________CYA3">#REF!</definedName>
    <definedName name="____________CYA4">#REF!</definedName>
    <definedName name="____________CYA5">#REF!</definedName>
    <definedName name="____________CYA6">#REF!</definedName>
    <definedName name="____________CYA7">#REF!</definedName>
    <definedName name="____________CYA8">#REF!</definedName>
    <definedName name="____________CYA9">#REF!</definedName>
    <definedName name="____________LYA12">#REF!</definedName>
    <definedName name="___________CYA1">#REF!</definedName>
    <definedName name="___________CYA10">#REF!</definedName>
    <definedName name="___________CYA11">#REF!</definedName>
    <definedName name="___________CYA2">#REF!</definedName>
    <definedName name="___________CYA3">#REF!</definedName>
    <definedName name="___________CYA4">#REF!</definedName>
    <definedName name="___________CYA5">#REF!</definedName>
    <definedName name="___________CYA6">#REF!</definedName>
    <definedName name="___________CYA7">#REF!</definedName>
    <definedName name="___________CYA8">#REF!</definedName>
    <definedName name="___________CYA9">#REF!</definedName>
    <definedName name="___________LYA12">#REF!</definedName>
    <definedName name="__________CYA1">#REF!</definedName>
    <definedName name="__________CYA10">#REF!</definedName>
    <definedName name="__________CYA11">#REF!</definedName>
    <definedName name="__________CYA2">#REF!</definedName>
    <definedName name="__________CYA3">#REF!</definedName>
    <definedName name="__________CYA4">#REF!</definedName>
    <definedName name="__________CYA5">#REF!</definedName>
    <definedName name="__________CYA6">#REF!</definedName>
    <definedName name="__________CYA7">#REF!</definedName>
    <definedName name="__________CYA8">#REF!</definedName>
    <definedName name="__________CYA9">#REF!</definedName>
    <definedName name="__________LYA12">#REF!</definedName>
    <definedName name="_________CYA1">#REF!</definedName>
    <definedName name="_________CYA10">#REF!</definedName>
    <definedName name="_________CYA11">#REF!</definedName>
    <definedName name="_________CYA2">#REF!</definedName>
    <definedName name="_________CYA3">#REF!</definedName>
    <definedName name="_________CYA4">#REF!</definedName>
    <definedName name="_________CYA5">#REF!</definedName>
    <definedName name="_________CYA6">#REF!</definedName>
    <definedName name="_________CYA7">#REF!</definedName>
    <definedName name="_________CYA8">#REF!</definedName>
    <definedName name="_________CYA9">#REF!</definedName>
    <definedName name="_________LYA12">#REF!</definedName>
    <definedName name="________CYA1">#REF!</definedName>
    <definedName name="________CYA10">#REF!</definedName>
    <definedName name="________CYA11">#REF!</definedName>
    <definedName name="________CYA2">#REF!</definedName>
    <definedName name="________CYA3">#REF!</definedName>
    <definedName name="________CYA4">#REF!</definedName>
    <definedName name="________CYA5">#REF!</definedName>
    <definedName name="________CYA6">#REF!</definedName>
    <definedName name="________CYA7">#REF!</definedName>
    <definedName name="________CYA8">#REF!</definedName>
    <definedName name="________CYA9">#REF!</definedName>
    <definedName name="________LYA12">#REF!</definedName>
    <definedName name="_______CYA1">#REF!</definedName>
    <definedName name="_______CYA10">#REF!</definedName>
    <definedName name="_______CYA11">#REF!</definedName>
    <definedName name="_______CYA2">#REF!</definedName>
    <definedName name="_______CYA3">#REF!</definedName>
    <definedName name="_______CYA4">#REF!</definedName>
    <definedName name="_______CYA5">#REF!</definedName>
    <definedName name="_______CYA6">#REF!</definedName>
    <definedName name="_______CYA7">#REF!</definedName>
    <definedName name="_______CYA8">#REF!</definedName>
    <definedName name="_______CYA9">#REF!</definedName>
    <definedName name="_______LYA12">#REF!</definedName>
    <definedName name="______ACT1">#REF!</definedName>
    <definedName name="______ACT2">#REF!</definedName>
    <definedName name="______ACT3">#REF!</definedName>
    <definedName name="______CYA1">#REF!</definedName>
    <definedName name="______CYA10">#REF!</definedName>
    <definedName name="______CYA11">#REF!</definedName>
    <definedName name="______CYA2">#REF!</definedName>
    <definedName name="______CYA3">#REF!</definedName>
    <definedName name="______CYA4">#REF!</definedName>
    <definedName name="______CYA5">#REF!</definedName>
    <definedName name="______CYA6">#REF!</definedName>
    <definedName name="______CYA7">#REF!</definedName>
    <definedName name="______CYA8">#REF!</definedName>
    <definedName name="______CYA9">#REF!</definedName>
    <definedName name="______LYA12">#REF!</definedName>
    <definedName name="_____ACT1">#REF!</definedName>
    <definedName name="_____ACT2">#REF!</definedName>
    <definedName name="_____ACT3">#REF!</definedName>
    <definedName name="_____CYA1">#REF!</definedName>
    <definedName name="_____CYA10">#REF!</definedName>
    <definedName name="_____CYA11">#REF!</definedName>
    <definedName name="_____CYA2">#REF!</definedName>
    <definedName name="_____CYA3">#REF!</definedName>
    <definedName name="_____CYA4">#REF!</definedName>
    <definedName name="_____CYA5">#REF!</definedName>
    <definedName name="_____CYA6">#REF!</definedName>
    <definedName name="_____CYA7">#REF!</definedName>
    <definedName name="_____CYA8">#REF!</definedName>
    <definedName name="_____CYA9">#REF!</definedName>
    <definedName name="_____LYA12">#REF!</definedName>
    <definedName name="____ACT1">#REF!</definedName>
    <definedName name="____ACT2">#REF!</definedName>
    <definedName name="____ACT3">#REF!</definedName>
    <definedName name="____CYA1">#REF!</definedName>
    <definedName name="____CYA10">#REF!</definedName>
    <definedName name="____CYA11">#REF!</definedName>
    <definedName name="____CYA2">#REF!</definedName>
    <definedName name="____CYA3">#REF!</definedName>
    <definedName name="____CYA4">#REF!</definedName>
    <definedName name="____CYA5">#REF!</definedName>
    <definedName name="____CYA6">#REF!</definedName>
    <definedName name="____CYA7">#REF!</definedName>
    <definedName name="____CYA8">#REF!</definedName>
    <definedName name="____CYA9">#REF!</definedName>
    <definedName name="____LYA12">#REF!</definedName>
    <definedName name="___ACT1">#REF!</definedName>
    <definedName name="___ACT2">#REF!</definedName>
    <definedName name="___ACT3">#REF!</definedName>
    <definedName name="___CYA1">#REF!</definedName>
    <definedName name="___CYA10">#REF!</definedName>
    <definedName name="___CYA11">#REF!</definedName>
    <definedName name="___CYA2">#REF!</definedName>
    <definedName name="___CYA3">#REF!</definedName>
    <definedName name="___CYA4">#REF!</definedName>
    <definedName name="___CYA5">#REF!</definedName>
    <definedName name="___CYA6">#REF!</definedName>
    <definedName name="___CYA7">#REF!</definedName>
    <definedName name="___CYA8">#REF!</definedName>
    <definedName name="___CYA9">#REF!</definedName>
    <definedName name="___LYA12">#REF!</definedName>
    <definedName name="__ACT1">#REF!</definedName>
    <definedName name="__ACT2">#REF!</definedName>
    <definedName name="__ACT3">#REF!</definedName>
    <definedName name="__CYA1">#REF!</definedName>
    <definedName name="__CYA10">#REF!</definedName>
    <definedName name="__CYA11">#REF!</definedName>
    <definedName name="__CYA2">#REF!</definedName>
    <definedName name="__CYA3">#REF!</definedName>
    <definedName name="__CYA4">#REF!</definedName>
    <definedName name="__CYA5">#REF!</definedName>
    <definedName name="__CYA6">#REF!</definedName>
    <definedName name="__CYA7">#REF!</definedName>
    <definedName name="__CYA8">#REF!</definedName>
    <definedName name="__CYA9">#REF!</definedName>
    <definedName name="__LYA1">#REF!</definedName>
    <definedName name="__LYA10">#REF!</definedName>
    <definedName name="__LYA11">#REF!</definedName>
    <definedName name="__LYA12">#REF!</definedName>
    <definedName name="__LYA2">#REF!</definedName>
    <definedName name="__LYA3">#REF!</definedName>
    <definedName name="__LYA4">#REF!</definedName>
    <definedName name="__LYA5">#REF!</definedName>
    <definedName name="__LYA6">#REF!</definedName>
    <definedName name="__LYA7">#REF!</definedName>
    <definedName name="__LYA8">#REF!</definedName>
    <definedName name="__LYA9">#REF!</definedName>
    <definedName name="_123Graph_g" hidden="1">#REF!</definedName>
    <definedName name="_13054">#REF!</definedName>
    <definedName name="_132" hidden="1">#REF!</definedName>
    <definedName name="_132Graph_h" hidden="1">#REF!</definedName>
    <definedName name="_ACT1">#REF!</definedName>
    <definedName name="_ACT2">#REF!</definedName>
    <definedName name="_ACT3">#REF!</definedName>
    <definedName name="_ACT4">#REF!</definedName>
    <definedName name="_BUN1">#REF!</definedName>
    <definedName name="_BUN3">#REF!</definedName>
    <definedName name="_COS1">#REF!</definedName>
    <definedName name="_COS2">#REF!</definedName>
    <definedName name="_CYA1">#REF!</definedName>
    <definedName name="_CYA10">#REF!</definedName>
    <definedName name="_CYA11">#REF!</definedName>
    <definedName name="_CYA2">#REF!</definedName>
    <definedName name="_CYA3">#REF!</definedName>
    <definedName name="_CYA4">#REF!</definedName>
    <definedName name="_CYA5">#REF!</definedName>
    <definedName name="_CYA6">#REF!</definedName>
    <definedName name="_CYA7">#REF!</definedName>
    <definedName name="_CYA8">#REF!</definedName>
    <definedName name="_CYA9">#REF!</definedName>
    <definedName name="_Fill" hidden="1">#REF!</definedName>
    <definedName name="_Key1" hidden="1">#REF!</definedName>
    <definedName name="_Key2" hidden="1">#REF!</definedName>
    <definedName name="_key5" hidden="1">#REF!</definedName>
    <definedName name="_LYA1">#REF!</definedName>
    <definedName name="_LYA10">#REF!</definedName>
    <definedName name="_LYA11">#REF!</definedName>
    <definedName name="_LYA12">#REF!</definedName>
    <definedName name="_LYA2">#REF!</definedName>
    <definedName name="_LYA3">#REF!</definedName>
    <definedName name="_LYA4">#REF!</definedName>
    <definedName name="_LYA5">#REF!</definedName>
    <definedName name="_LYA6">#REF!</definedName>
    <definedName name="_LYA7">#REF!</definedName>
    <definedName name="_LYA8">#REF!</definedName>
    <definedName name="_LYA9">#REF!</definedName>
    <definedName name="_max" hidden="1">#REF!</definedName>
    <definedName name="_Mon" hidden="1">#REF!</definedName>
    <definedName name="_Order1" hidden="1">255</definedName>
    <definedName name="_Order2" hidden="1">255</definedName>
    <definedName name="_Order3" hidden="1">0</definedName>
    <definedName name="_PER1">#REF!</definedName>
    <definedName name="_PER2">#REF!</definedName>
    <definedName name="_PER3">#REF!</definedName>
    <definedName name="_PER4">#REF!</definedName>
    <definedName name="_PER5">#REF!</definedName>
    <definedName name="_Regression_Int">0</definedName>
    <definedName name="_SFD1">#REF!</definedName>
    <definedName name="_SFD3">#REF!</definedName>
    <definedName name="_SFV1">#REF!</definedName>
    <definedName name="_SFV4">#REF!</definedName>
    <definedName name="_Sort" hidden="1">#REF!</definedName>
    <definedName name="_Sort1" hidden="1">#REF!</definedName>
    <definedName name="_sort3" hidden="1">#REF!</definedName>
    <definedName name="a">#REF!</definedName>
    <definedName name="aaaaaaa" localSheetId="8">rank</definedName>
    <definedName name="aaaaaaa" localSheetId="3">rank</definedName>
    <definedName name="aaaaaaa" localSheetId="5">rank</definedName>
    <definedName name="aaaaaaa" localSheetId="4">rank</definedName>
    <definedName name="aaaaaaa" localSheetId="6">rank</definedName>
    <definedName name="aaaaaaa" localSheetId="9">rank</definedName>
    <definedName name="aaaaaaa" localSheetId="7">rank</definedName>
    <definedName name="aaaaaaa">rank</definedName>
    <definedName name="Accounts">#REF!</definedName>
    <definedName name="ACCT">#REF!</definedName>
    <definedName name="ACCT.ConsolSum">#REF!</definedName>
    <definedName name="AcctName">#REF!</definedName>
    <definedName name="ACT_CUR">#REF!</definedName>
    <definedName name="ACT_YTD">#REF!</definedName>
    <definedName name="AD">#REF!</definedName>
    <definedName name="adfd" localSheetId="8">rank</definedName>
    <definedName name="adfd" localSheetId="3">rank</definedName>
    <definedName name="adfd" localSheetId="5">rank</definedName>
    <definedName name="adfd" localSheetId="4">rank</definedName>
    <definedName name="adfd" localSheetId="6">rank</definedName>
    <definedName name="adfd" localSheetId="9">rank</definedName>
    <definedName name="adfd" localSheetId="7">rank</definedName>
    <definedName name="adfd">rank</definedName>
    <definedName name="ADK">#REF!</definedName>
    <definedName name="afsdfsdfsd">#REF!</definedName>
    <definedName name="AmountCount">#REF!</definedName>
    <definedName name="AmountCount1">#REF!</definedName>
    <definedName name="AmountFrom">#REF!</definedName>
    <definedName name="AmountTo">#REF!</definedName>
    <definedName name="AmountTotal">#REF!</definedName>
    <definedName name="AmountTotal1">#REF!</definedName>
    <definedName name="AOK">#REF!</definedName>
    <definedName name="APA">#REF!</definedName>
    <definedName name="APN">#REF!</definedName>
    <definedName name="ASD">#REF!</definedName>
    <definedName name="AST">#REF!</definedName>
    <definedName name="averaging">#REF!</definedName>
    <definedName name="BaseMonthDate">#REF!</definedName>
    <definedName name="BaseMonthDate2">#REF!</definedName>
    <definedName name="BaseMonthDate3">#REF!</definedName>
    <definedName name="BaseYear">#REF!</definedName>
    <definedName name="BEGCELL">#REF!</definedName>
    <definedName name="begin">#REF!</definedName>
    <definedName name="BookRev">#REF!</definedName>
    <definedName name="BookRev_com">#REF!</definedName>
    <definedName name="BookRev_mfr">#REF!</definedName>
    <definedName name="BookRev_ro">#REF!</definedName>
    <definedName name="BookRev_rr">#REF!</definedName>
    <definedName name="BookRev_yw">#REF!</definedName>
    <definedName name="BREMAIR_COST_of_SERVICE_STUDY">#REF!</definedName>
    <definedName name="Brokerage">#REF!</definedName>
    <definedName name="BUD_CUR">#REF!</definedName>
    <definedName name="BUD_YTD">#REF!</definedName>
    <definedName name="BUN">#REF!</definedName>
    <definedName name="BusUnitCode">#REF!</definedName>
    <definedName name="BusUnitName">#REF!</definedName>
    <definedName name="BUV">#REF!</definedName>
    <definedName name="Calc">#REF!</definedName>
    <definedName name="Calc0">#REF!</definedName>
    <definedName name="Calc1">#REF!</definedName>
    <definedName name="Calc10">#REF!</definedName>
    <definedName name="Calc11">#REF!</definedName>
    <definedName name="Calc12">#REF!</definedName>
    <definedName name="Calc13">#REF!</definedName>
    <definedName name="Calc14">#REF!</definedName>
    <definedName name="Calc15">#REF!</definedName>
    <definedName name="Calc16">#REF!</definedName>
    <definedName name="Calc17">#REF!</definedName>
    <definedName name="Calc18">#REF!</definedName>
    <definedName name="Calc2">#REF!</definedName>
    <definedName name="Calc3">#REF!</definedName>
    <definedName name="Calc4">#REF!</definedName>
    <definedName name="Calc5">#REF!</definedName>
    <definedName name="Calc6">#REF!</definedName>
    <definedName name="Calc7">#REF!</definedName>
    <definedName name="Calc8">#REF!</definedName>
    <definedName name="Calc9">#REF!</definedName>
    <definedName name="CalRecyTons">#REF!</definedName>
    <definedName name="CanCartTons">#REF!</definedName>
    <definedName name="CheckTotals">#REF!</definedName>
    <definedName name="clear">#REF!</definedName>
    <definedName name="CoCanTons">#REF!</definedName>
    <definedName name="CoComYd">#REF!</definedName>
    <definedName name="CoCustCnt">#REF!</definedName>
    <definedName name="colgroup">#REF!</definedName>
    <definedName name="colsegment">#REF!</definedName>
    <definedName name="Comments">#REF!:INDEX(#REF!,SUMPRODUCT(--(#REF!&lt;&gt;"")))</definedName>
    <definedName name="CommlStaffPriceOut">#REF!</definedName>
    <definedName name="CoMultiYd">#REF!</definedName>
    <definedName name="ContainerTons">#REF!</definedName>
    <definedName name="ControlNumber">#REF!</definedName>
    <definedName name="COST_OF_SERVICE_STUDY">#REF!</definedName>
    <definedName name="Coststudy">#REF!</definedName>
    <definedName name="CoXtraYds">#REF!</definedName>
    <definedName name="CR">#REF!</definedName>
    <definedName name="CRCTable">#REF!</definedName>
    <definedName name="CRCTableOLD">#REF!</definedName>
    <definedName name="CriteriaType">#REF!</definedName>
    <definedName name="CtyCanTons">#REF!</definedName>
    <definedName name="CtyComYd">#REF!</definedName>
    <definedName name="CtyCustCnt">#REF!</definedName>
    <definedName name="CtyMultiYd">#REF!</definedName>
    <definedName name="CtyXtraYds">#REF!</definedName>
    <definedName name="CUR">#REF!</definedName>
    <definedName name="Currency">#REF!</definedName>
    <definedName name="CurrentMonth">#REF!</definedName>
    <definedName name="Cutomers">#REF!</definedName>
    <definedName name="CWR">#REF!</definedName>
    <definedName name="CWRS">#REF!</definedName>
    <definedName name="CYear">#REF!</definedName>
    <definedName name="dasd" localSheetId="8">rank</definedName>
    <definedName name="dasd" localSheetId="3">rank</definedName>
    <definedName name="dasd" localSheetId="5">rank</definedName>
    <definedName name="dasd" localSheetId="4">rank</definedName>
    <definedName name="dasd" localSheetId="6">rank</definedName>
    <definedName name="dasd" localSheetId="9">rank</definedName>
    <definedName name="dasd" localSheetId="7">rank</definedName>
    <definedName name="dasd">rank</definedName>
    <definedName name="Data_End_Test">#REF!</definedName>
    <definedName name="Data_Start_Test">#REF!</definedName>
    <definedName name="_xlnm.Database">#REF!</definedName>
    <definedName name="Database_MI">#REF!</definedName>
    <definedName name="Database1">#REF!</definedName>
    <definedName name="Database2">#REF!</definedName>
    <definedName name="DateFrom">#REF!</definedName>
    <definedName name="DateRange">#REF!</definedName>
    <definedName name="DateTo">#REF!</definedName>
    <definedName name="DAY">#REF!</definedName>
    <definedName name="DBxStaffPriceOut">#REF!</definedName>
    <definedName name="DEBITS">#REF!</definedName>
    <definedName name="Debt_Rate" localSheetId="0">'LG Nonpublic 2018 V5.2a'!$K$27</definedName>
    <definedName name="debtP" localSheetId="0">'LG Nonpublic 2018 V5.2a'!$I$27</definedName>
    <definedName name="debtP">#REF!</definedName>
    <definedName name="DeleteCMReconBook">#REF!</definedName>
    <definedName name="deletion">#REF!</definedName>
    <definedName name="DEPT">#REF!</definedName>
    <definedName name="Detail">#REF!</definedName>
    <definedName name="DetailBudYear">#REF!</definedName>
    <definedName name="DetailDistrict">#REF!</definedName>
    <definedName name="DispRates">#REF!</definedName>
    <definedName name="Dist">#REF!</definedName>
    <definedName name="District">#REF!</definedName>
    <definedName name="District_1">#REF!</definedName>
    <definedName name="DistrictName">#REF!</definedName>
    <definedName name="DistrictNum">#REF!</definedName>
    <definedName name="Districts">#REF!</definedName>
    <definedName name="DistrictSelection">#REF!</definedName>
    <definedName name="DistStaffSignOffStatus">#REF!</definedName>
    <definedName name="DivisionSignOffReq">#REF!</definedName>
    <definedName name="DivSignOffStatus">#REF!</definedName>
    <definedName name="dOG">#REF!</definedName>
    <definedName name="drlFilter">#REF!</definedName>
    <definedName name="End">#REF!</definedName>
    <definedName name="EndTime">#REF!</definedName>
    <definedName name="EntrieShownLimit">#REF!</definedName>
    <definedName name="Equity_percent" localSheetId="0">'LG Nonpublic 2018 V5.2a'!$S$58</definedName>
    <definedName name="equityP" localSheetId="0">'LG Nonpublic 2018 V5.2a'!$I$26</definedName>
    <definedName name="ewfw32a" localSheetId="8" hidden="1">{#N/A,#N/A,TRUE,"SUMM";#N/A,#N/A,TRUE,"Rev";#N/A,#N/A,TRUE,"Dir_Costs";#N/A,#N/A,TRUE,"G and A Costs";#N/A,#N/A,TRUE,"Itemize";#N/A,#N/A,TRUE,"Cust_Count1";#N/A,#N/A,TRUE,"Cust_Count2";#N/A,#N/A,TRUE,"Rev_Breakdown";#N/A,#N/A,TRUE,"Truck Hours";#N/A,#N/A,TRUE,"Labor Hours";#N/A,#N/A,TRUE,"Container Breakdown";#N/A,#N/A,TRUE,"Cart Breakdown"}</definedName>
    <definedName name="ewfw32a" localSheetId="3" hidden="1">{#N/A,#N/A,TRUE,"SUMM";#N/A,#N/A,TRUE,"Rev";#N/A,#N/A,TRUE,"Dir_Costs";#N/A,#N/A,TRUE,"G and A Costs";#N/A,#N/A,TRUE,"Itemize";#N/A,#N/A,TRUE,"Cust_Count1";#N/A,#N/A,TRUE,"Cust_Count2";#N/A,#N/A,TRUE,"Rev_Breakdown";#N/A,#N/A,TRUE,"Truck Hours";#N/A,#N/A,TRUE,"Labor Hours";#N/A,#N/A,TRUE,"Container Breakdown";#N/A,#N/A,TRUE,"Cart Breakdown"}</definedName>
    <definedName name="ewfw32a" localSheetId="5" hidden="1">{#N/A,#N/A,TRUE,"SUMM";#N/A,#N/A,TRUE,"Rev";#N/A,#N/A,TRUE,"Dir_Costs";#N/A,#N/A,TRUE,"G and A Costs";#N/A,#N/A,TRUE,"Itemize";#N/A,#N/A,TRUE,"Cust_Count1";#N/A,#N/A,TRUE,"Cust_Count2";#N/A,#N/A,TRUE,"Rev_Breakdown";#N/A,#N/A,TRUE,"Truck Hours";#N/A,#N/A,TRUE,"Labor Hours";#N/A,#N/A,TRUE,"Container Breakdown";#N/A,#N/A,TRUE,"Cart Breakdown"}</definedName>
    <definedName name="ewfw32a" localSheetId="4" hidden="1">{#N/A,#N/A,TRUE,"SUMM";#N/A,#N/A,TRUE,"Rev";#N/A,#N/A,TRUE,"Dir_Costs";#N/A,#N/A,TRUE,"G and A Costs";#N/A,#N/A,TRUE,"Itemize";#N/A,#N/A,TRUE,"Cust_Count1";#N/A,#N/A,TRUE,"Cust_Count2";#N/A,#N/A,TRUE,"Rev_Breakdown";#N/A,#N/A,TRUE,"Truck Hours";#N/A,#N/A,TRUE,"Labor Hours";#N/A,#N/A,TRUE,"Container Breakdown";#N/A,#N/A,TRUE,"Cart Breakdown"}</definedName>
    <definedName name="ewfw32a" localSheetId="6" hidden="1">{#N/A,#N/A,TRUE,"SUMM";#N/A,#N/A,TRUE,"Rev";#N/A,#N/A,TRUE,"Dir_Costs";#N/A,#N/A,TRUE,"G and A Costs";#N/A,#N/A,TRUE,"Itemize";#N/A,#N/A,TRUE,"Cust_Count1";#N/A,#N/A,TRUE,"Cust_Count2";#N/A,#N/A,TRUE,"Rev_Breakdown";#N/A,#N/A,TRUE,"Truck Hours";#N/A,#N/A,TRUE,"Labor Hours";#N/A,#N/A,TRUE,"Container Breakdown";#N/A,#N/A,TRUE,"Cart Breakdown"}</definedName>
    <definedName name="ewfw32a" localSheetId="9" hidden="1">{#N/A,#N/A,TRUE,"SUMM";#N/A,#N/A,TRUE,"Rev";#N/A,#N/A,TRUE,"Dir_Costs";#N/A,#N/A,TRUE,"G and A Costs";#N/A,#N/A,TRUE,"Itemize";#N/A,#N/A,TRUE,"Cust_Count1";#N/A,#N/A,TRUE,"Cust_Count2";#N/A,#N/A,TRUE,"Rev_Breakdown";#N/A,#N/A,TRUE,"Truck Hours";#N/A,#N/A,TRUE,"Labor Hours";#N/A,#N/A,TRUE,"Container Breakdown";#N/A,#N/A,TRUE,"Cart Breakdown"}</definedName>
    <definedName name="ewfw32a" localSheetId="7" hidden="1">{#N/A,#N/A,TRUE,"SUMM";#N/A,#N/A,TRUE,"Rev";#N/A,#N/A,TRUE,"Dir_Costs";#N/A,#N/A,TRUE,"G and A Costs";#N/A,#N/A,TRUE,"Itemize";#N/A,#N/A,TRUE,"Cust_Count1";#N/A,#N/A,TRUE,"Cust_Count2";#N/A,#N/A,TRUE,"Rev_Breakdown";#N/A,#N/A,TRUE,"Truck Hours";#N/A,#N/A,TRUE,"Labor Hours";#N/A,#N/A,TRUE,"Container Breakdown";#N/A,#N/A,TRUE,"Cart Breakdown"}</definedName>
    <definedName name="ewfw32a" hidden="1">{#N/A,#N/A,TRUE,"SUMM";#N/A,#N/A,TRUE,"Rev";#N/A,#N/A,TRUE,"Dir_Costs";#N/A,#N/A,TRUE,"G and A Costs";#N/A,#N/A,TRUE,"Itemize";#N/A,#N/A,TRUE,"Cust_Count1";#N/A,#N/A,TRUE,"Cust_Count2";#N/A,#N/A,TRUE,"Rev_Breakdown";#N/A,#N/A,TRUE,"Truck Hours";#N/A,#N/A,TRUE,"Labor Hours";#N/A,#N/A,TRUE,"Container Breakdown";#N/A,#N/A,TRUE,"Cart Breakdown"}</definedName>
    <definedName name="ExcludeIC">#REF!</definedName>
    <definedName name="ExcludeIC_1">#REF!</definedName>
    <definedName name="expenses" localSheetId="0">'LG Nonpublic 2018 V5.2a'!$I$8</definedName>
    <definedName name="expenses">#REF!</definedName>
    <definedName name="ExpensesPF1">#REF!</definedName>
    <definedName name="EXT">#REF!</definedName>
    <definedName name="FBTable">#REF!</definedName>
    <definedName name="FBTableOld">#REF!</definedName>
    <definedName name="fences">#REF!</definedName>
    <definedName name="FICA">#REF!</definedName>
    <definedName name="filter">#REF!</definedName>
    <definedName name="Financial">#REF!</definedName>
    <definedName name="FirstColCriteria">#REF!</definedName>
    <definedName name="FirstHeaderCriteria">#REF!</definedName>
    <definedName name="flag">#REF!</definedName>
    <definedName name="Format_Column">#REF!</definedName>
    <definedName name="formata">#REF!</definedName>
    <definedName name="formatb">#REF!</definedName>
    <definedName name="FromMonth">#REF!</definedName>
    <definedName name="FundsApprPend">#REF!</definedName>
    <definedName name="FundsBudUnbud">#REF!</definedName>
    <definedName name="FY">#REF!</definedName>
    <definedName name="GLMappingStart">#REF!</definedName>
    <definedName name="GLMappingStart1">#REF!</definedName>
    <definedName name="GRETABLE">#REF!</definedName>
    <definedName name="HeaderReturnMessage">#REF!</definedName>
    <definedName name="Heading1">#REF!</definedName>
    <definedName name="IDN">#REF!</definedName>
    <definedName name="IFN">#REF!</definedName>
    <definedName name="Import_Range">#REF!</definedName>
    <definedName name="IncomeStmnt">#REF!</definedName>
    <definedName name="INPUT" localSheetId="2">#REF!</definedName>
    <definedName name="INPUT" localSheetId="8">#REF!</definedName>
    <definedName name="INPUT" localSheetId="3">#REF!</definedName>
    <definedName name="INPUT" localSheetId="1">#REF!</definedName>
    <definedName name="INPUT" localSheetId="5">#REF!</definedName>
    <definedName name="INPUT" localSheetId="4">#REF!</definedName>
    <definedName name="INPUT" localSheetId="6">#REF!</definedName>
    <definedName name="INPUT" localSheetId="0">'LG Nonpublic 2018 V5.2a'!#REF!</definedName>
    <definedName name="INPUT" localSheetId="9">#REF!</definedName>
    <definedName name="INPUT" localSheetId="7">#REF!</definedName>
    <definedName name="INPUT">#REF!</definedName>
    <definedName name="INPUT1">#REF!</definedName>
    <definedName name="INPUTc" localSheetId="2">#REF!</definedName>
    <definedName name="INPUTc" localSheetId="8">#REF!</definedName>
    <definedName name="INPUTc" localSheetId="3">#REF!</definedName>
    <definedName name="INPUTc" localSheetId="5">#REF!</definedName>
    <definedName name="INPUTc" localSheetId="4">#REF!</definedName>
    <definedName name="INPUTc" localSheetId="6">#REF!</definedName>
    <definedName name="INPUTc" localSheetId="9">#REF!</definedName>
    <definedName name="INPUTc" localSheetId="7">#REF!</definedName>
    <definedName name="INPUTc">#REF!</definedName>
    <definedName name="InsertColRange">#REF!</definedName>
    <definedName name="Insurance">#REF!</definedName>
    <definedName name="inter2">#REF!</definedName>
    <definedName name="intercept">#REF!</definedName>
    <definedName name="Investment" localSheetId="0">'LG Nonpublic 2018 V5.2a'!$J$28</definedName>
    <definedName name="Invoice_Star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EDetail">#REF!</definedName>
    <definedName name="JEDetail1">#REF!</definedName>
    <definedName name="JEType">#REF!</definedName>
    <definedName name="JEType1">#REF!</definedName>
    <definedName name="Juris1CanCount">#REF!</definedName>
    <definedName name="Juris1CanTons">#REF!</definedName>
    <definedName name="Juris1ComYd">#REF!</definedName>
    <definedName name="Juris1CustCnt">#REF!</definedName>
    <definedName name="Juris1MultiYd">#REF!</definedName>
    <definedName name="Juris1SeasonalYds">#REF!</definedName>
    <definedName name="Juris1XtraYds">#REF!</definedName>
    <definedName name="Juris2CanCount">#REF!</definedName>
    <definedName name="Juris2CanTons">#REF!</definedName>
    <definedName name="Juris2ComYd">#REF!</definedName>
    <definedName name="Juris2CustCnt">#REF!</definedName>
    <definedName name="Juris2MultiYd">#REF!</definedName>
    <definedName name="Juris2SeasonalYds">#REF!</definedName>
    <definedName name="Juris2XtraYds">#REF!</definedName>
    <definedName name="Juris3CanCount">#REF!</definedName>
    <definedName name="Juris3CanTons">#REF!</definedName>
    <definedName name="Juris3ComYd">#REF!</definedName>
    <definedName name="Juris3CustCnt">#REF!</definedName>
    <definedName name="Juris3MultiYd">#REF!</definedName>
    <definedName name="Juris3SeasonalYds">#REF!</definedName>
    <definedName name="Juris3XtraYds">#REF!</definedName>
    <definedName name="Juris4CanCount">#REF!</definedName>
    <definedName name="Juris4CanTons">#REF!</definedName>
    <definedName name="Juris4ComYd">#REF!</definedName>
    <definedName name="Juris4CustCnt">#REF!</definedName>
    <definedName name="Juris4MultiYd">#REF!</definedName>
    <definedName name="Juris4SeasonalYds">#REF!</definedName>
    <definedName name="Juris4XtraYds">#REF!</definedName>
    <definedName name="Juris5CanCount">#REF!</definedName>
    <definedName name="Juris5CanTons">#REF!</definedName>
    <definedName name="Juris5ComYD">#REF!</definedName>
    <definedName name="Juris5CustCnt">#REF!</definedName>
    <definedName name="Juris5MultiYd">#REF!</definedName>
    <definedName name="Juris5SeasonalYds">#REF!</definedName>
    <definedName name="Juris5XtraYds">#REF!</definedName>
    <definedName name="Jurisdiction_1">#REF!</definedName>
    <definedName name="Jurisdiction_2">#REF!</definedName>
    <definedName name="Jurisdiction_3">#REF!</definedName>
    <definedName name="Jurisdiction_4">#REF!</definedName>
    <definedName name="Jurisdiction_5">#REF!</definedName>
    <definedName name="LAST_ROW">#REF!</definedName>
    <definedName name="LastExecutedFor">#REF!</definedName>
    <definedName name="LastSavedOn">#REF!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evel">#REF!</definedName>
    <definedName name="lllllllllllllllllllll">#REF!</definedName>
    <definedName name="LOB">#REF!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U_Line">#REF!</definedName>
    <definedName name="Lurito">#REF!</definedName>
    <definedName name="LYN">#REF!</definedName>
    <definedName name="MainDataEnd">#REF!</definedName>
    <definedName name="MainDataStart">#REF!</definedName>
    <definedName name="MapKeyStart">#REF!</definedName>
    <definedName name="master_def">#REF!</definedName>
    <definedName name="MATRIX">#REF!</definedName>
    <definedName name="MemoAttachment">#REF!</definedName>
    <definedName name="MetaSet">#REF!</definedName>
    <definedName name="MFStaffPriceOut">#REF!</definedName>
    <definedName name="MILTON">#REF!</definedName>
    <definedName name="MissingAccountList">#REF!</definedName>
    <definedName name="Month">#REF!</definedName>
    <definedName name="MonthList">#REF!</definedName>
    <definedName name="MthValue">#REF!</definedName>
    <definedName name="NarrThreshold_Doll">#REF!</definedName>
    <definedName name="NarrThreshold_Perc">#REF!</definedName>
    <definedName name="New">#REF!</definedName>
    <definedName name="NewAccountCheck">#REF!</definedName>
    <definedName name="NewLob">#REF!</definedName>
    <definedName name="NewOnlyOrg">#N/A</definedName>
    <definedName name="NewSource">#REF!</definedName>
    <definedName name="nn">#REF!</definedName>
    <definedName name="NONRECAP">#REF!</definedName>
    <definedName name="NOTES">#REF!</definedName>
    <definedName name="NR">#REF!</definedName>
    <definedName name="number">#REF!</definedName>
    <definedName name="NvsASD">"V2008-12-31"</definedName>
    <definedName name="NvsAutoDrillOk">"VN"</definedName>
    <definedName name="NvsElapsedTime">0.000729166669771075</definedName>
    <definedName name="NvsEndTime">39896.5868402778</definedName>
    <definedName name="NvsEndTime2">39823.1371643519</definedName>
    <definedName name="NvsEndTime3">39918.4137268519</definedName>
    <definedName name="NvsEndTime4">39825.0263078704</definedName>
    <definedName name="NvsEndTime5">39822.9425347222</definedName>
    <definedName name="NvsInstanceHook" localSheetId="8">rank</definedName>
    <definedName name="NvsInstanceHook" localSheetId="3">rank</definedName>
    <definedName name="NvsInstanceHook" localSheetId="5">rank</definedName>
    <definedName name="NvsInstanceHook" localSheetId="4">rank</definedName>
    <definedName name="NvsInstanceHook" localSheetId="6">rank</definedName>
    <definedName name="NvsInstanceHook" localSheetId="9">rank</definedName>
    <definedName name="NvsInstanceHook" localSheetId="7">rank</definedName>
    <definedName name="NvsInstanceHook">rank</definedName>
    <definedName name="NvsInstanceHook1" localSheetId="8">rank</definedName>
    <definedName name="NvsInstanceHook1" localSheetId="3">rank</definedName>
    <definedName name="NvsInstanceHook1" localSheetId="5">rank</definedName>
    <definedName name="NvsInstanceHook1" localSheetId="4">rank</definedName>
    <definedName name="NvsInstanceHook1" localSheetId="6">rank</definedName>
    <definedName name="NvsInstanceHook1" localSheetId="9">rank</definedName>
    <definedName name="NvsInstanceHook1" localSheetId="7">rank</definedName>
    <definedName name="NvsInstanceHook1">rank</definedName>
    <definedName name="NvsInstLang">"VENG"</definedName>
    <definedName name="NvsInstSpec">"%,FBUSINESS_UNIT,V01815"</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"V01815"</definedName>
    <definedName name="NvsReqBUOnly">"VY"</definedName>
    <definedName name="NvsTransLed">"VN"</definedName>
    <definedName name="NvsTreeASD">"V2008-12-31"</definedName>
    <definedName name="NvsValTbl.ACCOUNT">"GL_ACCOUNT_TBL"</definedName>
    <definedName name="NvsValTbl.ACCOUNT_SUM">"ZGL_SACCT_VW"</definedName>
    <definedName name="NvsValTbl.ASSET_CLASS">"ASSET_CLASS_TBL"</definedName>
    <definedName name="NvsValTbl.BUSINESS_UNIT">"BUS_UNIT_TBL_GL"</definedName>
    <definedName name="NvsValTbl.CURRENCY_CD">"CURRENCY_CD_TBL"</definedName>
    <definedName name="NvsValTbl.DEPTID">"DEPT_TBL"</definedName>
    <definedName name="NvsValTbl.OPERATING_UNIT">"OPER_UNIT_TBL"</definedName>
    <definedName name="NvsValTbl.PRODUCT">"PRODUCT_TBL"</definedName>
    <definedName name="observations">#REF!</definedName>
    <definedName name="OfficerSalary">#N/A</definedName>
    <definedName name="OffsetAcctBil">#REF!</definedName>
    <definedName name="OffsetAcctPmt">#REF!</definedName>
    <definedName name="Operations">#REF!</definedName>
    <definedName name="OPR">#REF!</definedName>
    <definedName name="Org11_13">#N/A</definedName>
    <definedName name="Org7_10">#N/A</definedName>
    <definedName name="ORIG2GALWT_">#REF!</definedName>
    <definedName name="ORIG2OH">#REF!</definedName>
    <definedName name="OthCanTons">#REF!</definedName>
    <definedName name="OthComYd">#REF!</definedName>
    <definedName name="OthCustCnt">#REF!</definedName>
    <definedName name="OthMultiYd">#REF!</definedName>
    <definedName name="OthXtraYds">#REF!</definedName>
    <definedName name="outliercut">#REF!</definedName>
    <definedName name="p">#REF!</definedName>
    <definedName name="PAGE_1">#REF!</definedName>
    <definedName name="Page10">#REF!</definedName>
    <definedName name="Page10a">#REF!</definedName>
    <definedName name="page11">#REF!</definedName>
    <definedName name="page12">#REF!</definedName>
    <definedName name="Page16">#REF!</definedName>
    <definedName name="Page17">#REF!</definedName>
    <definedName name="Page18">#REF!</definedName>
    <definedName name="Page20">#REF!</definedName>
    <definedName name="page7">#REF!</definedName>
    <definedName name="Page7a">#REF!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D">#REF!</definedName>
    <definedName name="pEndPostDate">#REF!</definedName>
    <definedName name="PER">#REF!</definedName>
    <definedName name="Period">#REF!</definedName>
    <definedName name="Pfd_weighted" localSheetId="0">'LG Nonpublic 2018 V5.2a'!$U$57</definedName>
    <definedName name="PFREVB4">#REF!</definedName>
    <definedName name="pMonth">#REF!</definedName>
    <definedName name="pOnlyShowLastTranx">#REF!</definedName>
    <definedName name="Posting">#REF!</definedName>
    <definedName name="POTruckSubTypeLookup">#REF!</definedName>
    <definedName name="ppemeasurement">#REF!</definedName>
    <definedName name="primtbl">#REF!</definedName>
    <definedName name="_xlnm.Print_Area" localSheetId="0">'LG Nonpublic 2018 V5.2a'!$F$2:$N$49</definedName>
    <definedName name="_xlnm.Print_Area">#REF!</definedName>
    <definedName name="Print_Area_MI" localSheetId="2">#REF!</definedName>
    <definedName name="Print_Area_MI" localSheetId="8">#REF!</definedName>
    <definedName name="Print_Area_MI" localSheetId="3">#REF!</definedName>
    <definedName name="Print_Area_MI" localSheetId="1">#REF!</definedName>
    <definedName name="Print_Area_MI" localSheetId="5">#REF!</definedName>
    <definedName name="Print_Area_MI" localSheetId="4">#REF!</definedName>
    <definedName name="Print_Area_MI" localSheetId="6">#REF!</definedName>
    <definedName name="Print_Area_MI" localSheetId="9">#REF!</definedName>
    <definedName name="Print_Area_MI" localSheetId="7">#REF!</definedName>
    <definedName name="Print_Area_MI">#REF!</definedName>
    <definedName name="Print_Area_MIc" localSheetId="2">#REF!</definedName>
    <definedName name="Print_Area_MIc" localSheetId="8">#REF!</definedName>
    <definedName name="Print_Area_MIc" localSheetId="3">#REF!</definedName>
    <definedName name="Print_Area_MIc" localSheetId="5">#REF!</definedName>
    <definedName name="Print_Area_MIc" localSheetId="4">#REF!</definedName>
    <definedName name="Print_Area_MIc" localSheetId="6">#REF!</definedName>
    <definedName name="Print_Area_MIc" localSheetId="9">#REF!</definedName>
    <definedName name="Print_Area_MIc" localSheetId="7">#REF!</definedName>
    <definedName name="Print_Area_MIc">#REF!</definedName>
    <definedName name="Print_Area1">#REF!</definedName>
    <definedName name="Print_Area11">#REF!</definedName>
    <definedName name="Print_Area2">#REF!</definedName>
    <definedName name="Print_Area3">#REF!</definedName>
    <definedName name="Print_Area5">#REF!</definedName>
    <definedName name="Print_Titles_MI">#REF!</definedName>
    <definedName name="Print1">#REF!</definedName>
    <definedName name="Print2">#REF!</definedName>
    <definedName name="Print5">#REF!</definedName>
    <definedName name="Prnit_Range">#REF!</definedName>
    <definedName name="ProRev">#REF!</definedName>
    <definedName name="ProRev_com">#REF!</definedName>
    <definedName name="ProRev_mfr">#REF!</definedName>
    <definedName name="ProRev_ro">#REF!</definedName>
    <definedName name="ProRev_rr">#REF!</definedName>
    <definedName name="ProRev_yw">#REF!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PYear">#REF!</definedName>
    <definedName name="QtrValue">#REF!</definedName>
    <definedName name="Quarter_Budget">#REF!</definedName>
    <definedName name="Quarter_Month">#REF!</definedName>
    <definedName name="range">#REF!</definedName>
    <definedName name="RBU">#REF!</definedName>
    <definedName name="RCW_81.04.080">#N/A</definedName>
    <definedName name="RECAP">#REF!</definedName>
    <definedName name="RECAP2">#REF!</definedName>
    <definedName name="ReconMonth">#REF!</definedName>
    <definedName name="_xlnm.Recorder">#REF!</definedName>
    <definedName name="RecyDisposal">#N/A</definedName>
    <definedName name="Reg_Cust_Billed_Percent">#REF!</definedName>
    <definedName name="Reg_Cust_Percent">#REF!</definedName>
    <definedName name="Reg_Drive_Percent">#REF!</definedName>
    <definedName name="Reg_Haul_Rev_Percent">#REF!</definedName>
    <definedName name="Reg_Lab_Percent">#REF!</definedName>
    <definedName name="Reg_Steel_Cont_Percent">#REF!</definedName>
    <definedName name="regDebt_weighted" localSheetId="0">'LG Nonpublic 2018 V5.2a'!$U$56</definedName>
    <definedName name="RegionSignOffReq">#REF!</definedName>
    <definedName name="RegionSignOffStatus">#REF!</definedName>
    <definedName name="RegulatedIS">#REF!</definedName>
    <definedName name="RelatedSalary">#N/A</definedName>
    <definedName name="report_type">#REF!</definedName>
    <definedName name="Reporting_Jurisdiction">#REF!</definedName>
    <definedName name="ReportNames">#REF!</definedName>
    <definedName name="ReportVersion">#REF!</definedName>
    <definedName name="ReslStaffPriceOut">#REF!</definedName>
    <definedName name="RetainedEarnings">#REF!</definedName>
    <definedName name="RevCust">#REF!</definedName>
    <definedName name="RevCustomer">#REF!</definedName>
    <definedName name="REVDETAIL">#REF!</definedName>
    <definedName name="Revenue" localSheetId="0">'LG Nonpublic 2018 V5.2a'!$I$7</definedName>
    <definedName name="Revenue">#REF!</definedName>
    <definedName name="RevenuePF1">#REF!</definedName>
    <definedName name="REVMAT">#REF!</definedName>
    <definedName name="RID">#REF!</definedName>
    <definedName name="rngBodyText">#REF!</definedName>
    <definedName name="RngBottomRight">#REF!</definedName>
    <definedName name="rngColDelChars">#REF!</definedName>
    <definedName name="rngColumnDelete">#REF!</definedName>
    <definedName name="rngCreateLog">#REF!</definedName>
    <definedName name="rngDeleteColumns">#REF!</definedName>
    <definedName name="rngDeleteRows">#REF!</definedName>
    <definedName name="rngEmail">#REF!</definedName>
    <definedName name="rngFileDir">#REF!</definedName>
    <definedName name="rngFileFormat">#REF!</definedName>
    <definedName name="rngFileName">#REF!</definedName>
    <definedName name="rngFilePassword">#REF!</definedName>
    <definedName name="rngPassword">#REF!</definedName>
    <definedName name="rngPasswordProtect">#REF!</definedName>
    <definedName name="rngPrint">#REF!</definedName>
    <definedName name="rngRetainFormulas">#REF!</definedName>
    <definedName name="rngSaveFile">#REF!</definedName>
    <definedName name="rngSourceTab">#REF!</definedName>
    <definedName name="rngSubjectLine">#REF!</definedName>
    <definedName name="rngTabName">#REF!</definedName>
    <definedName name="rngTopLeft">#REF!</definedName>
    <definedName name="ROCE">#REF!,#REF!</definedName>
    <definedName name="ROW_SUPRESS">#REF!</definedName>
    <definedName name="rowgroup">#REF!</definedName>
    <definedName name="rowsegment">#REF!</definedName>
    <definedName name="RptEmailAddress">#REF!</definedName>
    <definedName name="rtr">#REF!</definedName>
    <definedName name="RTT">#REF!</definedName>
    <definedName name="sale">#REF!</definedName>
    <definedName name="SALES_TAX_RETURN">#REF!</definedName>
    <definedName name="Sbst">#REF!</definedName>
    <definedName name="SCN">#REF!</definedName>
    <definedName name="seffasfasdfsd">#REF!</definedName>
    <definedName name="SEPARATE">#REF!</definedName>
    <definedName name="Separation">#REF!</definedName>
    <definedName name="Sequential_Group">#REF!</definedName>
    <definedName name="Sequential_Segment">#REF!</definedName>
    <definedName name="Sequential_sort">#REF!</definedName>
    <definedName name="Setting_DeprFactor">#REF!</definedName>
    <definedName name="Setting_LFDeplUnitAcct">#REF!</definedName>
    <definedName name="Setting_LFUnitCost">#REF!</definedName>
    <definedName name="Setting_LFUnitCostNY">#REF!</definedName>
    <definedName name="Setting_LFUnitRow">#REF!</definedName>
    <definedName name="SFD">#REF!</definedName>
    <definedName name="SFD_BU">#REF!</definedName>
    <definedName name="SFD_DEPTID">#REF!</definedName>
    <definedName name="SFD_OP">#REF!</definedName>
    <definedName name="SFD_PROD">#REF!</definedName>
    <definedName name="SFD_PROJ">#REF!</definedName>
    <definedName name="sfdbusunit">#REF!</definedName>
    <definedName name="SFV">#REF!</definedName>
    <definedName name="SFV_BU">#REF!</definedName>
    <definedName name="SFV_CUR">#REF!</definedName>
    <definedName name="SFV_CUR1">#REF!</definedName>
    <definedName name="SFV_CUR5">#REF!</definedName>
    <definedName name="SFV_DEPTID">#REF!</definedName>
    <definedName name="SFV_OP">#REF!</definedName>
    <definedName name="SFV_PROD">#REF!</definedName>
    <definedName name="SFV_PROJ">#REF!</definedName>
    <definedName name="SIC_Table">#REF!</definedName>
    <definedName name="sics">#REF!</definedName>
    <definedName name="slope" localSheetId="2">#REF!</definedName>
    <definedName name="slope" localSheetId="8">#REF!</definedName>
    <definedName name="slope" localSheetId="3">#REF!</definedName>
    <definedName name="slope" localSheetId="1">'[1]LG Nonpublic 2018 V5.0'!$X$58</definedName>
    <definedName name="slope" localSheetId="5">#REF!</definedName>
    <definedName name="slope" localSheetId="4">#REF!</definedName>
    <definedName name="slope" localSheetId="6">#REF!</definedName>
    <definedName name="slope" localSheetId="9">#REF!</definedName>
    <definedName name="slope" localSheetId="7">#REF!</definedName>
    <definedName name="slope">'LG Nonpublic 2018 V5.2a'!$Y$58</definedName>
    <definedName name="SLOPE1">#REF!</definedName>
    <definedName name="sort">#REF!</definedName>
    <definedName name="Sort1">#REF!</definedName>
    <definedName name="sortcol">#REF!</definedName>
    <definedName name="Source">#REF!</definedName>
    <definedName name="SPWS_WBID">"115966228744984"</definedName>
    <definedName name="sSRCDate">#REF!</definedName>
    <definedName name="start">#REF!</definedName>
    <definedName name="Stop">#REF!</definedName>
    <definedName name="SubSystem">#REF!</definedName>
    <definedName name="SubSystems">#REF!</definedName>
    <definedName name="SubtypeToTruckType">#REF!</definedName>
    <definedName name="SUMMARY">#REF!</definedName>
    <definedName name="Summary_DistrictName">#REF!</definedName>
    <definedName name="Summary_DistrictNo">#REF!</definedName>
    <definedName name="Supplemental_filter">#REF!</definedName>
    <definedName name="SWDisposal">#N/A</definedName>
    <definedName name="Syst">#REF!</definedName>
    <definedName name="System">#REF!</definedName>
    <definedName name="System_1">#REF!</definedName>
    <definedName name="Systems">#REF!</definedName>
    <definedName name="Table_SIC">#REF!</definedName>
    <definedName name="TargetMonths">#REF!</definedName>
    <definedName name="taxrate" localSheetId="0">'LG Nonpublic 2018 V5.2a'!$J$38</definedName>
    <definedName name="TemplateEnd">#REF!</definedName>
    <definedName name="TemplateStart">#REF!</definedName>
    <definedName name="test">#REF!</definedName>
    <definedName name="TheTable">#REF!</definedName>
    <definedName name="TheTableOLD">#REF!</definedName>
    <definedName name="timeseries">#REF!</definedName>
    <definedName name="Title2">#REF!</definedName>
    <definedName name="ToMonth">#REF!</definedName>
    <definedName name="Tons">#REF!</definedName>
    <definedName name="TOP">#REF!</definedName>
    <definedName name="Total_Comm">#REF!</definedName>
    <definedName name="Total_DB">#REF!</definedName>
    <definedName name="Total_Interest">#REF!</definedName>
    <definedName name="Total_Resi">#REF!</definedName>
    <definedName name="TotalYards">#REF!</definedName>
    <definedName name="TOTCONT">#REF!</definedName>
    <definedName name="TOTCRECCONT">#REF!</definedName>
    <definedName name="TOTCRECCUST">#REF!</definedName>
    <definedName name="TOTCRECDH">#REF!</definedName>
    <definedName name="TOTCRECREV">#REF!</definedName>
    <definedName name="TOTCRECTDEP">#REF!</definedName>
    <definedName name="TOTCRECTH">#REF!</definedName>
    <definedName name="TOTCRECTV">#REF!</definedName>
    <definedName name="TOTCUST">#REF!</definedName>
    <definedName name="TOTDBCONT">#REF!</definedName>
    <definedName name="TOTDBCUST">#REF!</definedName>
    <definedName name="TOTDBDH">#REF!</definedName>
    <definedName name="TOTDBREV">#REF!</definedName>
    <definedName name="TOTDBTDEP">#REF!</definedName>
    <definedName name="TOTDBTH">#REF!</definedName>
    <definedName name="TOTDBTV">#REF!</definedName>
    <definedName name="TOTDEBCONT">#REF!</definedName>
    <definedName name="TOTDEBCUST">#REF!</definedName>
    <definedName name="TOTDEBDH">#REF!</definedName>
    <definedName name="TOTDEBREV">#REF!</definedName>
    <definedName name="TOTDEBTH">#REF!</definedName>
    <definedName name="TOTDH">#REF!</definedName>
    <definedName name="TOTFELCONT">#REF!</definedName>
    <definedName name="TOTFELCUST">#REF!</definedName>
    <definedName name="TOTFELDH">#REF!</definedName>
    <definedName name="TOTFELREV">#REF!</definedName>
    <definedName name="TOTFELTDEP">#REF!</definedName>
    <definedName name="TOTFELTH">#REF!</definedName>
    <definedName name="TOTFELTV">#REF!</definedName>
    <definedName name="TOTRESCONT">#REF!</definedName>
    <definedName name="TOTRESCUST">#REF!</definedName>
    <definedName name="TOTRESDH">#REF!</definedName>
    <definedName name="TOTRESRCONT">#REF!</definedName>
    <definedName name="TOTRESRCUST">#REF!</definedName>
    <definedName name="TOTRESRDH">#REF!</definedName>
    <definedName name="TOTRESREV">#REF!</definedName>
    <definedName name="TOTRESRREV">#REF!</definedName>
    <definedName name="TOTRESRTDEP">#REF!</definedName>
    <definedName name="TOTRESRTH">#REF!</definedName>
    <definedName name="TOTRESRTV">#REF!</definedName>
    <definedName name="TOTRESTDEP">#REF!</definedName>
    <definedName name="TOTRESTH">#REF!</definedName>
    <definedName name="TOTRESTV">#REF!</definedName>
    <definedName name="TOTREV">#REF!</definedName>
    <definedName name="TOTTABLE">#REF!</definedName>
    <definedName name="TOTTDEP">#REF!</definedName>
    <definedName name="TOTTH">#REF!</definedName>
    <definedName name="TOTTV">#REF!</definedName>
    <definedName name="Transactions">#REF!</definedName>
    <definedName name="UnformattedIS">#REF!</definedName>
    <definedName name="UnregulatedIS">#REF!</definedName>
    <definedName name="UserTestMode">#REF!</definedName>
    <definedName name="ValidFormats">#REF!</definedName>
    <definedName name="variable">#REF!</definedName>
    <definedName name="Variables">#REF!</definedName>
    <definedName name="VarianceStatus">#REF!</definedName>
    <definedName name="VarianceTolerance">#REF!</definedName>
    <definedName name="VendorCode">#REF!</definedName>
    <definedName name="Version">#REF!</definedName>
    <definedName name="Waste_Management__Inc.">#REF!</definedName>
    <definedName name="WksInYr">#REF!</definedName>
    <definedName name="WM">#REF!</definedName>
    <definedName name="wrn.PrintReview."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2"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PDXAM" hidden="1">{#N/A,#N/A,TRUE,"SUMM";#N/A,#N/A,TRUE,"Rev";#N/A,#N/A,TRUE,"Dir_Costs";#N/A,#N/A,TRUE,"G and A Costs";#N/A,#N/A,TRUE,"Itemize";#N/A,#N/A,TRUE,"Cust_Count1";#N/A,#N/A,TRUE,"Cust_Count2";#N/A,#N/A,TRUE,"Rev_Breakdown";#N/A,#N/A,TRUE,"Truck Hours";#N/A,#N/A,TRUE,"Labor Hours";#N/A,#N/A,TRUE,"Container Breakdown";#N/A,#N/A,TRUE,"Cart Breakdown"}</definedName>
    <definedName name="wrn.PrnPg1_Pg11." localSheetId="8"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3"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5"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4"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6"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9"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7"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hidden="1">{"Page1",#N/A,TRUE,"SUMM";"Page2",#N/A,TRUE,"Rev";"Page3",#N/A,TRUE,"Dir_Costs";"Page4",#N/A,TRUE,"G and A Costs";"Page5",#N/A,TRUE,"Itemize";"Page6",#N/A,TRUE,"Cust_Count1";"Page7",#N/A,TRUE,"Cust_Count2";"Page8",#N/A,TRUE,"Rev_Breakdown";"Page9",#N/A,TRUE,"Truck Hours";"Page10",#N/A,TRUE,"Labor Hours";"Page11",#N/A,TRUE,"Container Breakdown"}</definedName>
    <definedName name="wrn.test." localSheetId="8" hidden="1">{"Page1",#N/A,TRUE,"SUMM";"Page2",#N/A,TRUE,"Rev";"Page3",#N/A,TRUE,"Dir_Costs"}</definedName>
    <definedName name="wrn.test." localSheetId="3" hidden="1">{"Page1",#N/A,TRUE,"SUMM";"Page2",#N/A,TRUE,"Rev";"Page3",#N/A,TRUE,"Dir_Costs"}</definedName>
    <definedName name="wrn.test." localSheetId="5" hidden="1">{"Page1",#N/A,TRUE,"SUMM";"Page2",#N/A,TRUE,"Rev";"Page3",#N/A,TRUE,"Dir_Costs"}</definedName>
    <definedName name="wrn.test." localSheetId="4" hidden="1">{"Page1",#N/A,TRUE,"SUMM";"Page2",#N/A,TRUE,"Rev";"Page3",#N/A,TRUE,"Dir_Costs"}</definedName>
    <definedName name="wrn.test." localSheetId="6" hidden="1">{"Page1",#N/A,TRUE,"SUMM";"Page2",#N/A,TRUE,"Rev";"Page3",#N/A,TRUE,"Dir_Costs"}</definedName>
    <definedName name="wrn.test." localSheetId="9" hidden="1">{"Page1",#N/A,TRUE,"SUMM";"Page2",#N/A,TRUE,"Rev";"Page3",#N/A,TRUE,"Dir_Costs"}</definedName>
    <definedName name="wrn.test." localSheetId="7" hidden="1">{"Page1",#N/A,TRUE,"SUMM";"Page2",#N/A,TRUE,"Rev";"Page3",#N/A,TRUE,"Dir_Costs"}</definedName>
    <definedName name="wrn.test." hidden="1">{"Page1",#N/A,TRUE,"SUMM";"Page2",#N/A,TRUE,"Rev";"Page3",#N/A,TRUE,"Dir_Costs"}</definedName>
    <definedName name="WTable">#REF!</definedName>
    <definedName name="WTableOld">#REF!</definedName>
    <definedName name="ww">#REF!</definedName>
    <definedName name="x" localSheetId="8">rank</definedName>
    <definedName name="x" localSheetId="3">rank</definedName>
    <definedName name="x" localSheetId="5">rank</definedName>
    <definedName name="x" localSheetId="4">rank</definedName>
    <definedName name="x" localSheetId="6">rank</definedName>
    <definedName name="x" localSheetId="9">rank</definedName>
    <definedName name="x" localSheetId="7">rank</definedName>
    <definedName name="x">rank</definedName>
    <definedName name="xperiod">#REF!</definedName>
    <definedName name="xtabin">#REF!</definedName>
    <definedName name="xx">#REF!</definedName>
    <definedName name="xxx">#REF!</definedName>
    <definedName name="xxxx">#REF!</definedName>
    <definedName name="y_inter1" localSheetId="2">#REF!</definedName>
    <definedName name="y_inter1" localSheetId="8">#REF!</definedName>
    <definedName name="y_inter1" localSheetId="3">#REF!</definedName>
    <definedName name="y_inter1" localSheetId="1">'[1]LG Nonpublic 2018 V5.0'!$W$55</definedName>
    <definedName name="y_inter1" localSheetId="5">#REF!</definedName>
    <definedName name="y_inter1" localSheetId="4">#REF!</definedName>
    <definedName name="y_inter1" localSheetId="6">#REF!</definedName>
    <definedName name="y_inter1" localSheetId="9">#REF!</definedName>
    <definedName name="y_inter1" localSheetId="7">#REF!</definedName>
    <definedName name="y_inter1">'LG Nonpublic 2018 V5.2a'!$X$55</definedName>
    <definedName name="y_inter2" localSheetId="2">#REF!</definedName>
    <definedName name="y_inter2" localSheetId="8">#REF!</definedName>
    <definedName name="y_inter2" localSheetId="3">#REF!</definedName>
    <definedName name="y_inter2" localSheetId="1">'[1]LG Nonpublic 2018 V5.0'!$W$56</definedName>
    <definedName name="y_inter2" localSheetId="5">#REF!</definedName>
    <definedName name="y_inter2" localSheetId="4">#REF!</definedName>
    <definedName name="y_inter2" localSheetId="6">#REF!</definedName>
    <definedName name="y_inter2" localSheetId="9">#REF!</definedName>
    <definedName name="y_inter2" localSheetId="7">#REF!</definedName>
    <definedName name="y_inter2">'LG Nonpublic 2018 V5.2a'!$X$56</definedName>
    <definedName name="y_inter3" localSheetId="2">#REF!</definedName>
    <definedName name="y_inter3" localSheetId="8">#REF!</definedName>
    <definedName name="y_inter3" localSheetId="3">#REF!</definedName>
    <definedName name="y_inter3" localSheetId="1">'[1]LG Nonpublic 2018 V5.0'!$Y$55</definedName>
    <definedName name="y_inter3" localSheetId="5">#REF!</definedName>
    <definedName name="y_inter3" localSheetId="4">#REF!</definedName>
    <definedName name="y_inter3" localSheetId="6">#REF!</definedName>
    <definedName name="y_inter3" localSheetId="9">#REF!</definedName>
    <definedName name="y_inter3" localSheetId="7">#REF!</definedName>
    <definedName name="y_inter3">'LG Nonpublic 2018 V5.2a'!$Z$55</definedName>
    <definedName name="y_inter4" localSheetId="2">#REF!</definedName>
    <definedName name="y_inter4" localSheetId="8">#REF!</definedName>
    <definedName name="y_inter4" localSheetId="3">#REF!</definedName>
    <definedName name="y_inter4" localSheetId="1">'[1]LG Nonpublic 2018 V5.0'!$Y$56</definedName>
    <definedName name="y_inter4" localSheetId="5">#REF!</definedName>
    <definedName name="y_inter4" localSheetId="4">#REF!</definedName>
    <definedName name="y_inter4" localSheetId="6">#REF!</definedName>
    <definedName name="y_inter4" localSheetId="9">#REF!</definedName>
    <definedName name="y_inter4" localSheetId="7">#REF!</definedName>
    <definedName name="y_inter4">'LG Nonpublic 2018 V5.2a'!$Z$56</definedName>
    <definedName name="Year">#REF!</definedName>
    <definedName name="Year_of_Review">#REF!</definedName>
    <definedName name="YEAR4">#REF!</definedName>
    <definedName name="YearMonth">#REF!</definedName>
    <definedName name="YearMonth_1">#REF!</definedName>
    <definedName name="YearMonthDate">#REF!</definedName>
    <definedName name="YearMonthDate2">#REF!</definedName>
    <definedName name="YearMonthDate3">#REF!</definedName>
    <definedName name="YearMonthDate4">#REF!</definedName>
    <definedName name="YearMonthDate5">#REF!</definedName>
    <definedName name="years">#REF!</definedName>
    <definedName name="yrCur">#REF!</definedName>
    <definedName name="yrNext">#REF!</definedName>
    <definedName name="YWMedWasteDisp">#N/A</definedName>
    <definedName name="yy">#REF!</definedName>
    <definedName name="Zero_Format">#REF!</definedName>
  </definedNames>
  <calcPr calcId="191029" iterate="1" iterateCount="2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1" l="1"/>
  <c r="B46" i="10"/>
  <c r="B42" i="10"/>
  <c r="B41" i="10"/>
  <c r="B15" i="10"/>
  <c r="B16" i="10"/>
  <c r="B17" i="10"/>
  <c r="B18" i="10"/>
  <c r="B19" i="10"/>
  <c r="B20" i="10"/>
  <c r="B21" i="10"/>
  <c r="B22" i="10"/>
  <c r="B23" i="10"/>
  <c r="B24" i="10"/>
  <c r="B25" i="10"/>
  <c r="B26" i="10"/>
  <c r="B27" i="10"/>
  <c r="B28" i="10"/>
  <c r="B29" i="10"/>
  <c r="B30" i="10"/>
  <c r="B31" i="10"/>
  <c r="B32" i="10"/>
  <c r="B33" i="10"/>
  <c r="B34" i="10"/>
  <c r="B35" i="10"/>
  <c r="B36" i="10"/>
  <c r="B37" i="10"/>
  <c r="B38" i="10"/>
  <c r="B14" i="10"/>
  <c r="B8" i="10"/>
  <c r="B9" i="10"/>
  <c r="B10" i="10"/>
  <c r="B11" i="10"/>
  <c r="B7" i="10"/>
  <c r="R47" i="5"/>
  <c r="R48" i="5"/>
  <c r="R21" i="5"/>
  <c r="R25" i="5"/>
  <c r="R26" i="5"/>
  <c r="R18" i="5"/>
  <c r="R12" i="5"/>
  <c r="R13" i="5"/>
  <c r="R14" i="5"/>
  <c r="R15" i="5"/>
  <c r="Q46" i="5"/>
  <c r="P46" i="5"/>
  <c r="R46" i="5" s="1"/>
  <c r="C9" i="1"/>
  <c r="C8" i="1"/>
  <c r="M42" i="10"/>
  <c r="L46" i="5"/>
  <c r="L49" i="5" s="1"/>
  <c r="M46" i="5"/>
  <c r="K46" i="5"/>
  <c r="K49" i="5" s="1"/>
  <c r="J46" i="5"/>
  <c r="H46" i="5"/>
  <c r="H49" i="5" s="1"/>
  <c r="I46" i="5"/>
  <c r="I49" i="5" s="1"/>
  <c r="C46" i="5"/>
  <c r="D46" i="5"/>
  <c r="D49" i="5" s="1"/>
  <c r="E46" i="5"/>
  <c r="E49" i="5" s="1"/>
  <c r="F46" i="5"/>
  <c r="F49" i="5" s="1"/>
  <c r="G46" i="5"/>
  <c r="B46" i="5"/>
  <c r="B49" i="5" s="1"/>
  <c r="G49" i="5"/>
  <c r="B17" i="13"/>
  <c r="D17" i="13" s="1"/>
  <c r="P58" i="11"/>
  <c r="P59" i="11"/>
  <c r="P60" i="11"/>
  <c r="P63" i="11"/>
  <c r="N12" i="11"/>
  <c r="P12" i="11" s="1"/>
  <c r="N13" i="11"/>
  <c r="P13" i="11" s="1"/>
  <c r="N14" i="11"/>
  <c r="P14" i="11" s="1"/>
  <c r="N15" i="11"/>
  <c r="P15" i="11" s="1"/>
  <c r="N16" i="11"/>
  <c r="P16" i="11" s="1"/>
  <c r="N17" i="11"/>
  <c r="P17" i="11" s="1"/>
  <c r="N18" i="11"/>
  <c r="P18" i="11" s="1"/>
  <c r="N19" i="11"/>
  <c r="N20" i="11"/>
  <c r="P20" i="11" s="1"/>
  <c r="N21" i="11"/>
  <c r="P21" i="11" s="1"/>
  <c r="N22" i="11"/>
  <c r="P22" i="11" s="1"/>
  <c r="N23" i="11"/>
  <c r="P23" i="11" s="1"/>
  <c r="N24" i="11"/>
  <c r="P24" i="11" s="1"/>
  <c r="N25" i="11"/>
  <c r="P25" i="11" s="1"/>
  <c r="N26" i="11"/>
  <c r="P26" i="11" s="1"/>
  <c r="N27" i="11"/>
  <c r="P27" i="11" s="1"/>
  <c r="N28" i="11"/>
  <c r="P28" i="11" s="1"/>
  <c r="N29" i="11"/>
  <c r="N30" i="11"/>
  <c r="P30" i="11" s="1"/>
  <c r="N31" i="11"/>
  <c r="N32" i="11"/>
  <c r="P32" i="11" s="1"/>
  <c r="N33" i="11"/>
  <c r="N34" i="11"/>
  <c r="N35" i="11"/>
  <c r="P35" i="11" s="1"/>
  <c r="N36" i="11"/>
  <c r="P36" i="11" s="1"/>
  <c r="N37" i="11"/>
  <c r="P37" i="11" s="1"/>
  <c r="N38" i="11"/>
  <c r="P38" i="11" s="1"/>
  <c r="N39" i="11"/>
  <c r="P39" i="11" s="1"/>
  <c r="N40" i="11"/>
  <c r="P40" i="11" s="1"/>
  <c r="N41" i="11"/>
  <c r="P41" i="11" s="1"/>
  <c r="N42" i="11"/>
  <c r="P42" i="11" s="1"/>
  <c r="N43" i="11"/>
  <c r="P43" i="11" s="1"/>
  <c r="N44" i="11"/>
  <c r="P44" i="11" s="1"/>
  <c r="N45" i="11"/>
  <c r="N46" i="11"/>
  <c r="N47" i="11"/>
  <c r="P47" i="11" s="1"/>
  <c r="N48" i="11"/>
  <c r="P48" i="11" s="1"/>
  <c r="N49" i="11"/>
  <c r="P49" i="11" s="1"/>
  <c r="N50" i="11"/>
  <c r="N51" i="11"/>
  <c r="P51" i="11" s="1"/>
  <c r="N52" i="11"/>
  <c r="P52" i="11" s="1"/>
  <c r="N53" i="11"/>
  <c r="P53" i="11" s="1"/>
  <c r="N54" i="11"/>
  <c r="P54" i="11" s="1"/>
  <c r="N55" i="11"/>
  <c r="N56" i="11"/>
  <c r="P56" i="11" s="1"/>
  <c r="N57" i="11"/>
  <c r="P57" i="11" s="1"/>
  <c r="N58" i="11"/>
  <c r="N59" i="11"/>
  <c r="N60" i="11"/>
  <c r="N61" i="11"/>
  <c r="P61" i="11" s="1"/>
  <c r="N62" i="11"/>
  <c r="P62" i="11" s="1"/>
  <c r="N63" i="11"/>
  <c r="P12" i="13"/>
  <c r="F68" i="11"/>
  <c r="F66" i="11"/>
  <c r="M63" i="11"/>
  <c r="L63" i="11"/>
  <c r="J63" i="11"/>
  <c r="I63" i="11"/>
  <c r="O63" i="11" s="1"/>
  <c r="M62" i="11"/>
  <c r="L62" i="11"/>
  <c r="J62" i="11"/>
  <c r="I62" i="11"/>
  <c r="M61" i="11"/>
  <c r="L61" i="11"/>
  <c r="J61" i="11"/>
  <c r="I61" i="11"/>
  <c r="M60" i="11"/>
  <c r="L60" i="11"/>
  <c r="J60" i="11"/>
  <c r="I60" i="11"/>
  <c r="O60" i="11" s="1"/>
  <c r="M59" i="11"/>
  <c r="L59" i="11"/>
  <c r="J59" i="11"/>
  <c r="I59" i="11"/>
  <c r="O59" i="11" s="1"/>
  <c r="M58" i="11"/>
  <c r="L58" i="11"/>
  <c r="J58" i="11"/>
  <c r="I58" i="11"/>
  <c r="O58" i="11" s="1"/>
  <c r="M57" i="11"/>
  <c r="L57" i="11"/>
  <c r="J57" i="11"/>
  <c r="I57" i="11"/>
  <c r="M56" i="11"/>
  <c r="L56" i="11"/>
  <c r="J56" i="11"/>
  <c r="I56" i="11"/>
  <c r="M55" i="11"/>
  <c r="L55" i="11"/>
  <c r="J55" i="11"/>
  <c r="I55" i="11"/>
  <c r="M54" i="11"/>
  <c r="L54" i="11"/>
  <c r="J54" i="11"/>
  <c r="I54" i="11"/>
  <c r="M53" i="11"/>
  <c r="L53" i="11"/>
  <c r="J53" i="11"/>
  <c r="I53" i="11"/>
  <c r="M52" i="11"/>
  <c r="L52" i="11"/>
  <c r="J52" i="11"/>
  <c r="I52" i="11"/>
  <c r="M51" i="11"/>
  <c r="L51" i="11"/>
  <c r="J51" i="11"/>
  <c r="R51" i="11" s="1"/>
  <c r="I51" i="11"/>
  <c r="M50" i="11"/>
  <c r="L50" i="11"/>
  <c r="J50" i="11"/>
  <c r="I50" i="11"/>
  <c r="M49" i="11"/>
  <c r="L49" i="11"/>
  <c r="J49" i="11"/>
  <c r="I49" i="11"/>
  <c r="M48" i="11"/>
  <c r="L48" i="11"/>
  <c r="J48" i="11"/>
  <c r="I48" i="11"/>
  <c r="M47" i="11"/>
  <c r="L47" i="11"/>
  <c r="J47" i="11"/>
  <c r="I47" i="11"/>
  <c r="M46" i="11"/>
  <c r="L46" i="11"/>
  <c r="J46" i="11"/>
  <c r="I46" i="11"/>
  <c r="M45" i="11"/>
  <c r="L45" i="11"/>
  <c r="J45" i="11"/>
  <c r="I45" i="11"/>
  <c r="M44" i="11"/>
  <c r="L44" i="11"/>
  <c r="J44" i="11"/>
  <c r="I44" i="11"/>
  <c r="M43" i="11"/>
  <c r="L43" i="11"/>
  <c r="J43" i="11"/>
  <c r="I43" i="11"/>
  <c r="M42" i="11"/>
  <c r="L42" i="11"/>
  <c r="J42" i="11"/>
  <c r="I42" i="11"/>
  <c r="M41" i="11"/>
  <c r="L41" i="11"/>
  <c r="J41" i="11"/>
  <c r="I41" i="11"/>
  <c r="M40" i="11"/>
  <c r="L40" i="11"/>
  <c r="J40" i="11"/>
  <c r="I40" i="11"/>
  <c r="M39" i="11"/>
  <c r="L39" i="11"/>
  <c r="J39" i="11"/>
  <c r="I39" i="11"/>
  <c r="O39" i="11" s="1"/>
  <c r="M38" i="11"/>
  <c r="L38" i="11"/>
  <c r="J38" i="11"/>
  <c r="I38" i="11"/>
  <c r="M37" i="11"/>
  <c r="L37" i="11"/>
  <c r="J37" i="11"/>
  <c r="I37" i="11"/>
  <c r="M36" i="11"/>
  <c r="L36" i="11"/>
  <c r="J36" i="11"/>
  <c r="I36" i="11"/>
  <c r="O36" i="11" s="1"/>
  <c r="M35" i="11"/>
  <c r="L35" i="11"/>
  <c r="J35" i="11"/>
  <c r="I35" i="11"/>
  <c r="M34" i="11"/>
  <c r="L34" i="11"/>
  <c r="J34" i="11"/>
  <c r="I34" i="11"/>
  <c r="M33" i="11"/>
  <c r="L33" i="11"/>
  <c r="J33" i="11"/>
  <c r="I33" i="11"/>
  <c r="M32" i="11"/>
  <c r="L32" i="11"/>
  <c r="J32" i="11"/>
  <c r="I32" i="11"/>
  <c r="M31" i="11"/>
  <c r="L31" i="11"/>
  <c r="J31" i="11"/>
  <c r="I31" i="11"/>
  <c r="M30" i="11"/>
  <c r="L30" i="11"/>
  <c r="J30" i="11"/>
  <c r="I30" i="11"/>
  <c r="M29" i="11"/>
  <c r="L29" i="11"/>
  <c r="J29" i="11"/>
  <c r="I29" i="11"/>
  <c r="M28" i="11"/>
  <c r="L28" i="11"/>
  <c r="J28" i="11"/>
  <c r="I28" i="11"/>
  <c r="M27" i="11"/>
  <c r="L27" i="11"/>
  <c r="J27" i="11"/>
  <c r="I27" i="11"/>
  <c r="O27" i="11" s="1"/>
  <c r="M26" i="11"/>
  <c r="L26" i="11"/>
  <c r="J26" i="11"/>
  <c r="I26" i="11"/>
  <c r="M25" i="11"/>
  <c r="L25" i="11"/>
  <c r="J25" i="11"/>
  <c r="I25" i="11"/>
  <c r="M24" i="11"/>
  <c r="L24" i="11"/>
  <c r="J24" i="11"/>
  <c r="I24" i="11"/>
  <c r="O24" i="11" s="1"/>
  <c r="M23" i="11"/>
  <c r="L23" i="11"/>
  <c r="J23" i="11"/>
  <c r="I23" i="11"/>
  <c r="M22" i="11"/>
  <c r="L22" i="11"/>
  <c r="J22" i="11"/>
  <c r="I22" i="11"/>
  <c r="M21" i="11"/>
  <c r="L21" i="11"/>
  <c r="J21" i="11"/>
  <c r="I21" i="11"/>
  <c r="M20" i="11"/>
  <c r="L20" i="11"/>
  <c r="J20" i="11"/>
  <c r="I20" i="11"/>
  <c r="M19" i="11"/>
  <c r="L19" i="11"/>
  <c r="J19" i="11"/>
  <c r="I19" i="11"/>
  <c r="M18" i="11"/>
  <c r="L18" i="11"/>
  <c r="J18" i="11"/>
  <c r="I18" i="11"/>
  <c r="M17" i="11"/>
  <c r="L17" i="11"/>
  <c r="J17" i="11"/>
  <c r="I17" i="11"/>
  <c r="M16" i="11"/>
  <c r="L16" i="11"/>
  <c r="J16" i="11"/>
  <c r="I16" i="11"/>
  <c r="M15" i="11"/>
  <c r="L15" i="11"/>
  <c r="J15" i="11"/>
  <c r="I15" i="11"/>
  <c r="O15" i="11" s="1"/>
  <c r="M14" i="11"/>
  <c r="L14" i="11"/>
  <c r="J14" i="11"/>
  <c r="I14" i="11"/>
  <c r="M13" i="11"/>
  <c r="L13" i="11"/>
  <c r="J13" i="11"/>
  <c r="I13" i="11"/>
  <c r="M12" i="11"/>
  <c r="L12" i="11"/>
  <c r="J12" i="11"/>
  <c r="I12" i="11"/>
  <c r="M11" i="11"/>
  <c r="L11" i="11"/>
  <c r="J11" i="11"/>
  <c r="I11" i="11"/>
  <c r="S46" i="10"/>
  <c r="J46" i="10"/>
  <c r="S44" i="10"/>
  <c r="J44" i="10"/>
  <c r="S42" i="10"/>
  <c r="J42" i="10"/>
  <c r="S41" i="10"/>
  <c r="J41" i="10"/>
  <c r="S39" i="10"/>
  <c r="J39" i="10"/>
  <c r="S38" i="10"/>
  <c r="J38" i="10"/>
  <c r="S37" i="10"/>
  <c r="J37" i="10"/>
  <c r="S36" i="10"/>
  <c r="J36" i="10"/>
  <c r="S35" i="10"/>
  <c r="J35" i="10"/>
  <c r="S34" i="10"/>
  <c r="J34" i="10"/>
  <c r="S33" i="10"/>
  <c r="J33" i="10"/>
  <c r="S32" i="10"/>
  <c r="J32" i="10"/>
  <c r="S31" i="10"/>
  <c r="J31" i="10"/>
  <c r="S30" i="10"/>
  <c r="J30" i="10"/>
  <c r="S29" i="10"/>
  <c r="J29" i="10"/>
  <c r="S28" i="10"/>
  <c r="J28" i="10"/>
  <c r="S27" i="10"/>
  <c r="J27" i="10"/>
  <c r="S26" i="10"/>
  <c r="J26" i="10"/>
  <c r="S25" i="10"/>
  <c r="J25" i="10"/>
  <c r="S24" i="10"/>
  <c r="J24" i="10"/>
  <c r="S23" i="10"/>
  <c r="J23" i="10"/>
  <c r="S22" i="10"/>
  <c r="J22" i="10"/>
  <c r="S21" i="10"/>
  <c r="J21" i="10"/>
  <c r="J20" i="10"/>
  <c r="S19" i="10"/>
  <c r="J19" i="10"/>
  <c r="S18" i="10"/>
  <c r="J18" i="10"/>
  <c r="S17" i="10"/>
  <c r="J17" i="10"/>
  <c r="S16" i="10"/>
  <c r="J16" i="10"/>
  <c r="S15" i="10"/>
  <c r="J15" i="10"/>
  <c r="S12" i="10"/>
  <c r="J12" i="10"/>
  <c r="S8" i="10"/>
  <c r="J8" i="10"/>
  <c r="S7" i="10"/>
  <c r="J7" i="10"/>
  <c r="D20" i="8"/>
  <c r="F24" i="7"/>
  <c r="E24" i="7"/>
  <c r="D24" i="7"/>
  <c r="G24" i="7" s="1"/>
  <c r="D27" i="7" s="1"/>
  <c r="K16" i="7"/>
  <c r="J16" i="7"/>
  <c r="G15" i="7"/>
  <c r="H15" i="7" s="1"/>
  <c r="I15" i="7" s="1"/>
  <c r="M15" i="7" s="1"/>
  <c r="O15" i="7" s="1"/>
  <c r="D15" i="7"/>
  <c r="R9" i="7" s="1"/>
  <c r="T14" i="7"/>
  <c r="H14" i="7"/>
  <c r="I14" i="7" s="1"/>
  <c r="M14" i="7" s="1"/>
  <c r="O14" i="7" s="1"/>
  <c r="T13" i="7"/>
  <c r="V13" i="7" s="1"/>
  <c r="I13" i="7"/>
  <c r="M13" i="7" s="1"/>
  <c r="O13" i="7" s="1"/>
  <c r="H13" i="7"/>
  <c r="T12" i="7"/>
  <c r="H12" i="7"/>
  <c r="I12" i="7" s="1"/>
  <c r="M12" i="7" s="1"/>
  <c r="O12" i="7" s="1"/>
  <c r="T11" i="7"/>
  <c r="R11" i="7"/>
  <c r="H11" i="7"/>
  <c r="I11" i="7" s="1"/>
  <c r="M11" i="7" s="1"/>
  <c r="O11" i="7" s="1"/>
  <c r="T10" i="7"/>
  <c r="H10" i="7"/>
  <c r="I10" i="7" s="1"/>
  <c r="M10" i="7" s="1"/>
  <c r="O10" i="7" s="1"/>
  <c r="T9" i="7"/>
  <c r="T16" i="7" s="1"/>
  <c r="M9" i="7"/>
  <c r="O9" i="7" s="1"/>
  <c r="L9" i="7"/>
  <c r="L16" i="7" s="1"/>
  <c r="T8" i="7"/>
  <c r="V8" i="7" s="1"/>
  <c r="H8" i="7"/>
  <c r="I8" i="7" s="1"/>
  <c r="M8" i="7" s="1"/>
  <c r="R51" i="5"/>
  <c r="N51" i="5"/>
  <c r="S51" i="5" s="1"/>
  <c r="C49" i="5"/>
  <c r="N48" i="5"/>
  <c r="S48" i="5" s="1"/>
  <c r="N47" i="5"/>
  <c r="S47" i="5" s="1"/>
  <c r="M49" i="5"/>
  <c r="J49" i="5"/>
  <c r="N45" i="5"/>
  <c r="N42" i="5"/>
  <c r="N41" i="5"/>
  <c r="N40" i="5"/>
  <c r="N39" i="5"/>
  <c r="N38" i="5"/>
  <c r="N37" i="5"/>
  <c r="N36" i="5"/>
  <c r="N35" i="5"/>
  <c r="N34" i="5"/>
  <c r="N33" i="5"/>
  <c r="N32" i="5"/>
  <c r="N31" i="5"/>
  <c r="N30" i="5"/>
  <c r="N29" i="5"/>
  <c r="N28" i="5"/>
  <c r="N27" i="5"/>
  <c r="N26" i="5"/>
  <c r="S26" i="5" s="1"/>
  <c r="N25" i="5"/>
  <c r="S25" i="5" s="1"/>
  <c r="N23" i="5"/>
  <c r="N22" i="5"/>
  <c r="N21" i="5"/>
  <c r="S21" i="5" s="1"/>
  <c r="N20" i="5"/>
  <c r="N19" i="5"/>
  <c r="N18" i="5"/>
  <c r="P18" i="5" s="1"/>
  <c r="M16" i="5"/>
  <c r="L16" i="5"/>
  <c r="K16" i="5"/>
  <c r="J16" i="5"/>
  <c r="I16" i="5"/>
  <c r="H16" i="5"/>
  <c r="G16" i="5"/>
  <c r="F16" i="5"/>
  <c r="E16" i="5"/>
  <c r="D16" i="5"/>
  <c r="C16" i="5"/>
  <c r="B16" i="5"/>
  <c r="N15" i="5"/>
  <c r="S15" i="5" s="1"/>
  <c r="N14" i="5"/>
  <c r="S14" i="5" s="1"/>
  <c r="N13" i="5"/>
  <c r="S13" i="5" s="1"/>
  <c r="N12" i="5"/>
  <c r="N11" i="5"/>
  <c r="P11" i="5" s="1"/>
  <c r="R11" i="5" s="1"/>
  <c r="R7" i="5"/>
  <c r="R6" i="5"/>
  <c r="R5" i="5"/>
  <c r="R4" i="5"/>
  <c r="R3" i="5"/>
  <c r="D43" i="4"/>
  <c r="E31" i="4"/>
  <c r="E27" i="4"/>
  <c r="E24" i="4"/>
  <c r="E28" i="4" s="1"/>
  <c r="D13" i="4"/>
  <c r="E16" i="4" s="1"/>
  <c r="F17" i="4" s="1"/>
  <c r="E10" i="4"/>
  <c r="O11" i="11" l="1"/>
  <c r="P37" i="5"/>
  <c r="R37" i="5" s="1"/>
  <c r="P41" i="5"/>
  <c r="R41" i="5" s="1"/>
  <c r="N16" i="5"/>
  <c r="P27" i="5"/>
  <c r="R27" i="5" s="1"/>
  <c r="P23" i="5"/>
  <c r="R23" i="5" s="1"/>
  <c r="S16" i="5"/>
  <c r="P20" i="5"/>
  <c r="R20" i="5" s="1"/>
  <c r="P45" i="5"/>
  <c r="R45" i="5" s="1"/>
  <c r="O17" i="11"/>
  <c r="O29" i="11"/>
  <c r="O41" i="11"/>
  <c r="O51" i="11"/>
  <c r="O13" i="11"/>
  <c r="B18" i="13" s="1"/>
  <c r="D18" i="13" s="1"/>
  <c r="E18" i="13" s="1"/>
  <c r="F18" i="13" s="1"/>
  <c r="G18" i="13" s="1"/>
  <c r="H18" i="13" s="1"/>
  <c r="O25" i="11"/>
  <c r="O37" i="11"/>
  <c r="O49" i="11"/>
  <c r="O61" i="11"/>
  <c r="O47" i="11"/>
  <c r="O38" i="11"/>
  <c r="O14" i="11"/>
  <c r="O26" i="11"/>
  <c r="O62" i="11"/>
  <c r="O12" i="11"/>
  <c r="B8" i="13" s="1"/>
  <c r="H8" i="13" s="1"/>
  <c r="O48" i="11"/>
  <c r="O16" i="11"/>
  <c r="O28" i="11"/>
  <c r="O45" i="11"/>
  <c r="O33" i="11"/>
  <c r="O20" i="11"/>
  <c r="P46" i="11"/>
  <c r="P29" i="11"/>
  <c r="P45" i="11"/>
  <c r="P55" i="11"/>
  <c r="P19" i="11"/>
  <c r="O21" i="11"/>
  <c r="O54" i="11"/>
  <c r="O50" i="11"/>
  <c r="P34" i="11"/>
  <c r="P33" i="11"/>
  <c r="O53" i="11"/>
  <c r="P31" i="11"/>
  <c r="O19" i="11"/>
  <c r="O22" i="11"/>
  <c r="B9" i="13" s="1"/>
  <c r="M9" i="13" s="1"/>
  <c r="O31" i="11"/>
  <c r="O34" i="11"/>
  <c r="O40" i="11"/>
  <c r="O43" i="11"/>
  <c r="O46" i="11"/>
  <c r="O52" i="11"/>
  <c r="B11" i="13" s="1"/>
  <c r="F11" i="13" s="1"/>
  <c r="O55" i="11"/>
  <c r="F69" i="11"/>
  <c r="F71" i="11" s="1"/>
  <c r="Q16" i="5"/>
  <c r="N46" i="5"/>
  <c r="S46" i="5" s="1"/>
  <c r="O57" i="11"/>
  <c r="B12" i="13" s="1"/>
  <c r="O23" i="11"/>
  <c r="B10" i="13" s="1"/>
  <c r="O10" i="13" s="1"/>
  <c r="P10" i="13" s="1"/>
  <c r="O32" i="11"/>
  <c r="O35" i="11"/>
  <c r="O44" i="11"/>
  <c r="O56" i="11"/>
  <c r="P50" i="11"/>
  <c r="O18" i="11"/>
  <c r="O30" i="11"/>
  <c r="O42" i="11"/>
  <c r="P11" i="11"/>
  <c r="K59" i="11"/>
  <c r="Q59" i="11" s="1"/>
  <c r="K62" i="11"/>
  <c r="Y62" i="11" s="1"/>
  <c r="K14" i="11"/>
  <c r="Y14" i="11" s="1"/>
  <c r="K22" i="11"/>
  <c r="Y22" i="11" s="1"/>
  <c r="K20" i="11"/>
  <c r="Y20" i="11" s="1"/>
  <c r="K24" i="11"/>
  <c r="Y24" i="11" s="1"/>
  <c r="K26" i="11"/>
  <c r="Q26" i="11" s="1"/>
  <c r="R26" i="11" s="1"/>
  <c r="K30" i="11"/>
  <c r="Y30" i="11" s="1"/>
  <c r="K34" i="11"/>
  <c r="Q34" i="11" s="1"/>
  <c r="R34" i="11" s="1"/>
  <c r="K40" i="11"/>
  <c r="Y40" i="11" s="1"/>
  <c r="K44" i="11"/>
  <c r="Y44" i="11" s="1"/>
  <c r="K46" i="11"/>
  <c r="Y46" i="11" s="1"/>
  <c r="K52" i="11"/>
  <c r="Y52" i="11" s="1"/>
  <c r="K56" i="11"/>
  <c r="Y56" i="11" s="1"/>
  <c r="K11" i="11"/>
  <c r="Y11" i="11" s="1"/>
  <c r="K13" i="11"/>
  <c r="Y13" i="11" s="1"/>
  <c r="K15" i="11"/>
  <c r="Y15" i="11" s="1"/>
  <c r="K17" i="11"/>
  <c r="Y17" i="11" s="1"/>
  <c r="K19" i="11"/>
  <c r="Y19" i="11" s="1"/>
  <c r="K21" i="11"/>
  <c r="Y21" i="11" s="1"/>
  <c r="K27" i="11"/>
  <c r="Y27" i="11" s="1"/>
  <c r="K29" i="11"/>
  <c r="Y29" i="11" s="1"/>
  <c r="K45" i="11"/>
  <c r="Y45" i="11" s="1"/>
  <c r="K47" i="11"/>
  <c r="Y47" i="11" s="1"/>
  <c r="K49" i="11"/>
  <c r="Q49" i="11" s="1"/>
  <c r="K51" i="11"/>
  <c r="Y51" i="11" s="1"/>
  <c r="K53" i="11"/>
  <c r="Q53" i="11" s="1"/>
  <c r="K55" i="11"/>
  <c r="Y55" i="11" s="1"/>
  <c r="K57" i="11"/>
  <c r="Y57" i="11" s="1"/>
  <c r="Q17" i="11"/>
  <c r="K31" i="11"/>
  <c r="Y31" i="11" s="1"/>
  <c r="Q22" i="11"/>
  <c r="R22" i="11"/>
  <c r="K50" i="11"/>
  <c r="Y50" i="11" s="1"/>
  <c r="Q57" i="11"/>
  <c r="K61" i="11"/>
  <c r="Y61" i="11" s="1"/>
  <c r="R57" i="11"/>
  <c r="K16" i="11"/>
  <c r="Q16" i="11" s="1"/>
  <c r="K63" i="11"/>
  <c r="Y63" i="11" s="1"/>
  <c r="K18" i="11"/>
  <c r="Y18" i="11" s="1"/>
  <c r="K35" i="11"/>
  <c r="Y35" i="11" s="1"/>
  <c r="K37" i="11"/>
  <c r="Y37" i="11" s="1"/>
  <c r="K39" i="11"/>
  <c r="Y39" i="11" s="1"/>
  <c r="K41" i="11"/>
  <c r="Y41" i="11" s="1"/>
  <c r="K58" i="11"/>
  <c r="Y58" i="11" s="1"/>
  <c r="K60" i="11"/>
  <c r="Y60" i="11" s="1"/>
  <c r="K12" i="11"/>
  <c r="Q12" i="11" s="1"/>
  <c r="K23" i="11"/>
  <c r="Y23" i="11" s="1"/>
  <c r="K28" i="11"/>
  <c r="K54" i="11"/>
  <c r="Y54" i="11" s="1"/>
  <c r="K36" i="11"/>
  <c r="Q36" i="11" s="1"/>
  <c r="R36" i="11" s="1"/>
  <c r="K32" i="11"/>
  <c r="Y32" i="11" s="1"/>
  <c r="K25" i="11"/>
  <c r="Y25" i="11" s="1"/>
  <c r="K33" i="11"/>
  <c r="Y33" i="11" s="1"/>
  <c r="K38" i="11"/>
  <c r="Y38" i="11" s="1"/>
  <c r="K48" i="11"/>
  <c r="Y48" i="11" s="1"/>
  <c r="E17" i="13"/>
  <c r="F17" i="13" s="1"/>
  <c r="G17" i="13" s="1"/>
  <c r="H17" i="13" s="1"/>
  <c r="I17" i="13" s="1"/>
  <c r="J17" i="13" s="1"/>
  <c r="K17" i="13" s="1"/>
  <c r="L17" i="13" s="1"/>
  <c r="M17" i="13" s="1"/>
  <c r="N9" i="13"/>
  <c r="I11" i="13"/>
  <c r="H11" i="13"/>
  <c r="J11" i="13"/>
  <c r="G11" i="13"/>
  <c r="R23" i="11"/>
  <c r="Q23" i="11"/>
  <c r="K42" i="11"/>
  <c r="Y42" i="11" s="1"/>
  <c r="K43" i="11"/>
  <c r="Y43" i="11" s="1"/>
  <c r="O8" i="7"/>
  <c r="O16" i="7" s="1"/>
  <c r="D26" i="7" s="1"/>
  <c r="M16" i="7"/>
  <c r="V11" i="7"/>
  <c r="D28" i="7"/>
  <c r="V14" i="7"/>
  <c r="V10" i="7"/>
  <c r="V12" i="7"/>
  <c r="G16" i="7"/>
  <c r="V9" i="7"/>
  <c r="V16" i="7" s="1"/>
  <c r="R13" i="7"/>
  <c r="R12" i="7"/>
  <c r="H16" i="7"/>
  <c r="R10" i="7"/>
  <c r="R8" i="7"/>
  <c r="R14" i="7"/>
  <c r="N49" i="5"/>
  <c r="S37" i="5"/>
  <c r="S27" i="5"/>
  <c r="S41" i="5"/>
  <c r="R16" i="5"/>
  <c r="C5" i="1" s="1"/>
  <c r="P16" i="5"/>
  <c r="S18" i="5"/>
  <c r="P19" i="5"/>
  <c r="R19" i="5" s="1"/>
  <c r="Q49" i="5"/>
  <c r="P28" i="5"/>
  <c r="R28" i="5" s="1"/>
  <c r="P32" i="5"/>
  <c r="R32" i="5" s="1"/>
  <c r="P38" i="5"/>
  <c r="R38" i="5" s="1"/>
  <c r="P42" i="5"/>
  <c r="R42" i="5" s="1"/>
  <c r="S23" i="5"/>
  <c r="P30" i="5"/>
  <c r="R30" i="5" s="1"/>
  <c r="P36" i="5"/>
  <c r="R36" i="5" s="1"/>
  <c r="P40" i="5"/>
  <c r="R40" i="5" s="1"/>
  <c r="P22" i="5"/>
  <c r="R22" i="5" s="1"/>
  <c r="P34" i="5"/>
  <c r="R34" i="5" s="1"/>
  <c r="P29" i="5"/>
  <c r="R29" i="5" s="1"/>
  <c r="P31" i="5"/>
  <c r="R31" i="5" s="1"/>
  <c r="P33" i="5"/>
  <c r="R33" i="5" s="1"/>
  <c r="P35" i="5"/>
  <c r="R35" i="5" s="1"/>
  <c r="P39" i="5"/>
  <c r="R39" i="5" s="1"/>
  <c r="F32" i="4"/>
  <c r="G30" i="4" s="1"/>
  <c r="G28" i="4"/>
  <c r="E8" i="13" l="1"/>
  <c r="D8" i="13"/>
  <c r="K9" i="13"/>
  <c r="J9" i="13"/>
  <c r="F8" i="13"/>
  <c r="P8" i="13" s="1"/>
  <c r="D11" i="13"/>
  <c r="P11" i="13" s="1"/>
  <c r="P18" i="13"/>
  <c r="L9" i="13"/>
  <c r="E11" i="13"/>
  <c r="I9" i="13"/>
  <c r="P9" i="13" s="1"/>
  <c r="G8" i="13"/>
  <c r="O9" i="13"/>
  <c r="S45" i="5"/>
  <c r="S40" i="5"/>
  <c r="P49" i="5"/>
  <c r="S20" i="5"/>
  <c r="S36" i="5"/>
  <c r="S38" i="5"/>
  <c r="S42" i="5"/>
  <c r="S34" i="5"/>
  <c r="S28" i="5"/>
  <c r="S32" i="5"/>
  <c r="S49" i="5"/>
  <c r="AA11" i="11"/>
  <c r="Z11" i="11"/>
  <c r="O66" i="11"/>
  <c r="R49" i="5"/>
  <c r="P17" i="13"/>
  <c r="Y59" i="11"/>
  <c r="AA59" i="11" s="1"/>
  <c r="Q62" i="11"/>
  <c r="S62" i="11" s="1"/>
  <c r="Q30" i="11"/>
  <c r="S30" i="11" s="1"/>
  <c r="Q31" i="11"/>
  <c r="S31" i="11" s="1"/>
  <c r="Q63" i="11"/>
  <c r="S63" i="11" s="1"/>
  <c r="W63" i="11" s="1"/>
  <c r="Y26" i="11"/>
  <c r="AA26" i="11" s="1"/>
  <c r="Y53" i="11"/>
  <c r="AA53" i="11" s="1"/>
  <c r="Q14" i="11"/>
  <c r="S14" i="11" s="1"/>
  <c r="W14" i="11" s="1"/>
  <c r="Q20" i="11"/>
  <c r="Y16" i="11"/>
  <c r="Z16" i="11" s="1"/>
  <c r="Q24" i="11"/>
  <c r="R24" i="11" s="1"/>
  <c r="Z63" i="11"/>
  <c r="S59" i="11"/>
  <c r="Z35" i="11"/>
  <c r="AA63" i="11"/>
  <c r="Q19" i="11"/>
  <c r="R19" i="11" s="1"/>
  <c r="Q40" i="11"/>
  <c r="R40" i="11" s="1"/>
  <c r="Q33" i="11"/>
  <c r="Y34" i="11"/>
  <c r="Q21" i="11"/>
  <c r="Q29" i="11"/>
  <c r="R29" i="11" s="1"/>
  <c r="Q51" i="11"/>
  <c r="Q45" i="11"/>
  <c r="R45" i="11" s="1"/>
  <c r="Y49" i="11"/>
  <c r="AA49" i="11" s="1"/>
  <c r="Q46" i="11"/>
  <c r="R46" i="11" s="1"/>
  <c r="Z50" i="11"/>
  <c r="Q39" i="11"/>
  <c r="S39" i="11" s="1"/>
  <c r="W39" i="11" s="1"/>
  <c r="S57" i="11"/>
  <c r="W57" i="11" s="1"/>
  <c r="Q15" i="11"/>
  <c r="Z48" i="11"/>
  <c r="Q56" i="11"/>
  <c r="S56" i="11" s="1"/>
  <c r="Q11" i="11"/>
  <c r="Q52" i="11"/>
  <c r="Q44" i="11"/>
  <c r="R44" i="11" s="1"/>
  <c r="Q55" i="11"/>
  <c r="Q47" i="11"/>
  <c r="Q27" i="11"/>
  <c r="R27" i="11" s="1"/>
  <c r="Q18" i="11"/>
  <c r="R18" i="11" s="1"/>
  <c r="Q35" i="11"/>
  <c r="R35" i="11" s="1"/>
  <c r="AA18" i="11"/>
  <c r="AA22" i="11"/>
  <c r="Q13" i="11"/>
  <c r="AA48" i="11"/>
  <c r="AA58" i="11"/>
  <c r="Q50" i="11"/>
  <c r="S50" i="11" s="1"/>
  <c r="W50" i="11" s="1"/>
  <c r="Z58" i="11"/>
  <c r="Q54" i="11"/>
  <c r="Q61" i="11"/>
  <c r="R61" i="11" s="1"/>
  <c r="AA50" i="11"/>
  <c r="Q37" i="11"/>
  <c r="R37" i="11" s="1"/>
  <c r="Z14" i="11"/>
  <c r="Q32" i="11"/>
  <c r="Q43" i="11"/>
  <c r="S43" i="11" s="1"/>
  <c r="W43" i="11" s="1"/>
  <c r="Q38" i="11"/>
  <c r="R38" i="11" s="1"/>
  <c r="Z32" i="11"/>
  <c r="Q58" i="11"/>
  <c r="S58" i="11" s="1"/>
  <c r="Z37" i="11"/>
  <c r="Q41" i="11"/>
  <c r="AA17" i="11"/>
  <c r="Z17" i="11"/>
  <c r="AA14" i="11"/>
  <c r="Y36" i="11"/>
  <c r="AA36" i="11" s="1"/>
  <c r="AA44" i="11"/>
  <c r="S23" i="11"/>
  <c r="Q60" i="11"/>
  <c r="S60" i="11" s="1"/>
  <c r="Q48" i="11"/>
  <c r="Y12" i="11"/>
  <c r="Z12" i="11" s="1"/>
  <c r="Z61" i="11"/>
  <c r="AA21" i="11"/>
  <c r="Z44" i="11"/>
  <c r="AA37" i="11"/>
  <c r="Z52" i="11"/>
  <c r="AA35" i="11"/>
  <c r="AA20" i="11"/>
  <c r="Q25" i="11"/>
  <c r="R25" i="11" s="1"/>
  <c r="Z24" i="11"/>
  <c r="Q28" i="11"/>
  <c r="R28" i="11" s="1"/>
  <c r="Y28" i="11"/>
  <c r="AA28" i="11" s="1"/>
  <c r="AA40" i="11"/>
  <c r="S26" i="11"/>
  <c r="T26" i="11" s="1"/>
  <c r="U26" i="11" s="1"/>
  <c r="V26" i="11" s="1"/>
  <c r="AA30" i="11"/>
  <c r="Z60" i="11"/>
  <c r="AA24" i="11"/>
  <c r="Z56" i="11"/>
  <c r="Z46" i="11"/>
  <c r="AA45" i="11"/>
  <c r="Z45" i="11"/>
  <c r="Z18" i="11"/>
  <c r="S16" i="11"/>
  <c r="R16" i="11"/>
  <c r="AA62" i="11"/>
  <c r="Z62" i="11"/>
  <c r="AA39" i="11"/>
  <c r="AA60" i="11"/>
  <c r="Q42" i="11"/>
  <c r="Z30" i="11"/>
  <c r="R12" i="11"/>
  <c r="S36" i="11"/>
  <c r="AA46" i="11"/>
  <c r="R53" i="11"/>
  <c r="S53" i="11"/>
  <c r="AA42" i="11"/>
  <c r="Z42" i="11"/>
  <c r="AA56" i="11"/>
  <c r="AA61" i="11"/>
  <c r="Z39" i="11"/>
  <c r="S12" i="11"/>
  <c r="AA43" i="11"/>
  <c r="Z43" i="11"/>
  <c r="AA19" i="11"/>
  <c r="Z19" i="11"/>
  <c r="S17" i="11"/>
  <c r="R17" i="11"/>
  <c r="Z40" i="11"/>
  <c r="S49" i="11"/>
  <c r="R49" i="11"/>
  <c r="R16" i="7"/>
  <c r="S39" i="5"/>
  <c r="S22" i="5"/>
  <c r="S30" i="5"/>
  <c r="S35" i="5"/>
  <c r="S33" i="5"/>
  <c r="S31" i="5"/>
  <c r="P43" i="5"/>
  <c r="P53" i="5" s="1"/>
  <c r="P55" i="5" s="1"/>
  <c r="S29" i="5"/>
  <c r="S19" i="5"/>
  <c r="Z59" i="11" l="1"/>
  <c r="S11" i="11"/>
  <c r="R11" i="11"/>
  <c r="R62" i="11"/>
  <c r="T62" i="11" s="1"/>
  <c r="U62" i="11" s="1"/>
  <c r="V62" i="11" s="1"/>
  <c r="R30" i="11"/>
  <c r="T30" i="11" s="1"/>
  <c r="U30" i="11" s="1"/>
  <c r="V30" i="11" s="1"/>
  <c r="S19" i="11"/>
  <c r="W19" i="11" s="1"/>
  <c r="R14" i="11"/>
  <c r="T14" i="11" s="1"/>
  <c r="U14" i="11" s="1"/>
  <c r="V14" i="11" s="1"/>
  <c r="Z53" i="11"/>
  <c r="S24" i="11"/>
  <c r="W24" i="11" s="1"/>
  <c r="S40" i="11"/>
  <c r="W40" i="11" s="1"/>
  <c r="S32" i="11"/>
  <c r="W32" i="11" s="1"/>
  <c r="Z26" i="11"/>
  <c r="AA16" i="11"/>
  <c r="W59" i="11"/>
  <c r="AA32" i="11"/>
  <c r="T59" i="11"/>
  <c r="U59" i="11" s="1"/>
  <c r="V59" i="11" s="1"/>
  <c r="T63" i="11"/>
  <c r="U63" i="11" s="1"/>
  <c r="V63" i="11" s="1"/>
  <c r="S22" i="11"/>
  <c r="T22" i="11" s="1"/>
  <c r="U22" i="11" s="1"/>
  <c r="V22" i="11" s="1"/>
  <c r="S44" i="11"/>
  <c r="W44" i="11" s="1"/>
  <c r="S45" i="11"/>
  <c r="W45" i="11" s="1"/>
  <c r="S51" i="11"/>
  <c r="T51" i="11" s="1"/>
  <c r="U51" i="11" s="1"/>
  <c r="V51" i="11" s="1"/>
  <c r="S29" i="11"/>
  <c r="T29" i="11" s="1"/>
  <c r="U29" i="11" s="1"/>
  <c r="V29" i="11" s="1"/>
  <c r="S18" i="11"/>
  <c r="W18" i="11" s="1"/>
  <c r="S35" i="11"/>
  <c r="R39" i="11"/>
  <c r="T39" i="11" s="1"/>
  <c r="U39" i="11" s="1"/>
  <c r="V39" i="11" s="1"/>
  <c r="AA57" i="11"/>
  <c r="Z57" i="11"/>
  <c r="Z22" i="11"/>
  <c r="R56" i="11"/>
  <c r="T56" i="11" s="1"/>
  <c r="U56" i="11" s="1"/>
  <c r="V56" i="11" s="1"/>
  <c r="R13" i="11"/>
  <c r="S46" i="11"/>
  <c r="R50" i="11"/>
  <c r="T50" i="11" s="1"/>
  <c r="U50" i="11" s="1"/>
  <c r="V50" i="11" s="1"/>
  <c r="Z49" i="11"/>
  <c r="Z28" i="11"/>
  <c r="T58" i="11"/>
  <c r="U58" i="11" s="1"/>
  <c r="V58" i="11" s="1"/>
  <c r="R54" i="11"/>
  <c r="S27" i="11"/>
  <c r="T27" i="11" s="1"/>
  <c r="U27" i="11" s="1"/>
  <c r="V27" i="11" s="1"/>
  <c r="S55" i="11"/>
  <c r="W55" i="11" s="1"/>
  <c r="S47" i="11"/>
  <c r="W47" i="11" s="1"/>
  <c r="Z20" i="11"/>
  <c r="S21" i="11"/>
  <c r="W21" i="11" s="1"/>
  <c r="S37" i="11"/>
  <c r="S54" i="11"/>
  <c r="W54" i="11" s="1"/>
  <c r="W58" i="11"/>
  <c r="S61" i="11"/>
  <c r="AA12" i="11"/>
  <c r="Z36" i="11"/>
  <c r="T57" i="11"/>
  <c r="U57" i="11" s="1"/>
  <c r="V57" i="11" s="1"/>
  <c r="R21" i="11"/>
  <c r="S38" i="11"/>
  <c r="T38" i="11" s="1"/>
  <c r="U38" i="11" s="1"/>
  <c r="V38" i="11" s="1"/>
  <c r="S28" i="11"/>
  <c r="W28" i="11" s="1"/>
  <c r="R32" i="11"/>
  <c r="R43" i="11"/>
  <c r="T43" i="11" s="1"/>
  <c r="U43" i="11" s="1"/>
  <c r="V43" i="11" s="1"/>
  <c r="S13" i="11"/>
  <c r="W13" i="11" s="1"/>
  <c r="R31" i="11"/>
  <c r="T31" i="11" s="1"/>
  <c r="U31" i="11" s="1"/>
  <c r="V31" i="11" s="1"/>
  <c r="W26" i="11"/>
  <c r="Z21" i="11"/>
  <c r="AA29" i="11"/>
  <c r="Z29" i="11"/>
  <c r="S52" i="11"/>
  <c r="S20" i="11"/>
  <c r="R20" i="11"/>
  <c r="AA23" i="11"/>
  <c r="Z23" i="11"/>
  <c r="S48" i="11"/>
  <c r="R48" i="11"/>
  <c r="AA52" i="11"/>
  <c r="R52" i="11"/>
  <c r="W17" i="11"/>
  <c r="T17" i="11"/>
  <c r="U17" i="11" s="1"/>
  <c r="V17" i="11" s="1"/>
  <c r="W62" i="11"/>
  <c r="Z33" i="11"/>
  <c r="AA33" i="11"/>
  <c r="R33" i="11"/>
  <c r="AA15" i="11"/>
  <c r="Z15" i="11"/>
  <c r="S15" i="11"/>
  <c r="R15" i="11"/>
  <c r="W12" i="11"/>
  <c r="T12" i="11"/>
  <c r="U12" i="11" s="1"/>
  <c r="AA54" i="11"/>
  <c r="Z54" i="11"/>
  <c r="Z31" i="11"/>
  <c r="AA31" i="11"/>
  <c r="S41" i="11"/>
  <c r="AA41" i="11"/>
  <c r="R41" i="11"/>
  <c r="Z41" i="11"/>
  <c r="Z47" i="11"/>
  <c r="AA47" i="11"/>
  <c r="AA13" i="11"/>
  <c r="Z13" i="11"/>
  <c r="W53" i="11"/>
  <c r="T53" i="11"/>
  <c r="U53" i="11" s="1"/>
  <c r="V53" i="11" s="1"/>
  <c r="W31" i="11"/>
  <c r="W60" i="11"/>
  <c r="T60" i="11"/>
  <c r="U60" i="11" s="1"/>
  <c r="V60" i="11" s="1"/>
  <c r="AA38" i="11"/>
  <c r="Z38" i="11"/>
  <c r="W23" i="11"/>
  <c r="T23" i="11"/>
  <c r="U23" i="11" s="1"/>
  <c r="V23" i="11" s="1"/>
  <c r="S34" i="11"/>
  <c r="AA34" i="11"/>
  <c r="Z34" i="11"/>
  <c r="AA25" i="11"/>
  <c r="Z25" i="11"/>
  <c r="S42" i="11"/>
  <c r="R42" i="11"/>
  <c r="S25" i="11"/>
  <c r="W16" i="11"/>
  <c r="T16" i="11"/>
  <c r="U16" i="11" s="1"/>
  <c r="V16" i="11" s="1"/>
  <c r="T36" i="11"/>
  <c r="U36" i="11" s="1"/>
  <c r="V36" i="11" s="1"/>
  <c r="W36" i="11"/>
  <c r="AA27" i="11"/>
  <c r="Z27" i="11"/>
  <c r="W56" i="11"/>
  <c r="Z51" i="11"/>
  <c r="AA51" i="11"/>
  <c r="R47" i="11"/>
  <c r="W49" i="11"/>
  <c r="T49" i="11"/>
  <c r="U49" i="11" s="1"/>
  <c r="V49" i="11" s="1"/>
  <c r="AA55" i="11"/>
  <c r="Z55" i="11"/>
  <c r="R55" i="11"/>
  <c r="S33" i="11"/>
  <c r="W30" i="11"/>
  <c r="T19" i="11" l="1"/>
  <c r="U19" i="11" s="1"/>
  <c r="V19" i="11" s="1"/>
  <c r="W11" i="11"/>
  <c r="T11" i="11"/>
  <c r="U11" i="11" s="1"/>
  <c r="V11" i="11" s="1"/>
  <c r="V12" i="11"/>
  <c r="T24" i="11"/>
  <c r="U24" i="11" s="1"/>
  <c r="V24" i="11" s="1"/>
  <c r="T40" i="11"/>
  <c r="U40" i="11" s="1"/>
  <c r="V40" i="11" s="1"/>
  <c r="T32" i="11"/>
  <c r="U32" i="11" s="1"/>
  <c r="V32" i="11" s="1"/>
  <c r="W22" i="11"/>
  <c r="W29" i="11"/>
  <c r="T45" i="11"/>
  <c r="U45" i="11" s="1"/>
  <c r="V45" i="11" s="1"/>
  <c r="W51" i="11"/>
  <c r="T35" i="11"/>
  <c r="U35" i="11" s="1"/>
  <c r="V35" i="11" s="1"/>
  <c r="W35" i="11"/>
  <c r="T44" i="11"/>
  <c r="U44" i="11" s="1"/>
  <c r="V44" i="11" s="1"/>
  <c r="W27" i="11"/>
  <c r="T55" i="11"/>
  <c r="U55" i="11" s="1"/>
  <c r="V55" i="11" s="1"/>
  <c r="T18" i="11"/>
  <c r="U18" i="11" s="1"/>
  <c r="V18" i="11" s="1"/>
  <c r="W46" i="11"/>
  <c r="T46" i="11"/>
  <c r="U46" i="11" s="1"/>
  <c r="V46" i="11" s="1"/>
  <c r="T47" i="11"/>
  <c r="U47" i="11" s="1"/>
  <c r="V47" i="11" s="1"/>
  <c r="W38" i="11"/>
  <c r="T21" i="11"/>
  <c r="U21" i="11" s="1"/>
  <c r="V21" i="11" s="1"/>
  <c r="T54" i="11"/>
  <c r="U54" i="11" s="1"/>
  <c r="V54" i="11" s="1"/>
  <c r="W61" i="11"/>
  <c r="T61" i="11"/>
  <c r="U61" i="11" s="1"/>
  <c r="V61" i="11" s="1"/>
  <c r="S68" i="11"/>
  <c r="T52" i="11"/>
  <c r="U52" i="11" s="1"/>
  <c r="V52" i="11" s="1"/>
  <c r="T37" i="11"/>
  <c r="U37" i="11" s="1"/>
  <c r="V37" i="11" s="1"/>
  <c r="W37" i="11"/>
  <c r="T28" i="11"/>
  <c r="U28" i="11" s="1"/>
  <c r="V28" i="11" s="1"/>
  <c r="W52" i="11"/>
  <c r="T13" i="11"/>
  <c r="U13" i="11" s="1"/>
  <c r="V13" i="11" s="1"/>
  <c r="W20" i="11"/>
  <c r="T20" i="11"/>
  <c r="U20" i="11" s="1"/>
  <c r="V20" i="11" s="1"/>
  <c r="R65" i="11"/>
  <c r="AA65" i="11"/>
  <c r="U73" i="11" s="1"/>
  <c r="T48" i="11"/>
  <c r="U48" i="11" s="1"/>
  <c r="V48" i="11" s="1"/>
  <c r="W48" i="11"/>
  <c r="W42" i="11"/>
  <c r="T42" i="11"/>
  <c r="U42" i="11" s="1"/>
  <c r="V42" i="11" s="1"/>
  <c r="W41" i="11"/>
  <c r="T41" i="11"/>
  <c r="U41" i="11" s="1"/>
  <c r="V41" i="11" s="1"/>
  <c r="W25" i="11"/>
  <c r="T25" i="11"/>
  <c r="U25" i="11" s="1"/>
  <c r="V25" i="11" s="1"/>
  <c r="Z65" i="11"/>
  <c r="Z68" i="11"/>
  <c r="W33" i="11"/>
  <c r="T33" i="11"/>
  <c r="U33" i="11" s="1"/>
  <c r="V33" i="11" s="1"/>
  <c r="S67" i="11"/>
  <c r="Z67" i="11"/>
  <c r="T34" i="11"/>
  <c r="U34" i="11" s="1"/>
  <c r="V34" i="11" s="1"/>
  <c r="W34" i="11"/>
  <c r="T15" i="11"/>
  <c r="U15" i="11" s="1"/>
  <c r="V15" i="11" s="1"/>
  <c r="W15" i="11"/>
  <c r="S69" i="11" l="1"/>
  <c r="S70" i="11" s="1"/>
  <c r="B7" i="13" s="1"/>
  <c r="U67" i="11"/>
  <c r="V65" i="11"/>
  <c r="C7" i="1" s="1"/>
  <c r="W65" i="11"/>
  <c r="U74" i="11" s="1"/>
  <c r="U75" i="11" s="1"/>
  <c r="N20" i="10" s="1"/>
  <c r="S20" i="10" s="1"/>
  <c r="Q24" i="5" s="1"/>
  <c r="Z69" i="11"/>
  <c r="Z70" i="11" s="1"/>
  <c r="B16" i="13" s="1"/>
  <c r="D16" i="13" s="1"/>
  <c r="T67" i="11"/>
  <c r="D19" i="13" l="1"/>
  <c r="E16" i="13"/>
  <c r="R24" i="5"/>
  <c r="R43" i="5" s="1"/>
  <c r="Q43" i="5"/>
  <c r="Q53" i="5" s="1"/>
  <c r="Q55" i="5" s="1"/>
  <c r="J7" i="13"/>
  <c r="J13" i="13" s="1"/>
  <c r="H24" i="5" s="1"/>
  <c r="H43" i="5" s="1"/>
  <c r="H53" i="5" s="1"/>
  <c r="H55" i="5" s="1"/>
  <c r="K7" i="13"/>
  <c r="K13" i="13" s="1"/>
  <c r="I24" i="5" s="1"/>
  <c r="I43" i="5" s="1"/>
  <c r="I53" i="5" s="1"/>
  <c r="I55" i="5" s="1"/>
  <c r="H7" i="13"/>
  <c r="H13" i="13" s="1"/>
  <c r="F24" i="5" s="1"/>
  <c r="F43" i="5" s="1"/>
  <c r="F53" i="5" s="1"/>
  <c r="F55" i="5" s="1"/>
  <c r="O7" i="13"/>
  <c r="O13" i="13" s="1"/>
  <c r="M24" i="5" s="1"/>
  <c r="M43" i="5" s="1"/>
  <c r="M53" i="5" s="1"/>
  <c r="M55" i="5" s="1"/>
  <c r="I7" i="13"/>
  <c r="I13" i="13" s="1"/>
  <c r="G24" i="5" s="1"/>
  <c r="G43" i="5" s="1"/>
  <c r="G53" i="5" s="1"/>
  <c r="G55" i="5" s="1"/>
  <c r="M7" i="13"/>
  <c r="M13" i="13" s="1"/>
  <c r="K24" i="5" s="1"/>
  <c r="K43" i="5" s="1"/>
  <c r="K53" i="5" s="1"/>
  <c r="K55" i="5" s="1"/>
  <c r="D7" i="13"/>
  <c r="L7" i="13"/>
  <c r="L13" i="13" s="1"/>
  <c r="J24" i="5" s="1"/>
  <c r="J43" i="5" s="1"/>
  <c r="J53" i="5" s="1"/>
  <c r="J55" i="5" s="1"/>
  <c r="G7" i="13"/>
  <c r="G13" i="13" s="1"/>
  <c r="E24" i="5" s="1"/>
  <c r="E43" i="5" s="1"/>
  <c r="E53" i="5" s="1"/>
  <c r="E55" i="5" s="1"/>
  <c r="F7" i="13"/>
  <c r="F13" i="13" s="1"/>
  <c r="D24" i="5" s="1"/>
  <c r="D43" i="5" s="1"/>
  <c r="D53" i="5" s="1"/>
  <c r="D55" i="5" s="1"/>
  <c r="E7" i="13"/>
  <c r="E13" i="13" s="1"/>
  <c r="C24" i="5" s="1"/>
  <c r="C43" i="5" s="1"/>
  <c r="C53" i="5" s="1"/>
  <c r="C55" i="5" s="1"/>
  <c r="N7" i="13"/>
  <c r="N13" i="13" s="1"/>
  <c r="L24" i="5" s="1"/>
  <c r="L43" i="5" s="1"/>
  <c r="L53" i="5" s="1"/>
  <c r="L55" i="5" s="1"/>
  <c r="P7" i="13" l="1"/>
  <c r="D13" i="13"/>
  <c r="C6" i="1"/>
  <c r="R53" i="5"/>
  <c r="R55" i="5" s="1"/>
  <c r="E19" i="13"/>
  <c r="F16" i="13"/>
  <c r="G16" i="13" l="1"/>
  <c r="F19" i="13"/>
  <c r="B24" i="5"/>
  <c r="P13" i="13"/>
  <c r="B43" i="5" l="1"/>
  <c r="N24" i="5"/>
  <c r="S24" i="5" s="1"/>
  <c r="S43" i="5" s="1"/>
  <c r="S53" i="5" s="1"/>
  <c r="S55" i="5" s="1"/>
  <c r="G19" i="13"/>
  <c r="H16" i="13"/>
  <c r="H19" i="13" l="1"/>
  <c r="I16" i="13"/>
  <c r="B53" i="5"/>
  <c r="N43" i="5"/>
  <c r="B55" i="5" l="1"/>
  <c r="N55" i="5" s="1"/>
  <c r="N53" i="5"/>
  <c r="I19" i="13"/>
  <c r="J16" i="13"/>
  <c r="K16" i="13" l="1"/>
  <c r="J19" i="13"/>
  <c r="K19" i="13" l="1"/>
  <c r="L16" i="13"/>
  <c r="J28" i="1"/>
  <c r="J44" i="1"/>
  <c r="J45" i="1"/>
  <c r="J46" i="1"/>
  <c r="J43" i="1"/>
  <c r="K27" i="1"/>
  <c r="I27" i="1"/>
  <c r="I8" i="1"/>
  <c r="I7" i="1"/>
  <c r="M16" i="13" l="1"/>
  <c r="L19" i="13"/>
  <c r="J19" i="1"/>
  <c r="J38" i="1"/>
  <c r="N16" i="13" l="1"/>
  <c r="M19" i="13"/>
  <c r="I16" i="1"/>
  <c r="N19" i="13" l="1"/>
  <c r="O16" i="13"/>
  <c r="O19" i="13" s="1"/>
  <c r="P19" i="13" s="1"/>
  <c r="Q19" i="13" s="1"/>
  <c r="P16" i="13"/>
  <c r="S7" i="1"/>
  <c r="T7" i="1" s="1"/>
  <c r="U7" i="1" s="1"/>
  <c r="S8" i="1"/>
  <c r="S6" i="1"/>
  <c r="T6" i="1" s="1"/>
  <c r="U6" i="1" s="1"/>
  <c r="S9" i="1"/>
  <c r="AA39" i="1"/>
  <c r="AA34" i="1"/>
  <c r="AA29" i="1"/>
  <c r="AA24" i="1"/>
  <c r="AA19" i="1"/>
  <c r="AA14" i="1"/>
  <c r="AA38" i="1"/>
  <c r="AA33" i="1"/>
  <c r="AA28" i="1"/>
  <c r="AA23" i="1"/>
  <c r="AA18" i="1"/>
  <c r="AA13" i="1"/>
  <c r="AA37" i="1"/>
  <c r="AA32" i="1"/>
  <c r="AA27" i="1"/>
  <c r="AA22" i="1"/>
  <c r="AA17" i="1"/>
  <c r="AA12" i="1"/>
  <c r="AA36" i="1"/>
  <c r="AA31" i="1"/>
  <c r="AA26" i="1"/>
  <c r="AA21" i="1"/>
  <c r="AA16" i="1"/>
  <c r="AA11" i="1"/>
  <c r="AA9" i="1"/>
  <c r="AA8" i="1"/>
  <c r="AA7" i="1"/>
  <c r="AA6" i="1"/>
  <c r="U57" i="1"/>
  <c r="U56" i="1"/>
  <c r="V39" i="1" l="1"/>
  <c r="V34" i="1"/>
  <c r="V29" i="1"/>
  <c r="V24" i="1"/>
  <c r="V19" i="1"/>
  <c r="V14" i="1"/>
  <c r="V13" i="1"/>
  <c r="V37" i="1"/>
  <c r="V27" i="1"/>
  <c r="V17" i="1"/>
  <c r="V12" i="1"/>
  <c r="V31" i="1"/>
  <c r="V21" i="1"/>
  <c r="V11" i="1"/>
  <c r="V38" i="1"/>
  <c r="V33" i="1"/>
  <c r="V28" i="1"/>
  <c r="V23" i="1"/>
  <c r="V18" i="1"/>
  <c r="V32" i="1"/>
  <c r="V22" i="1"/>
  <c r="V36" i="1"/>
  <c r="V26" i="1"/>
  <c r="V16" i="1"/>
  <c r="V9" i="1"/>
  <c r="V7" i="1"/>
  <c r="W7" i="1" s="1"/>
  <c r="X7" i="1" s="1"/>
  <c r="V6" i="1"/>
  <c r="W6" i="1" s="1"/>
  <c r="X6" i="1" s="1"/>
  <c r="V8" i="1"/>
  <c r="T8" i="1"/>
  <c r="U8" i="1" s="1"/>
  <c r="T9" i="1"/>
  <c r="U9" i="1" s="1"/>
  <c r="W9" i="1" l="1"/>
  <c r="X9" i="1" s="1"/>
  <c r="W8" i="1"/>
  <c r="X8" i="1" s="1"/>
  <c r="F8" i="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K8" i="1"/>
  <c r="I9" i="1"/>
  <c r="I26" i="1"/>
  <c r="J27" i="1"/>
  <c r="M27" i="1" s="1"/>
  <c r="K11" i="1" s="1"/>
  <c r="M11" i="1" s="1"/>
  <c r="L27" i="1"/>
  <c r="K38" i="1"/>
  <c r="J47" i="1"/>
  <c r="S59" i="1"/>
  <c r="Y68" i="1"/>
  <c r="Y6" i="1" l="1"/>
  <c r="Z6" i="1" s="1"/>
  <c r="AB6" i="1" s="1"/>
  <c r="AC6" i="1" s="1"/>
  <c r="AD6" i="1" s="1"/>
  <c r="AE6" i="1" s="1"/>
  <c r="AF6" i="1" s="1"/>
  <c r="Y9" i="1"/>
  <c r="Z9" i="1" s="1"/>
  <c r="AB9" i="1" s="1"/>
  <c r="AC9" i="1" s="1"/>
  <c r="AD9" i="1" s="1"/>
  <c r="AE9" i="1" s="1"/>
  <c r="AF9" i="1" s="1"/>
  <c r="Y7" i="1"/>
  <c r="Z7" i="1" s="1"/>
  <c r="AB7" i="1" s="1"/>
  <c r="AC7" i="1" s="1"/>
  <c r="AD7" i="1" s="1"/>
  <c r="AE7" i="1" s="1"/>
  <c r="AF7" i="1" s="1"/>
  <c r="Y8" i="1"/>
  <c r="Z8" i="1" s="1"/>
  <c r="AB8" i="1" s="1"/>
  <c r="AC8" i="1" s="1"/>
  <c r="AD8" i="1" s="1"/>
  <c r="AE8" i="1" s="1"/>
  <c r="AF8" i="1" s="1"/>
  <c r="I28" i="1"/>
  <c r="Z68" i="1"/>
  <c r="J26" i="1"/>
  <c r="I11" i="1"/>
  <c r="AG6" i="1"/>
  <c r="AH6" i="1"/>
  <c r="AI6" i="1"/>
  <c r="J7" i="1"/>
  <c r="K7" i="1"/>
  <c r="L7" i="1"/>
  <c r="M7" i="1"/>
  <c r="AG7" i="1"/>
  <c r="AH7" i="1"/>
  <c r="AI7" i="1"/>
  <c r="L8" i="1"/>
  <c r="M8" i="1"/>
  <c r="AG8" i="1"/>
  <c r="AH8" i="1"/>
  <c r="AI8" i="1"/>
  <c r="K9" i="1"/>
  <c r="M9" i="1"/>
  <c r="AG9" i="1"/>
  <c r="AH9" i="1"/>
  <c r="AI9" i="1"/>
  <c r="S11" i="1"/>
  <c r="T11" i="1"/>
  <c r="U11" i="1"/>
  <c r="W11" i="1"/>
  <c r="X11" i="1"/>
  <c r="Y11" i="1"/>
  <c r="Z11" i="1"/>
  <c r="AB11" i="1"/>
  <c r="AC11" i="1"/>
  <c r="AD11" i="1"/>
  <c r="AE11" i="1"/>
  <c r="AF11" i="1"/>
  <c r="AG11" i="1"/>
  <c r="AH11" i="1"/>
  <c r="AI11" i="1"/>
  <c r="I12" i="1"/>
  <c r="J12" i="1"/>
  <c r="K12" i="1"/>
  <c r="M12" i="1"/>
  <c r="S12" i="1"/>
  <c r="T12" i="1"/>
  <c r="U12" i="1"/>
  <c r="W12" i="1"/>
  <c r="X12" i="1"/>
  <c r="Y12" i="1"/>
  <c r="Z12" i="1"/>
  <c r="AB12" i="1"/>
  <c r="AC12" i="1"/>
  <c r="AD12" i="1"/>
  <c r="AE12" i="1"/>
  <c r="AF12" i="1"/>
  <c r="AG12" i="1"/>
  <c r="AH12" i="1"/>
  <c r="AI12" i="1"/>
  <c r="S13" i="1"/>
  <c r="T13" i="1"/>
  <c r="U13" i="1"/>
  <c r="W13" i="1"/>
  <c r="X13" i="1"/>
  <c r="Y13" i="1"/>
  <c r="Z13" i="1"/>
  <c r="AB13" i="1"/>
  <c r="AC13" i="1"/>
  <c r="AD13" i="1"/>
  <c r="AE13" i="1"/>
  <c r="AF13" i="1"/>
  <c r="AG13" i="1"/>
  <c r="AH13" i="1"/>
  <c r="AI13" i="1"/>
  <c r="I14" i="1"/>
  <c r="K14" i="1"/>
  <c r="M14" i="1"/>
  <c r="S14" i="1"/>
  <c r="T14" i="1"/>
  <c r="U14" i="1"/>
  <c r="W14" i="1"/>
  <c r="X14" i="1"/>
  <c r="Y14" i="1"/>
  <c r="Z14" i="1"/>
  <c r="AB14" i="1"/>
  <c r="AC14" i="1"/>
  <c r="AD14" i="1"/>
  <c r="AE14" i="1"/>
  <c r="AF14" i="1"/>
  <c r="AG14" i="1"/>
  <c r="AH14" i="1"/>
  <c r="AI14" i="1"/>
  <c r="K16" i="1"/>
  <c r="M16" i="1"/>
  <c r="S16" i="1"/>
  <c r="T16" i="1"/>
  <c r="U16" i="1"/>
  <c r="W16" i="1"/>
  <c r="X16" i="1"/>
  <c r="Y16" i="1"/>
  <c r="Z16" i="1"/>
  <c r="AB16" i="1"/>
  <c r="AC16" i="1"/>
  <c r="AD16" i="1"/>
  <c r="AE16" i="1"/>
  <c r="AF16" i="1"/>
  <c r="AG16" i="1"/>
  <c r="AH16" i="1"/>
  <c r="AI16" i="1"/>
  <c r="S17" i="1"/>
  <c r="T17" i="1"/>
  <c r="U17" i="1"/>
  <c r="W17" i="1"/>
  <c r="X17" i="1"/>
  <c r="Y17" i="1"/>
  <c r="Z17" i="1"/>
  <c r="AB17" i="1"/>
  <c r="AC17" i="1"/>
  <c r="AD17" i="1"/>
  <c r="AE17" i="1"/>
  <c r="AF17" i="1"/>
  <c r="AG17" i="1"/>
  <c r="AH17" i="1"/>
  <c r="AI17" i="1"/>
  <c r="S18" i="1"/>
  <c r="T18" i="1"/>
  <c r="U18" i="1"/>
  <c r="W18" i="1"/>
  <c r="X18" i="1"/>
  <c r="Y18" i="1"/>
  <c r="Z18" i="1"/>
  <c r="AB18" i="1"/>
  <c r="AC18" i="1"/>
  <c r="AD18" i="1"/>
  <c r="AE18" i="1"/>
  <c r="AF18" i="1"/>
  <c r="AG18" i="1"/>
  <c r="AH18" i="1"/>
  <c r="AI18" i="1"/>
  <c r="M19" i="1"/>
  <c r="S19" i="1"/>
  <c r="T19" i="1"/>
  <c r="U19" i="1"/>
  <c r="W19" i="1"/>
  <c r="X19" i="1"/>
  <c r="Y19" i="1"/>
  <c r="Z19" i="1"/>
  <c r="AB19" i="1"/>
  <c r="AC19" i="1"/>
  <c r="AD19" i="1"/>
  <c r="AE19" i="1"/>
  <c r="AF19" i="1"/>
  <c r="AG19" i="1"/>
  <c r="AH19" i="1"/>
  <c r="AI19" i="1"/>
  <c r="J20" i="1"/>
  <c r="M20" i="1"/>
  <c r="J21" i="1"/>
  <c r="M21" i="1"/>
  <c r="S21" i="1"/>
  <c r="T21" i="1"/>
  <c r="U21" i="1"/>
  <c r="W21" i="1"/>
  <c r="X21" i="1"/>
  <c r="Y21" i="1"/>
  <c r="Z21" i="1"/>
  <c r="AB21" i="1"/>
  <c r="AC21" i="1"/>
  <c r="AD21" i="1"/>
  <c r="AE21" i="1"/>
  <c r="AF21" i="1"/>
  <c r="AG21" i="1"/>
  <c r="AH21" i="1"/>
  <c r="AI21" i="1"/>
  <c r="K22" i="1"/>
  <c r="S22" i="1"/>
  <c r="T22" i="1"/>
  <c r="U22" i="1"/>
  <c r="W22" i="1"/>
  <c r="X22" i="1"/>
  <c r="Y22" i="1"/>
  <c r="Z22" i="1"/>
  <c r="AB22" i="1"/>
  <c r="AC22" i="1"/>
  <c r="AD22" i="1"/>
  <c r="AE22" i="1"/>
  <c r="AF22" i="1"/>
  <c r="AG22" i="1"/>
  <c r="AH22" i="1"/>
  <c r="AI22" i="1"/>
  <c r="S23" i="1"/>
  <c r="T23" i="1"/>
  <c r="U23" i="1"/>
  <c r="W23" i="1"/>
  <c r="X23" i="1"/>
  <c r="Y23" i="1"/>
  <c r="Z23" i="1"/>
  <c r="AB23" i="1"/>
  <c r="AC23" i="1"/>
  <c r="AD23" i="1"/>
  <c r="AE23" i="1"/>
  <c r="AF23" i="1"/>
  <c r="AG23" i="1"/>
  <c r="AH23" i="1"/>
  <c r="AI23" i="1"/>
  <c r="S24" i="1"/>
  <c r="T24" i="1"/>
  <c r="U24" i="1"/>
  <c r="W24" i="1"/>
  <c r="X24" i="1"/>
  <c r="Y24" i="1"/>
  <c r="Z24" i="1"/>
  <c r="AB24" i="1"/>
  <c r="AC24" i="1"/>
  <c r="AD24" i="1"/>
  <c r="AE24" i="1"/>
  <c r="AF24" i="1"/>
  <c r="AG24" i="1"/>
  <c r="AH24" i="1"/>
  <c r="AI24" i="1"/>
  <c r="K26" i="1"/>
  <c r="L26" i="1"/>
  <c r="M26" i="1"/>
  <c r="S26" i="1"/>
  <c r="T26" i="1"/>
  <c r="U26" i="1"/>
  <c r="W26" i="1"/>
  <c r="X26" i="1"/>
  <c r="Y26" i="1"/>
  <c r="Z26" i="1"/>
  <c r="AB26" i="1"/>
  <c r="AC26" i="1"/>
  <c r="AD26" i="1"/>
  <c r="AE26" i="1"/>
  <c r="AF26" i="1"/>
  <c r="AG26" i="1"/>
  <c r="AH26" i="1"/>
  <c r="AI26" i="1"/>
  <c r="S27" i="1"/>
  <c r="T27" i="1"/>
  <c r="U27" i="1"/>
  <c r="W27" i="1"/>
  <c r="X27" i="1"/>
  <c r="Y27" i="1"/>
  <c r="Z27" i="1"/>
  <c r="AB27" i="1"/>
  <c r="AC27" i="1"/>
  <c r="AD27" i="1"/>
  <c r="AE27" i="1"/>
  <c r="AF27" i="1"/>
  <c r="AG27" i="1"/>
  <c r="AH27" i="1"/>
  <c r="AI27" i="1"/>
  <c r="L28" i="1"/>
  <c r="M28" i="1"/>
  <c r="S28" i="1"/>
  <c r="T28" i="1"/>
  <c r="U28" i="1"/>
  <c r="W28" i="1"/>
  <c r="X28" i="1"/>
  <c r="Y28" i="1"/>
  <c r="Z28" i="1"/>
  <c r="AB28" i="1"/>
  <c r="AC28" i="1"/>
  <c r="AD28" i="1"/>
  <c r="AE28" i="1"/>
  <c r="AF28" i="1"/>
  <c r="AG28" i="1"/>
  <c r="AH28" i="1"/>
  <c r="AI28" i="1"/>
  <c r="S29" i="1"/>
  <c r="T29" i="1"/>
  <c r="U29" i="1"/>
  <c r="W29" i="1"/>
  <c r="X29" i="1"/>
  <c r="Y29" i="1"/>
  <c r="Z29" i="1"/>
  <c r="AB29" i="1"/>
  <c r="AC29" i="1"/>
  <c r="AD29" i="1"/>
  <c r="AE29" i="1"/>
  <c r="AF29" i="1"/>
  <c r="AG29" i="1"/>
  <c r="AH29" i="1"/>
  <c r="AI29" i="1"/>
  <c r="S31" i="1"/>
  <c r="T31" i="1"/>
  <c r="U31" i="1"/>
  <c r="W31" i="1"/>
  <c r="X31" i="1"/>
  <c r="Y31" i="1"/>
  <c r="Z31" i="1"/>
  <c r="AB31" i="1"/>
  <c r="AC31" i="1"/>
  <c r="AD31" i="1"/>
  <c r="AE31" i="1"/>
  <c r="AF31" i="1"/>
  <c r="AG31" i="1"/>
  <c r="AH31" i="1"/>
  <c r="AI31" i="1"/>
  <c r="S32" i="1"/>
  <c r="T32" i="1"/>
  <c r="U32" i="1"/>
  <c r="W32" i="1"/>
  <c r="X32" i="1"/>
  <c r="Y32" i="1"/>
  <c r="Z32" i="1"/>
  <c r="AB32" i="1"/>
  <c r="AC32" i="1"/>
  <c r="AD32" i="1"/>
  <c r="AE32" i="1"/>
  <c r="AF32" i="1"/>
  <c r="AG32" i="1"/>
  <c r="AH32" i="1"/>
  <c r="AI32" i="1"/>
  <c r="J33" i="1"/>
  <c r="K33" i="1"/>
  <c r="S33" i="1"/>
  <c r="T33" i="1"/>
  <c r="U33" i="1"/>
  <c r="W33" i="1"/>
  <c r="X33" i="1"/>
  <c r="Y33" i="1"/>
  <c r="Z33" i="1"/>
  <c r="AB33" i="1"/>
  <c r="AC33" i="1"/>
  <c r="AD33" i="1"/>
  <c r="AE33" i="1"/>
  <c r="AF33" i="1"/>
  <c r="AG33" i="1"/>
  <c r="AH33" i="1"/>
  <c r="AI33" i="1"/>
  <c r="J34" i="1"/>
  <c r="K34" i="1"/>
  <c r="S34" i="1"/>
  <c r="T34" i="1"/>
  <c r="U34" i="1"/>
  <c r="W34" i="1"/>
  <c r="X34" i="1"/>
  <c r="Y34" i="1"/>
  <c r="Z34" i="1"/>
  <c r="AB34" i="1"/>
  <c r="AC34" i="1"/>
  <c r="AD34" i="1"/>
  <c r="AE34" i="1"/>
  <c r="AF34" i="1"/>
  <c r="AG34" i="1"/>
  <c r="AH34" i="1"/>
  <c r="AI34" i="1"/>
  <c r="J35" i="1"/>
  <c r="K35" i="1"/>
  <c r="J36" i="1"/>
  <c r="K36" i="1"/>
  <c r="S36" i="1"/>
  <c r="T36" i="1"/>
  <c r="U36" i="1"/>
  <c r="W36" i="1"/>
  <c r="X36" i="1"/>
  <c r="Y36" i="1"/>
  <c r="Z36" i="1"/>
  <c r="AB36" i="1"/>
  <c r="AC36" i="1"/>
  <c r="AD36" i="1"/>
  <c r="AE36" i="1"/>
  <c r="AF36" i="1"/>
  <c r="AG36" i="1"/>
  <c r="AH36" i="1"/>
  <c r="AI36" i="1"/>
  <c r="J37" i="1"/>
  <c r="K37" i="1"/>
  <c r="S37" i="1"/>
  <c r="T37" i="1"/>
  <c r="U37" i="1"/>
  <c r="W37" i="1"/>
  <c r="X37" i="1"/>
  <c r="Y37" i="1"/>
  <c r="Z37" i="1"/>
  <c r="AB37" i="1"/>
  <c r="AC37" i="1"/>
  <c r="AD37" i="1"/>
  <c r="AE37" i="1"/>
  <c r="AF37" i="1"/>
  <c r="AG37" i="1"/>
  <c r="AH37" i="1"/>
  <c r="AI37" i="1"/>
  <c r="S38" i="1"/>
  <c r="T38" i="1"/>
  <c r="U38" i="1"/>
  <c r="W38" i="1"/>
  <c r="X38" i="1"/>
  <c r="Y38" i="1"/>
  <c r="Z38" i="1"/>
  <c r="AB38" i="1"/>
  <c r="AC38" i="1"/>
  <c r="AD38" i="1"/>
  <c r="AE38" i="1"/>
  <c r="AF38" i="1"/>
  <c r="AG38" i="1"/>
  <c r="AH38" i="1"/>
  <c r="AI38" i="1"/>
  <c r="S39" i="1"/>
  <c r="T39" i="1"/>
  <c r="U39" i="1"/>
  <c r="W39" i="1"/>
  <c r="X39" i="1"/>
  <c r="Y39" i="1"/>
  <c r="Z39" i="1"/>
  <c r="AB39" i="1"/>
  <c r="AC39" i="1"/>
  <c r="AD39" i="1"/>
  <c r="AE39" i="1"/>
  <c r="AF39" i="1"/>
  <c r="AG39" i="1"/>
  <c r="AH39" i="1"/>
  <c r="AI39" i="1"/>
  <c r="K43" i="1"/>
  <c r="V43" i="1"/>
  <c r="K44" i="1"/>
  <c r="V44" i="1"/>
  <c r="K45" i="1"/>
  <c r="V45" i="1"/>
  <c r="K46" i="1"/>
  <c r="K47" i="1"/>
  <c r="R48" i="1"/>
  <c r="J49" i="1"/>
  <c r="R49" i="1"/>
  <c r="R51" i="1"/>
  <c r="Y63" i="1"/>
  <c r="Z63" i="1"/>
  <c r="Y64" i="1"/>
  <c r="Z64" i="1"/>
  <c r="Y65" i="1"/>
  <c r="Z65" i="1"/>
  <c r="Y66" i="1"/>
  <c r="Z66" i="1"/>
  <c r="Y67" i="1"/>
  <c r="Z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Harrison</author>
  </authors>
  <commentList>
    <comment ref="W9" authorId="0" shapeId="0" xr:uid="{53585501-3E0C-4F41-A257-0531B2E3C2FD}">
      <text>
        <r>
          <rPr>
            <b/>
            <sz val="9"/>
            <color indexed="81"/>
            <rFont val="Tahoma"/>
            <family val="2"/>
          </rPr>
          <t>Mike Harrison:</t>
        </r>
        <r>
          <rPr>
            <sz val="9"/>
            <color indexed="81"/>
            <rFont val="Tahoma"/>
            <family val="2"/>
          </rPr>
          <t xml:space="preserve">
Regulated allocation percentage times CY depreciation expense</t>
        </r>
      </text>
    </comment>
    <comment ref="AA9" authorId="0" shapeId="0" xr:uid="{46FD1F48-A2FE-4127-A962-E5CE02577076}">
      <text>
        <r>
          <rPr>
            <b/>
            <sz val="9"/>
            <color indexed="81"/>
            <rFont val="Tahoma"/>
            <family val="2"/>
          </rPr>
          <t>Mike Harrison:</t>
        </r>
        <r>
          <rPr>
            <sz val="9"/>
            <color indexed="81"/>
            <rFont val="Tahoma"/>
            <family val="2"/>
          </rPr>
          <t xml:space="preserve">
Regulated allocation percentage times YE 2025 depreciation expense</t>
        </r>
      </text>
    </comment>
  </commentList>
</comments>
</file>

<file path=xl/sharedStrings.xml><?xml version="1.0" encoding="utf-8"?>
<sst xmlns="http://schemas.openxmlformats.org/spreadsheetml/2006/main" count="630" uniqueCount="430">
  <si>
    <t>2018 Version Update Changes</t>
  </si>
  <si>
    <t>CALCULATION TABLES</t>
  </si>
  <si>
    <t>(a)</t>
  </si>
  <si>
    <t>(b)</t>
  </si>
  <si>
    <t>(c)</t>
  </si>
  <si>
    <t>(d)</t>
  </si>
  <si>
    <t>(e)</t>
  </si>
  <si>
    <t>(f)</t>
  </si>
  <si>
    <t>Regession</t>
  </si>
  <si>
    <t>Hauler</t>
  </si>
  <si>
    <t>Line</t>
  </si>
  <si>
    <t>Historical</t>
  </si>
  <si>
    <t>Revenue</t>
  </si>
  <si>
    <t>Proforma</t>
  </si>
  <si>
    <t>Before Tax</t>
  </si>
  <si>
    <t>Less</t>
  </si>
  <si>
    <t>Adjusted</t>
  </si>
  <si>
    <t>After Tax</t>
  </si>
  <si>
    <t>Weighted Cost</t>
  </si>
  <si>
    <t>No.</t>
  </si>
  <si>
    <t>Taxes</t>
  </si>
  <si>
    <t>Requirment</t>
  </si>
  <si>
    <t>Profit Ratio</t>
  </si>
  <si>
    <t>BTROI</t>
  </si>
  <si>
    <t>WCDebt</t>
  </si>
  <si>
    <t>BTROE</t>
  </si>
  <si>
    <t>ROE</t>
  </si>
  <si>
    <t>Equity</t>
  </si>
  <si>
    <t>Equity BFT</t>
  </si>
  <si>
    <t>Debt</t>
  </si>
  <si>
    <t>BTROR</t>
  </si>
  <si>
    <t>Operating Ratio</t>
  </si>
  <si>
    <t>Operating Revenue</t>
  </si>
  <si>
    <t>Operating Expenses</t>
  </si>
  <si>
    <t>Operating Income</t>
  </si>
  <si>
    <t>Interest Expense</t>
  </si>
  <si>
    <t>2nd Iteration</t>
  </si>
  <si>
    <t>Income Tax Expense</t>
  </si>
  <si>
    <t>Net Income</t>
  </si>
  <si>
    <t xml:space="preserve">Operating Ratio </t>
  </si>
  <si>
    <t>3rd Iteration</t>
  </si>
  <si>
    <t>Rev Sensitive Taxes</t>
  </si>
  <si>
    <t>Rate Increase</t>
  </si>
  <si>
    <t>4th Iteration</t>
  </si>
  <si>
    <t>Financing Cost</t>
  </si>
  <si>
    <t>Type</t>
  </si>
  <si>
    <t>Percent</t>
  </si>
  <si>
    <t>Amount</t>
  </si>
  <si>
    <t>Rate</t>
  </si>
  <si>
    <t>Weighted</t>
  </si>
  <si>
    <t>5th Iteration</t>
  </si>
  <si>
    <t>Operating Statistics</t>
  </si>
  <si>
    <t>Pre-tax</t>
  </si>
  <si>
    <t>6th Iteration</t>
  </si>
  <si>
    <t>Return on Investment</t>
  </si>
  <si>
    <t>Return on Equity</t>
  </si>
  <si>
    <t>Profit Margin</t>
  </si>
  <si>
    <t>Final turnover</t>
  </si>
  <si>
    <t>Tax Rate</t>
  </si>
  <si>
    <t>Curve</t>
  </si>
  <si>
    <t>Lookup Table</t>
  </si>
  <si>
    <t>Revenue Sensitive Taxes Charges</t>
  </si>
  <si>
    <t xml:space="preserve"> B &amp; O Tax</t>
  </si>
  <si>
    <t xml:space="preserve"> WUTC Fee</t>
  </si>
  <si>
    <t>Curve turnover</t>
  </si>
  <si>
    <t>@EXP(5.72260-(.68367*@LN(T)))</t>
  </si>
  <si>
    <t xml:space="preserve"> City Tax</t>
  </si>
  <si>
    <t>Curve No. used</t>
  </si>
  <si>
    <t>@EXP(5.70827-(.68367*@LN(T)))</t>
  </si>
  <si>
    <t xml:space="preserve"> Bad Debts</t>
  </si>
  <si>
    <t>@EXP(5.69850-(.68367*@LN(T)))</t>
  </si>
  <si>
    <t>Revenue Sensitive</t>
  </si>
  <si>
    <t>@EXP(5.69220-(.68367*@LN(T)))</t>
  </si>
  <si>
    <t>Conversion Factor</t>
  </si>
  <si>
    <t>Base Utility from LG Sample Study</t>
  </si>
  <si>
    <t>Regression Results</t>
  </si>
  <si>
    <t>Cost</t>
  </si>
  <si>
    <t>Y intercept (1)</t>
  </si>
  <si>
    <t>Y intercept (3)</t>
  </si>
  <si>
    <t>Y intercept (2)</t>
  </si>
  <si>
    <t>Y intercept (4)</t>
  </si>
  <si>
    <t>Pfd.</t>
  </si>
  <si>
    <t>Slope</t>
  </si>
  <si>
    <t>Revenue Requirement</t>
  </si>
  <si>
    <t>7th Iteration</t>
  </si>
  <si>
    <t>RevS Taxes</t>
  </si>
  <si>
    <t>Revenue Req</t>
  </si>
  <si>
    <t xml:space="preserve">Total </t>
  </si>
  <si>
    <t xml:space="preserve"> Increase Before</t>
  </si>
  <si>
    <t xml:space="preserve">Revenue </t>
  </si>
  <si>
    <t>Increase After</t>
  </si>
  <si>
    <t xml:space="preserve">RevS </t>
  </si>
  <si>
    <t>Revenue Senstive Taxes (RevS)</t>
  </si>
  <si>
    <t>Before RevS</t>
  </si>
  <si>
    <t>Before</t>
  </si>
  <si>
    <t>Income Tax</t>
  </si>
  <si>
    <t>After</t>
  </si>
  <si>
    <t>B&amp;O Tax Rate</t>
  </si>
  <si>
    <t>Federal Income Tax Rate</t>
  </si>
  <si>
    <t>WUTC Fee</t>
  </si>
  <si>
    <t>City Tax</t>
  </si>
  <si>
    <t>Bad Debts</t>
  </si>
  <si>
    <t>No</t>
  </si>
  <si>
    <t>Total</t>
  </si>
  <si>
    <t>Investment</t>
  </si>
  <si>
    <t>Captial Structure Financing Investment</t>
  </si>
  <si>
    <t>Non-Public Companies</t>
  </si>
  <si>
    <t>Percent Chg</t>
  </si>
  <si>
    <t>● Minimizes impact of changes in test-year revenue from</t>
  </si>
  <si>
    <t>● Allows Income Tax Rate Changes,</t>
  </si>
  <si>
    <t xml:space="preserve">   resulting revenue requirment,</t>
  </si>
  <si>
    <t>● Corrects interest rate transposition in LG.</t>
  </si>
  <si>
    <t>nonpubco</t>
  </si>
  <si>
    <t>Capital Structure - Debt Cost</t>
  </si>
  <si>
    <t>Capital Structure - Debt %</t>
  </si>
  <si>
    <t>INPUTS - Test Year</t>
  </si>
  <si>
    <t>Cost of Capital</t>
  </si>
  <si>
    <t>Change</t>
  </si>
  <si>
    <t>Add: Revenue</t>
  </si>
  <si>
    <t xml:space="preserve"> Sensitive Taxes</t>
  </si>
  <si>
    <t>(d) + (e)</t>
  </si>
  <si>
    <t>(b) + (c)</t>
  </si>
  <si>
    <t>Circular Reference Error</t>
  </si>
  <si>
    <t xml:space="preserve">Check the "Enable iterative calculation" box. </t>
  </si>
  <si>
    <t>Historical Revenue</t>
  </si>
  <si>
    <r>
      <t xml:space="preserve">LURITO - GALLAGHER FORMULA  MODEL 2018  </t>
    </r>
    <r>
      <rPr>
        <sz val="8"/>
        <color indexed="9"/>
        <rFont val="Calibri"/>
        <family val="2"/>
      </rPr>
      <t>V5.0a</t>
    </r>
  </si>
  <si>
    <t>Check when input is complete</t>
  </si>
  <si>
    <t>For Intial input: Uncheck Checkbox Until Completed</t>
  </si>
  <si>
    <t>This model has been designed to replace the original LG model because of the original model's inability to use lower income tax rates.</t>
  </si>
  <si>
    <t>It uses the same computational data and method reflected in the original model and therefore should produce the same Revenue Requirements that the original model.</t>
  </si>
  <si>
    <t>Error Cascade</t>
  </si>
  <si>
    <t>To prevent a model "error cascade" caused by large changes in numbers,</t>
  </si>
  <si>
    <t>the new model uses an "INPUTS" box for initially entering the company data.</t>
  </si>
  <si>
    <t>File&gt;Options&gt;Formulas</t>
  </si>
  <si>
    <r>
      <t xml:space="preserve">   For the </t>
    </r>
    <r>
      <rPr>
        <b/>
        <u/>
        <sz val="14"/>
        <rFont val="Times New Roman"/>
        <family val="1"/>
      </rPr>
      <t>initial</t>
    </r>
    <r>
      <rPr>
        <b/>
        <sz val="14"/>
        <rFont val="Times New Roman"/>
        <family val="1"/>
      </rPr>
      <t xml:space="preserve"> input of numbers uncheck the "Input competed" box.</t>
    </r>
  </si>
  <si>
    <t xml:space="preserve">   When data has been entered into the Inputs box, recheck.</t>
  </si>
  <si>
    <t>Revenue Increase before taxes</t>
  </si>
  <si>
    <t>Lurito Gallagher Model Replacement V5.0c -  Use the inputs box to enter company information.</t>
  </si>
  <si>
    <t>Percent Increase</t>
  </si>
  <si>
    <t>Sunrise Disposal</t>
  </si>
  <si>
    <t>Balance Sheet</t>
  </si>
  <si>
    <t>Bank Accounts</t>
  </si>
  <si>
    <t>Undeposited Funds</t>
  </si>
  <si>
    <t>Accounts Receivable</t>
  </si>
  <si>
    <t>Other Receivables</t>
  </si>
  <si>
    <t>Related Comp Receivable</t>
  </si>
  <si>
    <t>Current Assets</t>
  </si>
  <si>
    <t>Fixed Assets</t>
  </si>
  <si>
    <t>Accumulated Depreciation</t>
  </si>
  <si>
    <t>Fixed Assets - net</t>
  </si>
  <si>
    <t>Goodwill</t>
  </si>
  <si>
    <t>Land</t>
  </si>
  <si>
    <t>Long-term Assets</t>
  </si>
  <si>
    <t>Total Assets</t>
  </si>
  <si>
    <t>Accounts Payable</t>
  </si>
  <si>
    <t>Payroll Taxes Payable</t>
  </si>
  <si>
    <t>Other Current Liabilities</t>
  </si>
  <si>
    <t>Related Comp Payable</t>
  </si>
  <si>
    <t>Current Liabilities</t>
  </si>
  <si>
    <t>Notes Payable</t>
  </si>
  <si>
    <t>Long-term Liabilities</t>
  </si>
  <si>
    <t>Total Liabilities</t>
  </si>
  <si>
    <t>Retained Earnings</t>
  </si>
  <si>
    <t>Stockholder's Equity</t>
  </si>
  <si>
    <t>Total Liabilities and Stockholder's Equity</t>
  </si>
  <si>
    <t>LT Liabilities Detail</t>
  </si>
  <si>
    <t>Business purchase note</t>
  </si>
  <si>
    <t>Coastal note 0200 - 2024 Garbage truck</t>
  </si>
  <si>
    <t>Coastal note 0500 - Recycle center</t>
  </si>
  <si>
    <t>Coastal note 1200 - Two 2020 garbage trucks</t>
  </si>
  <si>
    <t>Coastal note 2700 - Rolloff truck</t>
  </si>
  <si>
    <t>Gotti note - Two 2020 garbage trucks</t>
  </si>
  <si>
    <t>Gotti note - Land</t>
  </si>
  <si>
    <t>P&amp;L by Month</t>
  </si>
  <si>
    <t>Alocation Method</t>
  </si>
  <si>
    <t>Regulated</t>
  </si>
  <si>
    <t>Allocation</t>
  </si>
  <si>
    <t>For Year Ended 3/31/2024</t>
  </si>
  <si>
    <t>Truck hours</t>
  </si>
  <si>
    <t>Driver hours</t>
  </si>
  <si>
    <t>Mechanic Hours</t>
  </si>
  <si>
    <t>Employee Count</t>
  </si>
  <si>
    <t>Customer Count</t>
  </si>
  <si>
    <t>Results of Operations by Month</t>
  </si>
  <si>
    <t>Allocated Operations</t>
  </si>
  <si>
    <t>Month 1</t>
  </si>
  <si>
    <t>Month 2</t>
  </si>
  <si>
    <t>Month 3</t>
  </si>
  <si>
    <t>Month 4</t>
  </si>
  <si>
    <t>Month 5</t>
  </si>
  <si>
    <t>Month 6</t>
  </si>
  <si>
    <t>Month 7</t>
  </si>
  <si>
    <t>Month 8</t>
  </si>
  <si>
    <t>Month 9</t>
  </si>
  <si>
    <t>Month 10</t>
  </si>
  <si>
    <t>Month 11</t>
  </si>
  <si>
    <t>Month 12</t>
  </si>
  <si>
    <t>Total 12 Months</t>
  </si>
  <si>
    <t>Allocation Method</t>
  </si>
  <si>
    <t>Regulated Revenue</t>
  </si>
  <si>
    <t>Total Regulated Operations</t>
  </si>
  <si>
    <t>Nonregulated Operations</t>
  </si>
  <si>
    <t>Regulated Collection</t>
  </si>
  <si>
    <t>Actual</t>
  </si>
  <si>
    <t>Regulated Rolloff</t>
  </si>
  <si>
    <t>Non-regulated Collection &amp; Rolloff</t>
  </si>
  <si>
    <t>Non-regulated Cardboard</t>
  </si>
  <si>
    <t>Interest Earned</t>
  </si>
  <si>
    <t>Total Revenue</t>
  </si>
  <si>
    <t>Advertising</t>
  </si>
  <si>
    <t>Bad Debt</t>
  </si>
  <si>
    <t>Bank Charges</t>
  </si>
  <si>
    <t>Cardboard Shipping</t>
  </si>
  <si>
    <t>CDL Physicals</t>
  </si>
  <si>
    <t>Cell Phones</t>
  </si>
  <si>
    <t>Depreciation</t>
  </si>
  <si>
    <t>Delano Transfer Station</t>
  </si>
  <si>
    <t>Okanogan County Landfill</t>
  </si>
  <si>
    <t>Drug Testing</t>
  </si>
  <si>
    <t>Dues &amp; Subscriptions</t>
  </si>
  <si>
    <t>Fuel</t>
  </si>
  <si>
    <t>Insurance</t>
  </si>
  <si>
    <t>Laundry</t>
  </si>
  <si>
    <t>Legal/Accounting</t>
  </si>
  <si>
    <t>Office Expense</t>
  </si>
  <si>
    <t>Payroll &amp; Payroll Tax</t>
  </si>
  <si>
    <t>Postage</t>
  </si>
  <si>
    <t>Rent</t>
  </si>
  <si>
    <t>Repair &amp; Maintenance</t>
  </si>
  <si>
    <t>Supplies</t>
  </si>
  <si>
    <t>Tax &amp; License</t>
  </si>
  <si>
    <t>Travel &amp; Meals</t>
  </si>
  <si>
    <t>Utilities</t>
  </si>
  <si>
    <t>Miscellaneous</t>
  </si>
  <si>
    <t>Total Operating Expenses</t>
  </si>
  <si>
    <t>Charitable Donations</t>
  </si>
  <si>
    <t>Total Non-Operating Expenses</t>
  </si>
  <si>
    <t>Taxes - B&amp;O</t>
  </si>
  <si>
    <t>Total Expenses</t>
  </si>
  <si>
    <t>Net Revenue</t>
  </si>
  <si>
    <t xml:space="preserve">Sunrise Disposal </t>
  </si>
  <si>
    <t>Interest Expense Allocation</t>
  </si>
  <si>
    <t>All Activities</t>
  </si>
  <si>
    <t>Regulated Activities</t>
  </si>
  <si>
    <t>Principal</t>
  </si>
  <si>
    <t>Interest Exp</t>
  </si>
  <si>
    <t>Ave monthly</t>
  </si>
  <si>
    <t>9 Mo Int Exp</t>
  </si>
  <si>
    <t xml:space="preserve">Allocation </t>
  </si>
  <si>
    <t xml:space="preserve">Regulated </t>
  </si>
  <si>
    <t>Interest</t>
  </si>
  <si>
    <t>1/1 - 12/31</t>
  </si>
  <si>
    <t>int - cal year</t>
  </si>
  <si>
    <t>4/1 - 12/31</t>
  </si>
  <si>
    <t>Jan</t>
  </si>
  <si>
    <t>Feb</t>
  </si>
  <si>
    <t>Mar</t>
  </si>
  <si>
    <t>to Regulated</t>
  </si>
  <si>
    <t>Int Rate</t>
  </si>
  <si>
    <t xml:space="preserve">Debt </t>
  </si>
  <si>
    <t>CC int</t>
  </si>
  <si>
    <t>a</t>
  </si>
  <si>
    <t>Per Calendar Year Amortization Sch</t>
  </si>
  <si>
    <t>Future Interest</t>
  </si>
  <si>
    <t>Business</t>
  </si>
  <si>
    <t>Loan 0200</t>
  </si>
  <si>
    <t>Purch</t>
  </si>
  <si>
    <t>Loan 2700</t>
  </si>
  <si>
    <t>Apr 24 - Mar 25</t>
  </si>
  <si>
    <t>Allocation to regulated</t>
  </si>
  <si>
    <t>b</t>
  </si>
  <si>
    <t>UTC YE 3/31/24</t>
  </si>
  <si>
    <t>UTC YE 3/31/25</t>
  </si>
  <si>
    <t>Difference - to proforma adj</t>
  </si>
  <si>
    <t>to proforma adj</t>
  </si>
  <si>
    <t>Transactions with NCRR, LLC</t>
  </si>
  <si>
    <t>Receivable from NCRR</t>
  </si>
  <si>
    <t>Date</t>
  </si>
  <si>
    <t>Purpose</t>
  </si>
  <si>
    <t>04/24/2023</t>
  </si>
  <si>
    <t>Short term loan</t>
  </si>
  <si>
    <t>05/01/2023</t>
  </si>
  <si>
    <t>Pay back ST loan</t>
  </si>
  <si>
    <t>Mistakenly paid NCRR bill</t>
  </si>
  <si>
    <t>02/28/2024</t>
  </si>
  <si>
    <t>03/29/2024</t>
  </si>
  <si>
    <t>Payable to NCRR</t>
  </si>
  <si>
    <t>NCRR paid Sunrise expense</t>
  </si>
  <si>
    <t>Leases</t>
  </si>
  <si>
    <t>Lessor</t>
  </si>
  <si>
    <t>Description</t>
  </si>
  <si>
    <t xml:space="preserve">Term </t>
  </si>
  <si>
    <t>Amount/mo</t>
  </si>
  <si>
    <t>Emily Cyr</t>
  </si>
  <si>
    <t>Storage lot</t>
  </si>
  <si>
    <t>Month to month</t>
  </si>
  <si>
    <t>Jim Gotti</t>
  </si>
  <si>
    <t>Office Building</t>
  </si>
  <si>
    <t>Adjustments Matrix</t>
  </si>
  <si>
    <t>Restating 1</t>
  </si>
  <si>
    <t>Restating 2</t>
  </si>
  <si>
    <t>Restating 3</t>
  </si>
  <si>
    <t>Restating 4</t>
  </si>
  <si>
    <t>Restating 5</t>
  </si>
  <si>
    <t>Pro Forma 1</t>
  </si>
  <si>
    <t>Pro Forma 2</t>
  </si>
  <si>
    <t>Pro Forma 3</t>
  </si>
  <si>
    <t>Pro Forma 4</t>
  </si>
  <si>
    <t>Pro Forma 5</t>
  </si>
  <si>
    <t>See Depreciation tab</t>
  </si>
  <si>
    <t>See Interest Expense tab</t>
  </si>
  <si>
    <t>Depreciation Schedule UTC Basis</t>
  </si>
  <si>
    <t xml:space="preserve"> </t>
  </si>
  <si>
    <t>Test Year</t>
  </si>
  <si>
    <t>Beginning</t>
  </si>
  <si>
    <t>End</t>
  </si>
  <si>
    <t>Mo</t>
  </si>
  <si>
    <t>Yr</t>
  </si>
  <si>
    <t>Inputs</t>
  </si>
  <si>
    <t>Non Allocated Output</t>
  </si>
  <si>
    <t>Asset Category</t>
  </si>
  <si>
    <t>Asset Description</t>
  </si>
  <si>
    <t>Date in Service</t>
  </si>
  <si>
    <t>Original Asset Cost</t>
  </si>
  <si>
    <t>Service Life</t>
  </si>
  <si>
    <t>Regulated Allocation</t>
  </si>
  <si>
    <t>Service life</t>
  </si>
  <si>
    <t>Fully Depreciated</t>
  </si>
  <si>
    <t>Depreciable Cost</t>
  </si>
  <si>
    <t>Regulated Invest</t>
  </si>
  <si>
    <t>Months of Dep in CY</t>
  </si>
  <si>
    <t>Beg AD</t>
  </si>
  <si>
    <t>CY Dep</t>
  </si>
  <si>
    <t>End AD</t>
  </si>
  <si>
    <t>End BV</t>
  </si>
  <si>
    <t>YE Mar 2024 Regulated Dep Expense</t>
  </si>
  <si>
    <t>Months of Dep in YE Mar 2025</t>
  </si>
  <si>
    <t>YE Mar 2025 Regulated Dep Expense</t>
  </si>
  <si>
    <t>List</t>
  </si>
  <si>
    <t>Day</t>
  </si>
  <si>
    <t>$</t>
  </si>
  <si>
    <t>%</t>
  </si>
  <si>
    <t>Buildings</t>
  </si>
  <si>
    <t>Recycling Building</t>
  </si>
  <si>
    <t>Containers</t>
  </si>
  <si>
    <t>2013 Containers</t>
  </si>
  <si>
    <t>2014 Containers</t>
  </si>
  <si>
    <t>2015 Containers</t>
  </si>
  <si>
    <t>2016 Containers</t>
  </si>
  <si>
    <t>2017 Containers</t>
  </si>
  <si>
    <t>2018 Containers</t>
  </si>
  <si>
    <t>2019 Containers</t>
  </si>
  <si>
    <t>2020 Containers</t>
  </si>
  <si>
    <t>2021 Containers</t>
  </si>
  <si>
    <t>2022 Containers</t>
  </si>
  <si>
    <t>2023 Containers</t>
  </si>
  <si>
    <t>2024 Containers</t>
  </si>
  <si>
    <t>Equipment</t>
  </si>
  <si>
    <t>2013 Office Equipment</t>
  </si>
  <si>
    <t>2014 Office Equipment</t>
  </si>
  <si>
    <t>2015 Office Equipment</t>
  </si>
  <si>
    <t>2013 Shop Equipment</t>
  </si>
  <si>
    <t>Storage Trailer</t>
  </si>
  <si>
    <t>Storage Shed</t>
  </si>
  <si>
    <t>Vehicle Carport</t>
  </si>
  <si>
    <t>Security Camera System</t>
  </si>
  <si>
    <t>Improvements</t>
  </si>
  <si>
    <t>Fence</t>
  </si>
  <si>
    <t>Trucks and Rolling Stock</t>
  </si>
  <si>
    <t>1995 Peterbuilt</t>
  </si>
  <si>
    <t>53 FT Flatbed Trailer</t>
  </si>
  <si>
    <t>2003 Crane Carrier Refuse</t>
  </si>
  <si>
    <t>#43 Roll Off Truck</t>
  </si>
  <si>
    <t>Service Truck</t>
  </si>
  <si>
    <t>82 Curotto Can</t>
  </si>
  <si>
    <t>Route Computer</t>
  </si>
  <si>
    <t>2016 Dodge Ram Pickup</t>
  </si>
  <si>
    <t>Tarp System</t>
  </si>
  <si>
    <t>2016 Dodge Shop Truck</t>
  </si>
  <si>
    <t>2020 Dodge Recycling Truck</t>
  </si>
  <si>
    <t>Bailer</t>
  </si>
  <si>
    <t>Stellar Hoist on Shop Truck</t>
  </si>
  <si>
    <t>Trailer Boss Equipment Trailer</t>
  </si>
  <si>
    <t>Bailer 2</t>
  </si>
  <si>
    <t>New Rolloff Truck</t>
  </si>
  <si>
    <t>Dual Axle Equipment Trailer - Velarde</t>
  </si>
  <si>
    <t>Rolloff Trailer  - Guthrie</t>
  </si>
  <si>
    <t>Garbage Trucks</t>
  </si>
  <si>
    <t>#77 Garbage Truck</t>
  </si>
  <si>
    <t>#89 2013 Mack Garbage Truck</t>
  </si>
  <si>
    <t>#14 2020 Mack Garbage Truck</t>
  </si>
  <si>
    <t>#15 2020 Mack Garbage Truck</t>
  </si>
  <si>
    <t>#82 2019 Mack Garbage Truck</t>
  </si>
  <si>
    <t>2024 Mack Garbage Truck</t>
  </si>
  <si>
    <t>Intangible</t>
  </si>
  <si>
    <t>Original Sunrise Purchase Goodwill</t>
  </si>
  <si>
    <t>Wilbur Purchase Goodwill</t>
  </si>
  <si>
    <t>Purchased w/ Sunrise</t>
  </si>
  <si>
    <t>Software</t>
  </si>
  <si>
    <t>Route Scheduling Software</t>
  </si>
  <si>
    <t>Omak Land</t>
  </si>
  <si>
    <t>UTC cost</t>
  </si>
  <si>
    <t>less assets expensed for tax basis</t>
  </si>
  <si>
    <t>UTC year dep</t>
  </si>
  <si>
    <t>less assets purchased in 2024</t>
  </si>
  <si>
    <t>less partial year dep</t>
  </si>
  <si>
    <t>12/31/23 tax basis cost per tax dep sch</t>
  </si>
  <si>
    <t>Monthly dep - full yr assets</t>
  </si>
  <si>
    <t>difference</t>
  </si>
  <si>
    <t>Monthly Depreciation Expense</t>
  </si>
  <si>
    <t>Monthly Dep UTC Year Ending 3/31/2024</t>
  </si>
  <si>
    <t>Months of Dep</t>
  </si>
  <si>
    <t>Monthly dep</t>
  </si>
  <si>
    <t>in UTC Year</t>
  </si>
  <si>
    <t>Full year assets</t>
  </si>
  <si>
    <t>2024 Garbage Truck</t>
  </si>
  <si>
    <t>Monthly Dep UTC Year Ending 3/31/2025</t>
  </si>
  <si>
    <t>82  Curatto Can</t>
  </si>
  <si>
    <t>Diff</t>
  </si>
  <si>
    <t>Nominal Monthly Test Year Depreciation</t>
  </si>
  <si>
    <t xml:space="preserve">Mo </t>
  </si>
  <si>
    <t>Service Life Remaining at End of Year</t>
  </si>
  <si>
    <t>Total Months In Service at End of Year</t>
  </si>
  <si>
    <t>CY Regulated Allocation Output</t>
  </si>
  <si>
    <t>Following Year</t>
  </si>
  <si>
    <t xml:space="preserve">Following Year Depreciation </t>
  </si>
  <si>
    <t>YE Mar '25 Regulated Dep Exp</t>
  </si>
  <si>
    <t>YE Mar '24 Regulated Dep Exp</t>
  </si>
  <si>
    <t>Ratio of Stockholder's Equity to Total Liabilities &amp; Stockholder's Equity</t>
  </si>
  <si>
    <t>Ratio of Liabilities to Total Liabilities &amp; Stockholder's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</si>
</sst>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1" formatCode="_(* #,##0_);_(* \(#,##0\);_(* &quot;-&quot;_);_(@_)"/>
    <numFmt numFmtId="44" formatCode="_(&quot;$&quot;* #,##0.00_);_(&quot;$&quot;* \(#,##0.00\);_(&quot;$&quot;* &quot;-&quot;??_);_(@_)"/>
    <numFmt numFmtId="43" formatCode="_(* #,##0.00_);_(* \(#,##0.00\);_(* &quot;-&quot;??_);_(@_)"/>
    <numFmt numFmtId="164" formatCode="#,##0.000_);\(#,##0.000\)"/>
    <numFmt numFmtId="165" formatCode="#,##0.0000_);\(#,##0.0000\)"/>
    <numFmt numFmtId="166" formatCode="#,##0.00000_);\(#,##0.00000\)"/>
    <numFmt numFmtId="167" formatCode="0.00000"/>
    <numFmt numFmtId="168" formatCode="0.000%"/>
    <numFmt numFmtId="169" formatCode="_(* #,##0_);_(* \(#,##0\);_(* &quot;-&quot;??_);_(@_)"/>
    <numFmt numFmtId="170" formatCode="General_)"/>
    <numFmt numFmtId="171" formatCode="0.0%"/>
    <numFmt numFmtId="172" formatCode="_(* #,##0.00000_);_(* \(#,##0.00000\);_(* &quot;-&quot;??_);_(@_)"/>
    <numFmt numFmtId="173" formatCode="0.0000%"/>
    <numFmt numFmtId="174" formatCode="_(&quot;$&quot;* #,##0_);_(&quot;$&quot;* \(#,##0\);_(&quot;$&quot;* &quot;-&quot;??_);_(@_)"/>
  </numFmts>
  <fonts count="51">
    <font>
      <sz val="12"/>
      <name val="SWISS"/>
    </font>
    <font>
      <sz val="10"/>
      <name val="Times New Roman"/>
      <family val="1"/>
    </font>
    <font>
      <sz val="10"/>
      <color indexed="39"/>
      <name val="Times New Roman"/>
      <family val="1"/>
    </font>
    <font>
      <sz val="12"/>
      <color indexed="39"/>
      <name val="SWISS"/>
    </font>
    <font>
      <sz val="12"/>
      <color indexed="10"/>
      <name val="SWISS"/>
    </font>
    <font>
      <sz val="12"/>
      <color indexed="8"/>
      <name val="SWISS"/>
    </font>
    <font>
      <sz val="10"/>
      <color indexed="18"/>
      <name val="Times New Roman"/>
      <family val="1"/>
    </font>
    <font>
      <sz val="12"/>
      <color indexed="18"/>
      <name val="SWISS"/>
    </font>
    <font>
      <sz val="12"/>
      <color indexed="32"/>
      <name val="SWISS"/>
    </font>
    <font>
      <b/>
      <sz val="14"/>
      <name val="SWISS"/>
    </font>
    <font>
      <sz val="12"/>
      <color indexed="12"/>
      <name val="SWISS"/>
    </font>
    <font>
      <i/>
      <sz val="12"/>
      <name val="SWISS"/>
    </font>
    <font>
      <sz val="12"/>
      <color indexed="56"/>
      <name val="SWISS"/>
    </font>
    <font>
      <b/>
      <sz val="12"/>
      <name val="SWISS"/>
    </font>
    <font>
      <sz val="11"/>
      <color indexed="8"/>
      <name val="Calibri"/>
      <family val="2"/>
    </font>
    <font>
      <sz val="12"/>
      <name val="Times New Roman"/>
      <family val="1"/>
    </font>
    <font>
      <sz val="12"/>
      <color indexed="18"/>
      <name val="Times New Roman"/>
      <family val="1"/>
    </font>
    <font>
      <sz val="12"/>
      <color indexed="8"/>
      <name val="Times New Roman"/>
      <family val="1"/>
    </font>
    <font>
      <sz val="12"/>
      <color indexed="39"/>
      <name val="Times New Roman"/>
      <family val="1"/>
    </font>
    <font>
      <b/>
      <sz val="12"/>
      <color indexed="12"/>
      <name val="Times New Roman"/>
      <family val="1"/>
    </font>
    <font>
      <b/>
      <sz val="12"/>
      <color indexed="39"/>
      <name val="Times New Roman"/>
      <family val="1"/>
    </font>
    <font>
      <u/>
      <sz val="12"/>
      <color indexed="12"/>
      <name val="Times New Roman"/>
      <family val="1"/>
    </font>
    <font>
      <u/>
      <sz val="12"/>
      <color indexed="8"/>
      <name val="Times New Roman"/>
      <family val="1"/>
    </font>
    <font>
      <sz val="14"/>
      <color indexed="9"/>
      <name val="Calibri"/>
      <family val="2"/>
    </font>
    <font>
      <b/>
      <u/>
      <sz val="12"/>
      <color indexed="39"/>
      <name val="Times New Roman"/>
      <family val="1"/>
    </font>
    <font>
      <sz val="9"/>
      <color indexed="39"/>
      <name val="Times New Roman"/>
      <family val="1"/>
    </font>
    <font>
      <sz val="11"/>
      <color theme="0"/>
      <name val="Calibri"/>
      <family val="2"/>
      <scheme val="minor"/>
    </font>
    <font>
      <sz val="11"/>
      <name val="Times New Roman"/>
      <family val="1"/>
    </font>
    <font>
      <sz val="12"/>
      <name val="SWISS"/>
    </font>
    <font>
      <sz val="8"/>
      <color indexed="9"/>
      <name val="Calibri"/>
      <family val="2"/>
    </font>
    <font>
      <b/>
      <sz val="10"/>
      <name val="SWISS"/>
    </font>
    <font>
      <sz val="9"/>
      <color rgb="FF0070C0"/>
      <name val="SWISS"/>
    </font>
    <font>
      <sz val="12"/>
      <name val="Helv"/>
    </font>
    <font>
      <b/>
      <sz val="16"/>
      <name val="Times New Roman"/>
      <family val="1"/>
    </font>
    <font>
      <b/>
      <sz val="14"/>
      <name val="Times New Roman"/>
      <family val="1"/>
    </font>
    <font>
      <b/>
      <u/>
      <sz val="14"/>
      <name val="Times New Roman"/>
      <family val="1"/>
    </font>
    <font>
      <b/>
      <sz val="20"/>
      <name val="Times New Roman"/>
      <family val="1"/>
    </font>
    <font>
      <sz val="20"/>
      <name val="Times New Roman"/>
      <family val="1"/>
    </font>
    <font>
      <sz val="11"/>
      <color theme="1"/>
      <name val="Calibri"/>
      <family val="2"/>
      <scheme val="minor"/>
    </font>
    <font>
      <u/>
      <sz val="11"/>
      <color theme="1"/>
      <name val="Calibri"/>
      <family val="2"/>
      <scheme val="minor"/>
    </font>
    <font>
      <b/>
      <sz val="11"/>
      <color theme="1"/>
      <name val="Calibri"/>
      <family val="2"/>
      <scheme val="minor"/>
    </font>
    <font>
      <b/>
      <u/>
      <sz val="11"/>
      <color theme="1"/>
      <name val="Calibri"/>
      <family val="2"/>
      <scheme val="minor"/>
    </font>
    <font>
      <u val="singleAccounting"/>
      <sz val="11"/>
      <color theme="1"/>
      <name val="Calibri"/>
      <family val="2"/>
      <scheme val="minor"/>
    </font>
    <font>
      <sz val="11"/>
      <color rgb="FFFF0000"/>
      <name val="Calibri"/>
      <family val="2"/>
      <scheme val="minor"/>
    </font>
    <font>
      <sz val="11"/>
      <color indexed="8"/>
      <name val="Calibri"/>
      <family val="2"/>
      <scheme val="minor"/>
    </font>
    <font>
      <b/>
      <sz val="11"/>
      <color rgb="FFFF0000"/>
      <name val="Calibri"/>
      <family val="2"/>
      <scheme val="minor"/>
    </font>
    <font>
      <sz val="11"/>
      <name val="Calibri"/>
      <family val="2"/>
      <scheme val="minor"/>
    </font>
    <font>
      <sz val="10"/>
      <name val="Arial"/>
      <family val="2"/>
    </font>
    <font>
      <sz val="9"/>
      <name val="Segoe UI"/>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5"/>
        <bgColor indexed="64"/>
      </patternFill>
    </fill>
    <fill>
      <patternFill patternType="solid">
        <fgColor indexed="9"/>
        <bgColor indexed="8"/>
      </patternFill>
    </fill>
    <fill>
      <patternFill patternType="solid">
        <fgColor theme="8"/>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32">
    <border>
      <left/>
      <right/>
      <top/>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top style="thin">
        <color theme="4" tint="-0.24994659260841701"/>
      </top>
      <bottom style="double">
        <color theme="4" tint="-0.24994659260841701"/>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s>
  <cellStyleXfs count="18">
    <xf numFmtId="0" fontId="0" fillId="2" borderId="0"/>
    <xf numFmtId="0" fontId="26" fillId="6" borderId="0" applyNumberFormat="0" applyBorder="0" applyAlignment="0" applyProtection="0"/>
    <xf numFmtId="41" fontId="1" fillId="3" borderId="0">
      <alignment horizontal="left"/>
    </xf>
    <xf numFmtId="10" fontId="1" fillId="3" borderId="0"/>
    <xf numFmtId="9" fontId="14" fillId="0" borderId="0" applyFont="0" applyFill="0" applyBorder="0" applyAlignment="0" applyProtection="0"/>
    <xf numFmtId="0" fontId="28" fillId="2" borderId="0"/>
    <xf numFmtId="170" fontId="32" fillId="0" borderId="0"/>
    <xf numFmtId="41" fontId="1" fillId="3" borderId="0">
      <alignment horizontal="left"/>
    </xf>
    <xf numFmtId="0" fontId="38" fillId="0" borderId="0"/>
    <xf numFmtId="43" fontId="38" fillId="0" borderId="0" applyFont="0" applyFill="0" applyBorder="0" applyAlignment="0" applyProtection="0"/>
    <xf numFmtId="9" fontId="38" fillId="0" borderId="0" applyFont="0" applyFill="0" applyBorder="0" applyAlignment="0" applyProtection="0"/>
    <xf numFmtId="0" fontId="44" fillId="0" borderId="0"/>
    <xf numFmtId="0" fontId="38" fillId="0" borderId="0"/>
    <xf numFmtId="0" fontId="32" fillId="0" borderId="0"/>
    <xf numFmtId="44" fontId="47" fillId="0" borderId="0" applyFont="0" applyFill="0" applyBorder="0" applyAlignment="0" applyProtection="0"/>
    <xf numFmtId="44" fontId="38" fillId="0" borderId="0" applyFont="0" applyFill="0" applyBorder="0" applyAlignment="0" applyProtection="0"/>
    <xf numFmtId="9" fontId="38" fillId="0" borderId="0" applyFont="0" applyFill="0" applyBorder="0" applyAlignment="0" applyProtection="0"/>
    <xf numFmtId="9" fontId="48" fillId="0" borderId="0" applyFont="0" applyFill="0" applyBorder="0" applyAlignment="0" applyProtection="0"/>
  </cellStyleXfs>
  <cellXfs count="346">
    <xf numFmtId="0" fontId="0" fillId="2" borderId="0" xfId="0"/>
    <xf numFmtId="0" fontId="0" fillId="2" borderId="0" xfId="0" applyAlignment="1">
      <alignment horizontal="center"/>
    </xf>
    <xf numFmtId="0" fontId="1" fillId="2" borderId="0" xfId="0" applyFont="1"/>
    <xf numFmtId="0" fontId="0" fillId="2" borderId="2" xfId="0" applyBorder="1" applyAlignment="1">
      <alignment horizontal="center"/>
    </xf>
    <xf numFmtId="10" fontId="4" fillId="2" borderId="0" xfId="0" applyNumberFormat="1" applyFont="1"/>
    <xf numFmtId="0" fontId="0" fillId="2" borderId="5" xfId="0" applyBorder="1" applyAlignment="1">
      <alignment horizontal="center"/>
    </xf>
    <xf numFmtId="165" fontId="0" fillId="2" borderId="0" xfId="0" applyNumberFormat="1"/>
    <xf numFmtId="0" fontId="0" fillId="2" borderId="8" xfId="0" applyBorder="1" applyAlignment="1">
      <alignment horizontal="center"/>
    </xf>
    <xf numFmtId="165" fontId="0" fillId="2" borderId="9" xfId="0" applyNumberFormat="1" applyBorder="1"/>
    <xf numFmtId="37" fontId="0" fillId="2" borderId="0" xfId="0" applyNumberFormat="1"/>
    <xf numFmtId="41" fontId="0" fillId="2" borderId="0" xfId="0" applyNumberFormat="1"/>
    <xf numFmtId="10" fontId="1" fillId="3" borderId="0" xfId="3"/>
    <xf numFmtId="39" fontId="0" fillId="2" borderId="0" xfId="0" applyNumberFormat="1"/>
    <xf numFmtId="164" fontId="0" fillId="2" borderId="0" xfId="0" applyNumberFormat="1"/>
    <xf numFmtId="0" fontId="0" fillId="2" borderId="3" xfId="0" applyBorder="1"/>
    <xf numFmtId="0" fontId="0" fillId="2" borderId="4" xfId="0" applyBorder="1"/>
    <xf numFmtId="0" fontId="0" fillId="2" borderId="6" xfId="0" applyBorder="1"/>
    <xf numFmtId="0" fontId="0" fillId="2" borderId="0" xfId="0" quotePrefix="1" applyAlignment="1">
      <alignment horizontal="right"/>
    </xf>
    <xf numFmtId="10" fontId="0" fillId="2" borderId="6" xfId="0" applyNumberFormat="1" applyBorder="1"/>
    <xf numFmtId="0" fontId="0" fillId="2" borderId="9" xfId="0" applyBorder="1"/>
    <xf numFmtId="0" fontId="0" fillId="2" borderId="10" xfId="0" applyBorder="1"/>
    <xf numFmtId="166" fontId="0" fillId="2" borderId="0" xfId="0" applyNumberFormat="1"/>
    <xf numFmtId="0" fontId="0" fillId="2" borderId="2" xfId="0" applyBorder="1"/>
    <xf numFmtId="0" fontId="0" fillId="2" borderId="5" xfId="0" applyBorder="1"/>
    <xf numFmtId="0" fontId="7" fillId="2" borderId="10" xfId="0" applyFont="1" applyBorder="1"/>
    <xf numFmtId="0" fontId="0" fillId="2" borderId="8" xfId="0" applyBorder="1"/>
    <xf numFmtId="0" fontId="0" fillId="2" borderId="2" xfId="0" applyBorder="1" applyAlignment="1">
      <alignment horizontal="centerContinuous"/>
    </xf>
    <xf numFmtId="0" fontId="0" fillId="2" borderId="4" xfId="0" applyBorder="1" applyAlignment="1">
      <alignment horizontal="centerContinuous"/>
    </xf>
    <xf numFmtId="0" fontId="0" fillId="2" borderId="5" xfId="0" applyBorder="1" applyAlignment="1">
      <alignment horizontal="centerContinuous"/>
    </xf>
    <xf numFmtId="0" fontId="0" fillId="2" borderId="6" xfId="0" applyBorder="1" applyAlignment="1">
      <alignment horizontal="centerContinuous"/>
    </xf>
    <xf numFmtId="0" fontId="0" fillId="2" borderId="6" xfId="0" applyBorder="1" applyAlignment="1">
      <alignment horizontal="center"/>
    </xf>
    <xf numFmtId="0" fontId="0" fillId="2" borderId="10" xfId="0" applyBorder="1" applyAlignment="1">
      <alignment horizontal="center"/>
    </xf>
    <xf numFmtId="165" fontId="5" fillId="2" borderId="0" xfId="0" applyNumberFormat="1" applyFont="1"/>
    <xf numFmtId="0" fontId="5" fillId="2" borderId="5" xfId="0" applyFont="1" applyBorder="1" applyAlignment="1">
      <alignment horizontal="center"/>
    </xf>
    <xf numFmtId="0" fontId="9" fillId="2" borderId="11" xfId="0" applyFont="1" applyBorder="1" applyAlignment="1">
      <alignment horizontal="centerContinuous"/>
    </xf>
    <xf numFmtId="0" fontId="9" fillId="2" borderId="12" xfId="0" applyFont="1" applyBorder="1" applyAlignment="1">
      <alignment horizontal="centerContinuous"/>
    </xf>
    <xf numFmtId="0" fontId="0" fillId="2" borderId="12" xfId="0" applyBorder="1" applyAlignment="1">
      <alignment horizontal="centerContinuous"/>
    </xf>
    <xf numFmtId="0" fontId="10" fillId="0" borderId="0" xfId="0" applyFont="1" applyFill="1"/>
    <xf numFmtId="0" fontId="10" fillId="0" borderId="0" xfId="0" applyFont="1" applyFill="1" applyAlignment="1">
      <alignment horizontal="center"/>
    </xf>
    <xf numFmtId="0" fontId="10" fillId="4" borderId="0" xfId="0" applyFont="1" applyFill="1"/>
    <xf numFmtId="0" fontId="10" fillId="4" borderId="13" xfId="0" applyFont="1" applyFill="1" applyBorder="1"/>
    <xf numFmtId="0" fontId="0" fillId="4" borderId="0" xfId="0" applyFill="1"/>
    <xf numFmtId="0" fontId="7" fillId="4" borderId="0" xfId="0" applyFont="1" applyFill="1"/>
    <xf numFmtId="0" fontId="3" fillId="4" borderId="0" xfId="0" applyFont="1" applyFill="1"/>
    <xf numFmtId="10" fontId="0" fillId="4" borderId="0" xfId="0" applyNumberFormat="1" applyFill="1"/>
    <xf numFmtId="0" fontId="8" fillId="4" borderId="0" xfId="0" applyFont="1" applyFill="1"/>
    <xf numFmtId="2" fontId="8" fillId="4" borderId="0" xfId="0" applyNumberFormat="1" applyFont="1" applyFill="1"/>
    <xf numFmtId="41" fontId="0" fillId="4" borderId="0" xfId="0" applyNumberFormat="1" applyFill="1"/>
    <xf numFmtId="0" fontId="0" fillId="4" borderId="0" xfId="0" applyFill="1" applyAlignment="1">
      <alignment horizontal="right"/>
    </xf>
    <xf numFmtId="0" fontId="7" fillId="4" borderId="0" xfId="0" applyFont="1" applyFill="1" applyAlignment="1">
      <alignment horizontal="fill"/>
    </xf>
    <xf numFmtId="0" fontId="0" fillId="3" borderId="0" xfId="0" applyFill="1"/>
    <xf numFmtId="167" fontId="0" fillId="2" borderId="0" xfId="0" applyNumberFormat="1"/>
    <xf numFmtId="0" fontId="0" fillId="2" borderId="2" xfId="0" applyBorder="1" applyAlignment="1">
      <alignment horizontal="left"/>
    </xf>
    <xf numFmtId="0" fontId="0" fillId="2" borderId="5" xfId="0" applyBorder="1" applyAlignment="1">
      <alignment horizontal="left"/>
    </xf>
    <xf numFmtId="167" fontId="0" fillId="2" borderId="6" xfId="0" applyNumberFormat="1" applyBorder="1" applyAlignment="1">
      <alignment horizontal="center"/>
    </xf>
    <xf numFmtId="0" fontId="0" fillId="2" borderId="9" xfId="0" applyBorder="1" applyAlignment="1">
      <alignment horizontal="right"/>
    </xf>
    <xf numFmtId="167" fontId="0" fillId="2" borderId="10" xfId="0" applyNumberFormat="1" applyBorder="1" applyAlignment="1">
      <alignment horizontal="center"/>
    </xf>
    <xf numFmtId="0" fontId="0" fillId="2" borderId="0" xfId="0" applyAlignment="1">
      <alignment horizontal="centerContinuous"/>
    </xf>
    <xf numFmtId="0" fontId="11" fillId="2" borderId="0" xfId="0" applyFont="1" applyAlignment="1">
      <alignment horizontal="centerContinuous"/>
    </xf>
    <xf numFmtId="0" fontId="0" fillId="2" borderId="0" xfId="0" applyAlignment="1">
      <alignment horizontal="left"/>
    </xf>
    <xf numFmtId="0" fontId="0" fillId="2" borderId="3" xfId="0" applyBorder="1" applyAlignment="1">
      <alignment horizontal="left"/>
    </xf>
    <xf numFmtId="167" fontId="12" fillId="2" borderId="3" xfId="0" applyNumberFormat="1" applyFont="1" applyBorder="1" applyAlignment="1">
      <alignment horizontal="center"/>
    </xf>
    <xf numFmtId="167" fontId="12" fillId="2" borderId="0" xfId="0" applyNumberFormat="1" applyFont="1" applyAlignment="1">
      <alignment horizontal="center"/>
    </xf>
    <xf numFmtId="167" fontId="12" fillId="2" borderId="4" xfId="0" applyNumberFormat="1" applyFont="1" applyBorder="1" applyAlignment="1">
      <alignment horizontal="center"/>
    </xf>
    <xf numFmtId="10" fontId="0" fillId="2" borderId="0" xfId="0" applyNumberFormat="1" applyAlignment="1">
      <alignment horizontal="center"/>
    </xf>
    <xf numFmtId="167" fontId="12" fillId="2" borderId="6" xfId="0" applyNumberFormat="1" applyFont="1" applyBorder="1" applyAlignment="1">
      <alignment horizontal="center"/>
    </xf>
    <xf numFmtId="0" fontId="13" fillId="2" borderId="0" xfId="0" applyFont="1" applyAlignment="1">
      <alignment horizontal="centerContinuous"/>
    </xf>
    <xf numFmtId="167" fontId="12" fillId="2" borderId="9" xfId="0" applyNumberFormat="1" applyFont="1" applyBorder="1" applyAlignment="1">
      <alignment horizontal="left"/>
    </xf>
    <xf numFmtId="0" fontId="10" fillId="0" borderId="5" xfId="0" applyFont="1" applyFill="1" applyBorder="1"/>
    <xf numFmtId="0" fontId="0" fillId="2" borderId="14" xfId="0" applyBorder="1"/>
    <xf numFmtId="0" fontId="15" fillId="2" borderId="0" xfId="0" applyFont="1"/>
    <xf numFmtId="41" fontId="15" fillId="2" borderId="0" xfId="0" applyNumberFormat="1" applyFont="1"/>
    <xf numFmtId="0" fontId="16" fillId="2" borderId="0" xfId="0" applyFont="1"/>
    <xf numFmtId="0" fontId="17" fillId="2" borderId="0" xfId="0" applyFont="1"/>
    <xf numFmtId="0" fontId="18" fillId="2" borderId="0" xfId="0" applyFont="1"/>
    <xf numFmtId="0" fontId="19" fillId="5" borderId="0" xfId="0" applyFont="1" applyFill="1" applyAlignment="1">
      <alignment horizontal="center"/>
    </xf>
    <xf numFmtId="0" fontId="20" fillId="5" borderId="0" xfId="0" applyFont="1" applyFill="1" applyAlignment="1">
      <alignment horizontal="center"/>
    </xf>
    <xf numFmtId="0" fontId="18" fillId="2" borderId="0" xfId="0" applyFont="1" applyAlignment="1">
      <alignment horizontal="right"/>
    </xf>
    <xf numFmtId="41" fontId="18" fillId="2" borderId="0" xfId="0" applyNumberFormat="1" applyFont="1"/>
    <xf numFmtId="41" fontId="18" fillId="2" borderId="7" xfId="0" applyNumberFormat="1" applyFont="1" applyBorder="1"/>
    <xf numFmtId="5" fontId="18" fillId="2" borderId="7" xfId="0" applyNumberFormat="1" applyFont="1" applyBorder="1"/>
    <xf numFmtId="10" fontId="18" fillId="2" borderId="0" xfId="0" applyNumberFormat="1" applyFont="1" applyAlignment="1">
      <alignment horizontal="right"/>
    </xf>
    <xf numFmtId="0" fontId="21" fillId="2" borderId="0" xfId="0" applyFont="1" applyAlignment="1">
      <alignment horizontal="right"/>
    </xf>
    <xf numFmtId="41" fontId="21" fillId="2" borderId="0" xfId="0" applyNumberFormat="1" applyFont="1" applyAlignment="1">
      <alignment horizontal="center"/>
    </xf>
    <xf numFmtId="0" fontId="21" fillId="2" borderId="0" xfId="0" applyFont="1" applyAlignment="1">
      <alignment horizontal="center"/>
    </xf>
    <xf numFmtId="41" fontId="18" fillId="2" borderId="0" xfId="0" applyNumberFormat="1" applyFont="1" applyProtection="1">
      <protection locked="0"/>
    </xf>
    <xf numFmtId="10" fontId="18" fillId="2" borderId="0" xfId="0" applyNumberFormat="1" applyFont="1" applyAlignment="1">
      <alignment horizontal="center"/>
    </xf>
    <xf numFmtId="10" fontId="18" fillId="2" borderId="0" xfId="0" applyNumberFormat="1" applyFont="1"/>
    <xf numFmtId="41" fontId="18" fillId="2" borderId="9" xfId="0" applyNumberFormat="1" applyFont="1" applyBorder="1" applyProtection="1">
      <protection locked="0"/>
    </xf>
    <xf numFmtId="9" fontId="18" fillId="2" borderId="0" xfId="0" applyNumberFormat="1" applyFont="1" applyAlignment="1">
      <alignment horizontal="center"/>
    </xf>
    <xf numFmtId="0" fontId="18" fillId="2" borderId="0" xfId="0" quotePrefix="1" applyFont="1" applyAlignment="1">
      <alignment horizontal="left"/>
    </xf>
    <xf numFmtId="39" fontId="18" fillId="2" borderId="0" xfId="0" applyNumberFormat="1" applyFont="1"/>
    <xf numFmtId="0" fontId="22" fillId="2" borderId="0" xfId="0" applyFont="1"/>
    <xf numFmtId="0" fontId="19" fillId="5" borderId="9" xfId="0" applyFont="1" applyFill="1" applyBorder="1"/>
    <xf numFmtId="0" fontId="20" fillId="5" borderId="9" xfId="0" applyFont="1" applyFill="1" applyBorder="1"/>
    <xf numFmtId="0" fontId="20" fillId="5" borderId="9" xfId="0" applyFont="1" applyFill="1" applyBorder="1" applyAlignment="1">
      <alignment horizontal="center"/>
    </xf>
    <xf numFmtId="0" fontId="23" fillId="6" borderId="16" xfId="1" applyNumberFormat="1" applyFont="1" applyBorder="1" applyAlignment="1">
      <alignment horizontal="centerContinuous"/>
    </xf>
    <xf numFmtId="0" fontId="23" fillId="6" borderId="16" xfId="1" applyNumberFormat="1" applyFont="1" applyBorder="1" applyAlignment="1">
      <alignment horizontal="left"/>
    </xf>
    <xf numFmtId="0" fontId="19" fillId="3" borderId="0" xfId="0" applyFont="1" applyFill="1" applyAlignment="1">
      <alignment horizontal="centerContinuous"/>
    </xf>
    <xf numFmtId="0" fontId="24" fillId="2" borderId="0" xfId="0" applyFont="1"/>
    <xf numFmtId="0" fontId="20" fillId="2" borderId="0" xfId="0" applyFont="1"/>
    <xf numFmtId="0" fontId="24" fillId="2" borderId="0" xfId="0" applyFont="1" applyAlignment="1">
      <alignment horizontal="right"/>
    </xf>
    <xf numFmtId="41" fontId="18" fillId="2" borderId="1" xfId="0" applyNumberFormat="1" applyFont="1" applyBorder="1"/>
    <xf numFmtId="0" fontId="20" fillId="2" borderId="0" xfId="0" applyFont="1" applyAlignment="1">
      <alignment horizontal="center"/>
    </xf>
    <xf numFmtId="0" fontId="20" fillId="2" borderId="9" xfId="0" applyFont="1" applyBorder="1" applyAlignment="1">
      <alignment horizontal="right"/>
    </xf>
    <xf numFmtId="0" fontId="2" fillId="2" borderId="0" xfId="0" applyFont="1"/>
    <xf numFmtId="10" fontId="27" fillId="3" borderId="0" xfId="3" applyFont="1"/>
    <xf numFmtId="168" fontId="27" fillId="3" borderId="6" xfId="3" applyNumberFormat="1" applyFont="1" applyBorder="1"/>
    <xf numFmtId="10" fontId="27" fillId="3" borderId="9" xfId="3" applyFont="1" applyBorder="1"/>
    <xf numFmtId="10" fontId="27" fillId="3" borderId="10" xfId="3" applyFont="1" applyBorder="1"/>
    <xf numFmtId="0" fontId="13" fillId="4" borderId="0" xfId="0" applyFont="1" applyFill="1"/>
    <xf numFmtId="0" fontId="0" fillId="7" borderId="0" xfId="0" applyFill="1"/>
    <xf numFmtId="2" fontId="0" fillId="2" borderId="19" xfId="0" applyNumberFormat="1" applyBorder="1" applyAlignment="1">
      <alignment horizontal="center"/>
    </xf>
    <xf numFmtId="165" fontId="0" fillId="2" borderId="20" xfId="0" applyNumberFormat="1" applyBorder="1"/>
    <xf numFmtId="10" fontId="4" fillId="2" borderId="20" xfId="0" applyNumberFormat="1" applyFont="1" applyBorder="1"/>
    <xf numFmtId="41" fontId="0" fillId="2" borderId="21" xfId="0" applyNumberFormat="1" applyBorder="1"/>
    <xf numFmtId="41" fontId="0" fillId="2" borderId="19" xfId="0" applyNumberFormat="1" applyBorder="1"/>
    <xf numFmtId="41" fontId="0" fillId="2" borderId="20" xfId="0" applyNumberFormat="1" applyBorder="1"/>
    <xf numFmtId="2" fontId="0" fillId="2" borderId="5" xfId="0" applyNumberFormat="1" applyBorder="1" applyAlignment="1">
      <alignment horizontal="center"/>
    </xf>
    <xf numFmtId="41" fontId="0" fillId="2" borderId="6" xfId="0" applyNumberFormat="1" applyBorder="1"/>
    <xf numFmtId="41" fontId="0" fillId="2" borderId="5" xfId="0" applyNumberFormat="1" applyBorder="1"/>
    <xf numFmtId="168" fontId="18" fillId="2" borderId="0" xfId="0" applyNumberFormat="1" applyFont="1"/>
    <xf numFmtId="169" fontId="18" fillId="2" borderId="0" xfId="0" applyNumberFormat="1" applyFont="1" applyProtection="1">
      <protection locked="0"/>
    </xf>
    <xf numFmtId="41" fontId="15" fillId="0" borderId="10" xfId="2" applyFont="1" applyFill="1" applyBorder="1">
      <alignment horizontal="left"/>
    </xf>
    <xf numFmtId="41" fontId="15" fillId="0" borderId="22" xfId="2" applyFont="1" applyFill="1" applyBorder="1">
      <alignment horizontal="left"/>
    </xf>
    <xf numFmtId="10" fontId="15" fillId="0" borderId="22" xfId="3" applyFont="1" applyFill="1" applyBorder="1"/>
    <xf numFmtId="168" fontId="15" fillId="0" borderId="22" xfId="3" applyNumberFormat="1" applyFont="1" applyFill="1" applyBorder="1"/>
    <xf numFmtId="0" fontId="23" fillId="6" borderId="23" xfId="1" applyNumberFormat="1" applyFont="1" applyBorder="1" applyAlignment="1">
      <alignment horizontal="left"/>
    </xf>
    <xf numFmtId="0" fontId="18" fillId="2" borderId="14" xfId="0" applyFont="1" applyBorder="1" applyAlignment="1">
      <alignment horizontal="right"/>
    </xf>
    <xf numFmtId="0" fontId="18" fillId="2" borderId="18" xfId="0" applyFont="1" applyBorder="1" applyAlignment="1">
      <alignment horizontal="right"/>
    </xf>
    <xf numFmtId="41" fontId="18" fillId="2" borderId="24" xfId="0" applyNumberFormat="1" applyFont="1" applyBorder="1"/>
    <xf numFmtId="168" fontId="18" fillId="2" borderId="24" xfId="0" applyNumberFormat="1" applyFont="1" applyBorder="1"/>
    <xf numFmtId="0" fontId="15" fillId="2" borderId="25" xfId="0" applyFont="1" applyBorder="1"/>
    <xf numFmtId="0" fontId="18" fillId="2" borderId="5" xfId="0" applyFont="1" applyBorder="1"/>
    <xf numFmtId="0" fontId="18" fillId="2" borderId="8" xfId="0" applyFont="1" applyBorder="1"/>
    <xf numFmtId="0" fontId="18" fillId="2" borderId="26" xfId="0" applyFont="1" applyBorder="1" applyAlignment="1">
      <alignment horizontal="center"/>
    </xf>
    <xf numFmtId="0" fontId="18" fillId="2" borderId="14" xfId="0" applyFont="1" applyBorder="1" applyAlignment="1">
      <alignment horizontal="center"/>
    </xf>
    <xf numFmtId="10" fontId="18" fillId="2" borderId="24" xfId="0" applyNumberFormat="1" applyFont="1" applyBorder="1" applyAlignment="1">
      <alignment horizontal="center"/>
    </xf>
    <xf numFmtId="0" fontId="15" fillId="2" borderId="0" xfId="0" applyFont="1" applyAlignment="1">
      <alignment horizontal="right"/>
    </xf>
    <xf numFmtId="0" fontId="19" fillId="5" borderId="0" xfId="0" applyFont="1" applyFill="1" applyAlignment="1">
      <alignment horizontal="right"/>
    </xf>
    <xf numFmtId="39" fontId="0" fillId="2" borderId="2" xfId="0" applyNumberFormat="1" applyBorder="1" applyAlignment="1">
      <alignment horizontal="center"/>
    </xf>
    <xf numFmtId="0" fontId="0" fillId="2" borderId="3" xfId="0" quotePrefix="1" applyBorder="1" applyAlignment="1">
      <alignment horizontal="left"/>
    </xf>
    <xf numFmtId="0" fontId="0" fillId="2" borderId="0" xfId="0" quotePrefix="1" applyAlignment="1">
      <alignment horizontal="left"/>
    </xf>
    <xf numFmtId="10" fontId="0" fillId="2" borderId="8" xfId="0" applyNumberFormat="1" applyBorder="1" applyAlignment="1">
      <alignment horizontal="center"/>
    </xf>
    <xf numFmtId="0" fontId="0" fillId="2" borderId="21" xfId="0" applyBorder="1"/>
    <xf numFmtId="0" fontId="0" fillId="2" borderId="19" xfId="0" applyBorder="1"/>
    <xf numFmtId="0" fontId="2" fillId="2" borderId="20" xfId="0" applyFont="1" applyBorder="1"/>
    <xf numFmtId="0" fontId="2" fillId="2" borderId="5" xfId="0" applyFont="1" applyBorder="1"/>
    <xf numFmtId="0" fontId="2" fillId="2" borderId="6" xfId="0" applyFont="1" applyBorder="1"/>
    <xf numFmtId="10" fontId="27" fillId="3" borderId="6" xfId="3" applyFont="1" applyBorder="1"/>
    <xf numFmtId="0" fontId="6" fillId="2" borderId="0" xfId="0" applyFont="1"/>
    <xf numFmtId="39" fontId="0" fillId="2" borderId="9" xfId="0" applyNumberFormat="1" applyBorder="1"/>
    <xf numFmtId="164" fontId="0" fillId="2" borderId="9" xfId="0" applyNumberFormat="1" applyBorder="1"/>
    <xf numFmtId="165" fontId="0" fillId="2" borderId="10" xfId="0" applyNumberFormat="1" applyBorder="1"/>
    <xf numFmtId="0" fontId="0" fillId="2" borderId="20" xfId="0" applyBorder="1"/>
    <xf numFmtId="10" fontId="0" fillId="2" borderId="0" xfId="0" applyNumberFormat="1"/>
    <xf numFmtId="10" fontId="0" fillId="2" borderId="9" xfId="0" applyNumberFormat="1" applyBorder="1"/>
    <xf numFmtId="0" fontId="30" fillId="2" borderId="3" xfId="0" applyFont="1" applyBorder="1" applyAlignment="1">
      <alignment horizontal="center"/>
    </xf>
    <xf numFmtId="0" fontId="30" fillId="2" borderId="4" xfId="0" applyFont="1" applyBorder="1" applyAlignment="1">
      <alignment horizontal="center"/>
    </xf>
    <xf numFmtId="10" fontId="0" fillId="2" borderId="6" xfId="0" applyNumberFormat="1" applyBorder="1" applyAlignment="1">
      <alignment horizontal="right"/>
    </xf>
    <xf numFmtId="0" fontId="29" fillId="6" borderId="17" xfId="1" applyNumberFormat="1" applyFont="1" applyBorder="1" applyAlignment="1">
      <alignment horizontal="centerContinuous"/>
    </xf>
    <xf numFmtId="0" fontId="23" fillId="6" borderId="11" xfId="1" applyNumberFormat="1" applyFont="1" applyBorder="1" applyAlignment="1">
      <alignment horizontal="left"/>
    </xf>
    <xf numFmtId="0" fontId="28" fillId="2" borderId="0" xfId="5"/>
    <xf numFmtId="0" fontId="18" fillId="2" borderId="0" xfId="5" applyFont="1" applyAlignment="1">
      <alignment horizontal="right"/>
    </xf>
    <xf numFmtId="41" fontId="18" fillId="2" borderId="0" xfId="5" applyNumberFormat="1" applyFont="1"/>
    <xf numFmtId="0" fontId="25" fillId="2" borderId="0" xfId="5" applyFont="1" applyAlignment="1">
      <alignment horizontal="left"/>
    </xf>
    <xf numFmtId="0" fontId="15" fillId="2" borderId="5" xfId="0" applyFont="1" applyBorder="1"/>
    <xf numFmtId="0" fontId="31" fillId="2" borderId="0" xfId="0" applyFont="1" applyAlignment="1">
      <alignment horizontal="center"/>
    </xf>
    <xf numFmtId="170" fontId="32" fillId="8" borderId="0" xfId="6" applyFill="1"/>
    <xf numFmtId="170" fontId="32" fillId="0" borderId="0" xfId="6"/>
    <xf numFmtId="170" fontId="33" fillId="8" borderId="0" xfId="6" applyFont="1" applyFill="1"/>
    <xf numFmtId="170" fontId="34" fillId="8" borderId="0" xfId="6" applyFont="1" applyFill="1"/>
    <xf numFmtId="10" fontId="18" fillId="2" borderId="0" xfId="5" applyNumberFormat="1" applyFont="1" applyAlignment="1">
      <alignment horizontal="right"/>
    </xf>
    <xf numFmtId="41" fontId="15" fillId="3" borderId="0" xfId="7" applyFont="1" applyAlignment="1">
      <alignment horizontal="right"/>
    </xf>
    <xf numFmtId="0" fontId="28" fillId="2" borderId="0" xfId="5" applyAlignment="1">
      <alignment horizontal="right"/>
    </xf>
    <xf numFmtId="0" fontId="15" fillId="2" borderId="0" xfId="5" applyFont="1"/>
    <xf numFmtId="0" fontId="19" fillId="5" borderId="19" xfId="5" applyFont="1" applyFill="1" applyBorder="1" applyAlignment="1">
      <alignment horizontal="left"/>
    </xf>
    <xf numFmtId="0" fontId="28" fillId="2" borderId="20" xfId="5" applyBorder="1"/>
    <xf numFmtId="0" fontId="28" fillId="2" borderId="21" xfId="5" applyBorder="1"/>
    <xf numFmtId="0" fontId="15" fillId="2" borderId="5" xfId="5" applyFont="1" applyBorder="1"/>
    <xf numFmtId="41" fontId="18" fillId="2" borderId="6" xfId="5" applyNumberFormat="1" applyFont="1" applyBorder="1"/>
    <xf numFmtId="0" fontId="20" fillId="2" borderId="0" xfId="5" applyFont="1" applyAlignment="1">
      <alignment horizontal="right"/>
    </xf>
    <xf numFmtId="41" fontId="20" fillId="2" borderId="27" xfId="5" applyNumberFormat="1" applyFont="1" applyBorder="1"/>
    <xf numFmtId="41" fontId="20" fillId="2" borderId="28" xfId="5" applyNumberFormat="1" applyFont="1" applyBorder="1"/>
    <xf numFmtId="0" fontId="28" fillId="2" borderId="8" xfId="5" applyBorder="1"/>
    <xf numFmtId="0" fontId="28" fillId="2" borderId="9" xfId="5" applyBorder="1"/>
    <xf numFmtId="0" fontId="28" fillId="2" borderId="10" xfId="5" applyBorder="1"/>
    <xf numFmtId="0" fontId="20" fillId="2" borderId="9" xfId="0" applyFont="1" applyBorder="1" applyAlignment="1">
      <alignment horizontal="center"/>
    </xf>
    <xf numFmtId="0" fontId="20" fillId="2" borderId="14" xfId="0" applyFont="1" applyBorder="1" applyAlignment="1">
      <alignment horizontal="right"/>
    </xf>
    <xf numFmtId="0" fontId="18" fillId="2" borderId="29" xfId="5" applyFont="1" applyBorder="1" applyAlignment="1">
      <alignment horizontal="right"/>
    </xf>
    <xf numFmtId="170" fontId="36" fillId="0" borderId="0" xfId="6" applyFont="1"/>
    <xf numFmtId="170" fontId="37" fillId="0" borderId="0" xfId="6" applyFont="1"/>
    <xf numFmtId="0" fontId="18" fillId="2" borderId="9" xfId="5" applyFont="1" applyBorder="1" applyAlignment="1">
      <alignment horizontal="right" vertical="center"/>
    </xf>
    <xf numFmtId="10" fontId="20" fillId="2" borderId="9" xfId="5" applyNumberFormat="1" applyFont="1" applyBorder="1" applyAlignment="1">
      <alignment horizontal="center" vertical="center"/>
    </xf>
    <xf numFmtId="0" fontId="38" fillId="0" borderId="0" xfId="8"/>
    <xf numFmtId="0" fontId="39" fillId="0" borderId="0" xfId="8" applyFont="1" applyAlignment="1">
      <alignment horizontal="center"/>
    </xf>
    <xf numFmtId="0" fontId="38" fillId="0" borderId="0" xfId="8" applyAlignment="1">
      <alignment horizontal="right"/>
    </xf>
    <xf numFmtId="0" fontId="40" fillId="0" borderId="0" xfId="8" applyFont="1"/>
    <xf numFmtId="0" fontId="41" fillId="0" borderId="0" xfId="8" applyFont="1" applyAlignment="1">
      <alignment horizontal="center"/>
    </xf>
    <xf numFmtId="0" fontId="40" fillId="12" borderId="13" xfId="8" applyFont="1" applyFill="1" applyBorder="1"/>
    <xf numFmtId="0" fontId="40" fillId="13" borderId="13" xfId="8" applyFont="1" applyFill="1" applyBorder="1"/>
    <xf numFmtId="0" fontId="40" fillId="9" borderId="13" xfId="8" applyFont="1" applyFill="1" applyBorder="1"/>
    <xf numFmtId="0" fontId="40" fillId="14" borderId="13" xfId="8" applyFont="1" applyFill="1" applyBorder="1"/>
    <xf numFmtId="0" fontId="40" fillId="16" borderId="13" xfId="8" applyFont="1" applyFill="1" applyBorder="1"/>
    <xf numFmtId="0" fontId="40" fillId="17" borderId="13" xfId="8" applyFont="1" applyFill="1" applyBorder="1"/>
    <xf numFmtId="14" fontId="39" fillId="0" borderId="0" xfId="9" applyNumberFormat="1" applyFont="1" applyAlignment="1">
      <alignment horizontal="center"/>
    </xf>
    <xf numFmtId="43" fontId="42" fillId="0" borderId="0" xfId="9" applyFont="1" applyAlignment="1">
      <alignment horizontal="center"/>
    </xf>
    <xf numFmtId="0" fontId="43" fillId="0" borderId="0" xfId="8" applyFont="1" applyAlignment="1">
      <alignment horizontal="center"/>
    </xf>
    <xf numFmtId="0" fontId="43" fillId="0" borderId="0" xfId="8" applyFont="1"/>
    <xf numFmtId="43" fontId="44" fillId="0" borderId="0" xfId="9" applyFont="1" applyAlignment="1">
      <alignment horizontal="right" wrapText="1"/>
    </xf>
    <xf numFmtId="0" fontId="45" fillId="0" borderId="0" xfId="8" applyFont="1"/>
    <xf numFmtId="43" fontId="45" fillId="0" borderId="0" xfId="9" applyFont="1"/>
    <xf numFmtId="43" fontId="45" fillId="0" borderId="20" xfId="9" applyFont="1" applyBorder="1"/>
    <xf numFmtId="43" fontId="45" fillId="0" borderId="0" xfId="9" applyFont="1" applyBorder="1"/>
    <xf numFmtId="0" fontId="45" fillId="0" borderId="0" xfId="8" applyFont="1" applyAlignment="1">
      <alignment horizontal="center"/>
    </xf>
    <xf numFmtId="0" fontId="38" fillId="0" borderId="0" xfId="12"/>
    <xf numFmtId="0" fontId="38" fillId="0" borderId="29" xfId="12" applyBorder="1" applyProtection="1">
      <protection locked="0"/>
    </xf>
    <xf numFmtId="0" fontId="46" fillId="15" borderId="29" xfId="13" applyFont="1" applyFill="1" applyBorder="1" applyAlignment="1">
      <alignment horizontal="center"/>
    </xf>
    <xf numFmtId="0" fontId="46" fillId="15" borderId="29" xfId="13" applyFont="1" applyFill="1" applyBorder="1" applyAlignment="1">
      <alignment horizontal="center" wrapText="1"/>
    </xf>
    <xf numFmtId="174" fontId="46" fillId="15" borderId="29" xfId="14" applyNumberFormat="1" applyFont="1" applyFill="1" applyBorder="1" applyAlignment="1">
      <alignment horizontal="center" wrapText="1"/>
    </xf>
    <xf numFmtId="0" fontId="46" fillId="18" borderId="11" xfId="13" applyFont="1" applyFill="1" applyBorder="1" applyAlignment="1">
      <alignment horizontal="center" wrapText="1"/>
    </xf>
    <xf numFmtId="174" fontId="46" fillId="18" borderId="29" xfId="14" applyNumberFormat="1" applyFont="1" applyFill="1" applyBorder="1" applyAlignment="1">
      <alignment horizontal="center" wrapText="1"/>
    </xf>
    <xf numFmtId="10" fontId="46" fillId="15" borderId="29" xfId="13" applyNumberFormat="1" applyFont="1" applyFill="1" applyBorder="1" applyAlignment="1">
      <alignment horizontal="center"/>
    </xf>
    <xf numFmtId="0" fontId="46" fillId="17" borderId="29" xfId="13" applyFont="1" applyFill="1" applyBorder="1" applyAlignment="1">
      <alignment horizontal="center"/>
    </xf>
    <xf numFmtId="0" fontId="46" fillId="18" borderId="29" xfId="13" applyFont="1" applyFill="1" applyBorder="1" applyAlignment="1">
      <alignment horizontal="center"/>
    </xf>
    <xf numFmtId="0" fontId="46" fillId="12" borderId="29" xfId="13" applyFont="1" applyFill="1" applyBorder="1" applyAlignment="1">
      <alignment horizontal="center"/>
    </xf>
    <xf numFmtId="0" fontId="46" fillId="19" borderId="29" xfId="13" applyFont="1" applyFill="1" applyBorder="1" applyAlignment="1">
      <alignment horizontal="center"/>
    </xf>
    <xf numFmtId="44" fontId="38" fillId="0" borderId="0" xfId="12" applyNumberFormat="1"/>
    <xf numFmtId="14" fontId="38" fillId="0" borderId="0" xfId="8" applyNumberFormat="1" applyAlignment="1">
      <alignment horizontal="left"/>
    </xf>
    <xf numFmtId="14" fontId="38" fillId="0" borderId="0" xfId="8" applyNumberFormat="1"/>
    <xf numFmtId="43" fontId="46" fillId="0" borderId="0" xfId="9" applyFont="1"/>
    <xf numFmtId="43" fontId="46" fillId="0" borderId="20" xfId="9" applyFont="1" applyBorder="1"/>
    <xf numFmtId="43" fontId="46" fillId="0" borderId="30" xfId="9" applyFont="1" applyBorder="1"/>
    <xf numFmtId="43" fontId="46" fillId="0" borderId="0" xfId="9" applyFont="1" applyBorder="1"/>
    <xf numFmtId="10" fontId="46" fillId="0" borderId="0" xfId="10" applyNumberFormat="1" applyFont="1"/>
    <xf numFmtId="0" fontId="38" fillId="9" borderId="0" xfId="8" applyFill="1"/>
    <xf numFmtId="0" fontId="38" fillId="0" borderId="0" xfId="8" applyAlignment="1">
      <alignment vertical="center"/>
    </xf>
    <xf numFmtId="0" fontId="38" fillId="12" borderId="0" xfId="8" applyFill="1"/>
    <xf numFmtId="0" fontId="38" fillId="13" borderId="0" xfId="8" applyFill="1"/>
    <xf numFmtId="0" fontId="38" fillId="14" borderId="0" xfId="8" applyFill="1"/>
    <xf numFmtId="0" fontId="38" fillId="16" borderId="0" xfId="8" applyFill="1"/>
    <xf numFmtId="0" fontId="38" fillId="17" borderId="0" xfId="8" applyFill="1"/>
    <xf numFmtId="169" fontId="46" fillId="0" borderId="0" xfId="9" applyNumberFormat="1" applyFont="1"/>
    <xf numFmtId="171" fontId="46" fillId="0" borderId="0" xfId="10" applyNumberFormat="1" applyFont="1"/>
    <xf numFmtId="169" fontId="46" fillId="12" borderId="0" xfId="9" applyNumberFormat="1" applyFont="1" applyFill="1"/>
    <xf numFmtId="169" fontId="46" fillId="13" borderId="0" xfId="9" applyNumberFormat="1" applyFont="1" applyFill="1"/>
    <xf numFmtId="169" fontId="46" fillId="9" borderId="0" xfId="9" applyNumberFormat="1" applyFont="1" applyFill="1"/>
    <xf numFmtId="169" fontId="46" fillId="14" borderId="0" xfId="9" applyNumberFormat="1" applyFont="1" applyFill="1"/>
    <xf numFmtId="169" fontId="46" fillId="16" borderId="0" xfId="9" applyNumberFormat="1" applyFont="1" applyFill="1"/>
    <xf numFmtId="169" fontId="46" fillId="17" borderId="0" xfId="9" applyNumberFormat="1" applyFont="1" applyFill="1"/>
    <xf numFmtId="169" fontId="46" fillId="12" borderId="20" xfId="9" applyNumberFormat="1" applyFont="1" applyFill="1" applyBorder="1"/>
    <xf numFmtId="169" fontId="46" fillId="13" borderId="20" xfId="9" applyNumberFormat="1" applyFont="1" applyFill="1" applyBorder="1"/>
    <xf numFmtId="169" fontId="46" fillId="9" borderId="20" xfId="9" applyNumberFormat="1" applyFont="1" applyFill="1" applyBorder="1"/>
    <xf numFmtId="169" fontId="46" fillId="14" borderId="20" xfId="9" applyNumberFormat="1" applyFont="1" applyFill="1" applyBorder="1"/>
    <xf numFmtId="169" fontId="46" fillId="16" borderId="20" xfId="9" applyNumberFormat="1" applyFont="1" applyFill="1" applyBorder="1"/>
    <xf numFmtId="169" fontId="46" fillId="17" borderId="20" xfId="9" applyNumberFormat="1" applyFont="1" applyFill="1" applyBorder="1"/>
    <xf numFmtId="169" fontId="46" fillId="12" borderId="31" xfId="9" applyNumberFormat="1" applyFont="1" applyFill="1" applyBorder="1"/>
    <xf numFmtId="169" fontId="46" fillId="13" borderId="31" xfId="9" applyNumberFormat="1" applyFont="1" applyFill="1" applyBorder="1"/>
    <xf numFmtId="169" fontId="46" fillId="9" borderId="31" xfId="9" applyNumberFormat="1" applyFont="1" applyFill="1" applyBorder="1"/>
    <xf numFmtId="169" fontId="46" fillId="14" borderId="31" xfId="9" applyNumberFormat="1" applyFont="1" applyFill="1" applyBorder="1"/>
    <xf numFmtId="169" fontId="46" fillId="16" borderId="31" xfId="9" applyNumberFormat="1" applyFont="1" applyFill="1" applyBorder="1"/>
    <xf numFmtId="0" fontId="38" fillId="0" borderId="0" xfId="8" applyAlignment="1">
      <alignment horizontal="center"/>
    </xf>
    <xf numFmtId="43" fontId="38" fillId="0" borderId="0" xfId="8" applyNumberFormat="1"/>
    <xf numFmtId="43" fontId="38" fillId="0" borderId="20" xfId="8" applyNumberFormat="1" applyBorder="1"/>
    <xf numFmtId="43" fontId="46" fillId="0" borderId="0" xfId="9" applyFont="1" applyAlignment="1">
      <alignment horizontal="center"/>
    </xf>
    <xf numFmtId="168" fontId="46" fillId="0" borderId="0" xfId="10" applyNumberFormat="1" applyFont="1"/>
    <xf numFmtId="172" fontId="46" fillId="0" borderId="0" xfId="9" applyNumberFormat="1" applyFont="1"/>
    <xf numFmtId="173" fontId="46" fillId="0" borderId="20" xfId="10" applyNumberFormat="1" applyFont="1" applyBorder="1"/>
    <xf numFmtId="0" fontId="44" fillId="0" borderId="0" xfId="11" applyAlignment="1">
      <alignment horizontal="left" wrapText="1"/>
    </xf>
    <xf numFmtId="14" fontId="44" fillId="0" borderId="0" xfId="11" applyNumberFormat="1" applyAlignment="1">
      <alignment horizontal="left" wrapText="1"/>
    </xf>
    <xf numFmtId="0" fontId="38" fillId="0" borderId="20" xfId="8" applyBorder="1"/>
    <xf numFmtId="43" fontId="46" fillId="0" borderId="0" xfId="9" applyFont="1" applyFill="1"/>
    <xf numFmtId="43" fontId="38" fillId="0" borderId="0" xfId="9" applyFont="1"/>
    <xf numFmtId="3" fontId="38" fillId="0" borderId="29" xfId="12" applyNumberFormat="1" applyBorder="1" applyProtection="1">
      <protection locked="0"/>
    </xf>
    <xf numFmtId="0" fontId="38" fillId="15" borderId="29" xfId="12" applyFill="1" applyBorder="1" applyAlignment="1">
      <alignment horizontal="center" wrapText="1"/>
    </xf>
    <xf numFmtId="0" fontId="38" fillId="12" borderId="18" xfId="12" applyFill="1" applyBorder="1" applyAlignment="1">
      <alignment horizontal="center" wrapText="1"/>
    </xf>
    <xf numFmtId="0" fontId="38" fillId="15" borderId="29" xfId="12" applyFill="1" applyBorder="1" applyAlignment="1">
      <alignment horizontal="center"/>
    </xf>
    <xf numFmtId="0" fontId="38" fillId="0" borderId="0" xfId="12" applyProtection="1">
      <protection locked="0"/>
    </xf>
    <xf numFmtId="1" fontId="38" fillId="0" borderId="0" xfId="12" applyNumberFormat="1" applyProtection="1">
      <protection locked="0"/>
    </xf>
    <xf numFmtId="1" fontId="38" fillId="18" borderId="0" xfId="12" applyNumberFormat="1" applyFill="1" applyProtection="1">
      <protection locked="0"/>
    </xf>
    <xf numFmtId="1" fontId="38" fillId="18" borderId="0" xfId="12" applyNumberFormat="1" applyFill="1"/>
    <xf numFmtId="43" fontId="38" fillId="18" borderId="0" xfId="9" applyFont="1" applyFill="1"/>
    <xf numFmtId="43" fontId="38" fillId="0" borderId="0" xfId="12" applyNumberFormat="1"/>
    <xf numFmtId="0" fontId="38" fillId="20" borderId="0" xfId="12" applyFill="1"/>
    <xf numFmtId="49" fontId="38" fillId="0" borderId="0" xfId="8" applyNumberFormat="1"/>
    <xf numFmtId="44" fontId="38" fillId="7" borderId="0" xfId="15" applyFont="1" applyFill="1"/>
    <xf numFmtId="43" fontId="38" fillId="0" borderId="20" xfId="9" applyFont="1" applyBorder="1"/>
    <xf numFmtId="1" fontId="38" fillId="0" borderId="0" xfId="12" applyNumberFormat="1" applyAlignment="1" applyProtection="1">
      <alignment horizontal="right"/>
      <protection locked="0"/>
    </xf>
    <xf numFmtId="43" fontId="38" fillId="0" borderId="0" xfId="9" applyFont="1" applyAlignment="1">
      <alignment horizontal="right"/>
    </xf>
    <xf numFmtId="43" fontId="38" fillId="0" borderId="20" xfId="12" applyNumberFormat="1" applyBorder="1"/>
    <xf numFmtId="10" fontId="38" fillId="0" borderId="0" xfId="12" applyNumberFormat="1"/>
    <xf numFmtId="0" fontId="46" fillId="0" borderId="0" xfId="12" applyFont="1"/>
    <xf numFmtId="0" fontId="46" fillId="0" borderId="0" xfId="12" applyFont="1" applyProtection="1">
      <protection locked="0"/>
    </xf>
    <xf numFmtId="44" fontId="46" fillId="7" borderId="0" xfId="15" applyFont="1" applyFill="1" applyProtection="1">
      <protection locked="0"/>
    </xf>
    <xf numFmtId="10" fontId="46" fillId="0" borderId="0" xfId="16" applyNumberFormat="1" applyFont="1" applyProtection="1">
      <protection locked="0"/>
    </xf>
    <xf numFmtId="43" fontId="46" fillId="18" borderId="0" xfId="9" applyFont="1" applyFill="1"/>
    <xf numFmtId="43" fontId="46" fillId="12" borderId="0" xfId="9" applyFont="1" applyFill="1"/>
    <xf numFmtId="44" fontId="46" fillId="0" borderId="0" xfId="15" applyFont="1" applyFill="1" applyProtection="1">
      <protection locked="0"/>
    </xf>
    <xf numFmtId="43" fontId="46" fillId="0" borderId="0" xfId="9" applyFont="1" applyFill="1" applyProtection="1">
      <protection locked="0"/>
    </xf>
    <xf numFmtId="1" fontId="46" fillId="0" borderId="0" xfId="12" applyNumberFormat="1" applyFont="1" applyAlignment="1" applyProtection="1">
      <alignment horizontal="right"/>
      <protection locked="0"/>
    </xf>
    <xf numFmtId="43" fontId="46" fillId="0" borderId="0" xfId="9" applyFont="1" applyAlignment="1">
      <alignment horizontal="right"/>
    </xf>
    <xf numFmtId="0" fontId="46" fillId="0" borderId="0" xfId="12" applyFont="1" applyAlignment="1">
      <alignment horizontal="right"/>
    </xf>
    <xf numFmtId="44" fontId="46" fillId="0" borderId="0" xfId="15" applyFont="1" applyFill="1" applyBorder="1" applyProtection="1">
      <protection locked="0"/>
    </xf>
    <xf numFmtId="1" fontId="38" fillId="0" borderId="0" xfId="12" applyNumberFormat="1"/>
    <xf numFmtId="44" fontId="46" fillId="0" borderId="0" xfId="15" applyFont="1" applyFill="1"/>
    <xf numFmtId="44" fontId="46" fillId="0" borderId="20" xfId="15" applyFont="1" applyFill="1" applyBorder="1"/>
    <xf numFmtId="0" fontId="40" fillId="0" borderId="0" xfId="12" applyFont="1" applyAlignment="1">
      <alignment vertical="center" wrapText="1"/>
    </xf>
    <xf numFmtId="43" fontId="38" fillId="12" borderId="0" xfId="12" applyNumberFormat="1" applyFill="1"/>
    <xf numFmtId="0" fontId="46" fillId="12" borderId="29" xfId="12" applyFont="1" applyFill="1" applyBorder="1" applyAlignment="1">
      <alignment horizontal="center" wrapText="1"/>
    </xf>
    <xf numFmtId="0" fontId="46" fillId="18" borderId="29" xfId="12" applyFont="1" applyFill="1" applyBorder="1" applyAlignment="1">
      <alignment horizontal="center" wrapText="1"/>
    </xf>
    <xf numFmtId="43" fontId="46" fillId="18" borderId="29" xfId="9" applyFont="1" applyFill="1" applyBorder="1" applyAlignment="1">
      <alignment horizontal="center"/>
    </xf>
    <xf numFmtId="0" fontId="46" fillId="19" borderId="29" xfId="12" applyFont="1" applyFill="1" applyBorder="1" applyAlignment="1">
      <alignment horizontal="center" wrapText="1"/>
    </xf>
    <xf numFmtId="43" fontId="46" fillId="19" borderId="29" xfId="9" applyFont="1" applyFill="1" applyBorder="1" applyAlignment="1">
      <alignment horizontal="center" wrapText="1"/>
    </xf>
    <xf numFmtId="43" fontId="38" fillId="19" borderId="0" xfId="9" applyFont="1" applyFill="1"/>
    <xf numFmtId="10" fontId="46" fillId="19" borderId="29" xfId="10" applyNumberFormat="1" applyFont="1" applyFill="1" applyBorder="1"/>
    <xf numFmtId="17" fontId="39" fillId="0" borderId="0" xfId="8" applyNumberFormat="1" applyFont="1" applyAlignment="1">
      <alignment horizontal="center"/>
    </xf>
    <xf numFmtId="169" fontId="46" fillId="0" borderId="0" xfId="9" applyNumberFormat="1" applyFont="1" applyAlignment="1">
      <alignment horizontal="center"/>
    </xf>
    <xf numFmtId="17" fontId="39" fillId="0" borderId="0" xfId="9" applyNumberFormat="1" applyFont="1" applyAlignment="1">
      <alignment horizontal="center"/>
    </xf>
    <xf numFmtId="0" fontId="0" fillId="2" borderId="15" xfId="0" applyBorder="1" applyAlignment="1">
      <alignment horizontal="center"/>
    </xf>
    <xf numFmtId="0" fontId="0" fillId="2" borderId="16" xfId="0" applyBorder="1" applyAlignment="1">
      <alignment horizontal="center"/>
    </xf>
    <xf numFmtId="0" fontId="0" fillId="2" borderId="17" xfId="0" applyBorder="1" applyAlignment="1">
      <alignment horizontal="center"/>
    </xf>
    <xf numFmtId="0" fontId="13" fillId="4" borderId="0" xfId="0" applyFont="1" applyFill="1" applyAlignment="1">
      <alignment horizontal="center"/>
    </xf>
    <xf numFmtId="0" fontId="15" fillId="4" borderId="20" xfId="0" applyFont="1" applyFill="1" applyBorder="1" applyAlignment="1">
      <alignment horizontal="center"/>
    </xf>
    <xf numFmtId="0" fontId="15" fillId="4" borderId="0" xfId="0" applyFont="1" applyFill="1" applyAlignment="1">
      <alignment horizontal="center"/>
    </xf>
    <xf numFmtId="0" fontId="15" fillId="4" borderId="30" xfId="0" applyFont="1" applyFill="1" applyBorder="1" applyAlignment="1">
      <alignment horizontal="center"/>
    </xf>
    <xf numFmtId="0" fontId="39" fillId="0" borderId="0" xfId="8" applyFont="1" applyAlignment="1">
      <alignment horizontal="center"/>
    </xf>
    <xf numFmtId="0" fontId="40" fillId="10" borderId="0" xfId="8" applyFont="1" applyFill="1" applyAlignment="1">
      <alignment horizontal="center"/>
    </xf>
    <xf numFmtId="0" fontId="40" fillId="11" borderId="0" xfId="8" applyFont="1" applyFill="1" applyAlignment="1">
      <alignment horizontal="center"/>
    </xf>
    <xf numFmtId="0" fontId="38" fillId="0" borderId="0" xfId="8" applyAlignment="1">
      <alignment horizontal="center"/>
    </xf>
    <xf numFmtId="0" fontId="41" fillId="0" borderId="0" xfId="8" applyFont="1" applyAlignment="1">
      <alignment horizontal="center"/>
    </xf>
    <xf numFmtId="0" fontId="38" fillId="15" borderId="9" xfId="12" applyFill="1" applyBorder="1" applyAlignment="1">
      <alignment horizontal="center"/>
    </xf>
    <xf numFmtId="0" fontId="38" fillId="15" borderId="11" xfId="12" applyFill="1" applyBorder="1" applyAlignment="1">
      <alignment horizontal="center"/>
    </xf>
    <xf numFmtId="0" fontId="38" fillId="15" borderId="22" xfId="12" applyFill="1" applyBorder="1" applyAlignment="1">
      <alignment horizontal="center"/>
    </xf>
    <xf numFmtId="0" fontId="46" fillId="15" borderId="29" xfId="13" applyFont="1" applyFill="1" applyBorder="1" applyAlignment="1">
      <alignment horizontal="center" wrapText="1"/>
    </xf>
    <xf numFmtId="0" fontId="46" fillId="18" borderId="11" xfId="12" applyFont="1" applyFill="1" applyBorder="1" applyAlignment="1">
      <alignment horizontal="center" wrapText="1"/>
    </xf>
    <xf numFmtId="0" fontId="38" fillId="18" borderId="22" xfId="12" applyFill="1" applyBorder="1" applyAlignment="1">
      <alignment horizontal="center" wrapText="1"/>
    </xf>
    <xf numFmtId="0" fontId="38" fillId="18" borderId="11" xfId="12" applyFill="1" applyBorder="1" applyAlignment="1">
      <alignment horizontal="center" wrapText="1"/>
    </xf>
    <xf numFmtId="0" fontId="40" fillId="15" borderId="9" xfId="12" applyFont="1" applyFill="1" applyBorder="1" applyAlignment="1">
      <alignment horizontal="center"/>
    </xf>
    <xf numFmtId="0" fontId="40" fillId="18" borderId="11" xfId="12" applyFont="1" applyFill="1" applyBorder="1" applyAlignment="1">
      <alignment horizontal="center"/>
    </xf>
    <xf numFmtId="0" fontId="40" fillId="18" borderId="30" xfId="12" applyFont="1" applyFill="1" applyBorder="1" applyAlignment="1">
      <alignment horizontal="center"/>
    </xf>
    <xf numFmtId="0" fontId="40" fillId="18" borderId="22" xfId="12" applyFont="1" applyFill="1" applyBorder="1" applyAlignment="1">
      <alignment horizontal="center"/>
    </xf>
    <xf numFmtId="0" fontId="40" fillId="12" borderId="11" xfId="12" applyFont="1" applyFill="1" applyBorder="1" applyAlignment="1">
      <alignment horizontal="center" wrapText="1"/>
    </xf>
    <xf numFmtId="0" fontId="40" fillId="12" borderId="22" xfId="12" applyFont="1" applyFill="1" applyBorder="1" applyAlignment="1">
      <alignment horizontal="center" wrapText="1"/>
    </xf>
    <xf numFmtId="0" fontId="40" fillId="19" borderId="11" xfId="12" applyFont="1" applyFill="1" applyBorder="1" applyAlignment="1">
      <alignment horizontal="center"/>
    </xf>
    <xf numFmtId="0" fontId="40" fillId="19" borderId="30" xfId="12" applyFont="1" applyFill="1" applyBorder="1" applyAlignment="1">
      <alignment horizontal="center"/>
    </xf>
    <xf numFmtId="0" fontId="40" fillId="19" borderId="22" xfId="12" applyFont="1" applyFill="1" applyBorder="1" applyAlignment="1">
      <alignment horizontal="center"/>
    </xf>
  </cellXfs>
  <cellStyles count="18">
    <cellStyle name="Accent5" xfId="1" builtinId="45"/>
    <cellStyle name="Comma" xfId="2" builtinId="3"/>
    <cellStyle name="Comma 2" xfId="7" xr:uid="{00000000-0005-0000-0000-000002000000}"/>
    <cellStyle name="Comma 3" xfId="9" xr:uid="{01FD62FB-E37A-4D34-BD34-591C4385AE69}"/>
    <cellStyle name="Currency 2 2 2 7" xfId="15" xr:uid="{5CDA26D1-9907-4816-9295-10E73DBB9584}"/>
    <cellStyle name="Currency 5 2" xfId="14" xr:uid="{19A7449E-6A9B-4503-8C0C-4ACBF48422C3}"/>
    <cellStyle name="Normal" xfId="0" builtinId="0"/>
    <cellStyle name="Normal 2" xfId="5" xr:uid="{00000000-0005-0000-0000-000004000000}"/>
    <cellStyle name="Normal 2 2" xfId="11" xr:uid="{DB6FCCC0-A47F-4D87-842F-B8A786F9F569}"/>
    <cellStyle name="Normal 3" xfId="6" xr:uid="{00000000-0005-0000-0000-000005000000}"/>
    <cellStyle name="Normal 4" xfId="8" xr:uid="{D48D7B52-8C01-4D85-8081-B23A1A7669DE}"/>
    <cellStyle name="Normal 8 10" xfId="12" xr:uid="{ED68C4F1-A4E1-49AB-9968-8958498F366A}"/>
    <cellStyle name="Normal_DEPN2K" xfId="13" xr:uid="{BDF1629E-F85F-475A-B111-7DC9D8B5CB19}"/>
    <cellStyle name="Percent" xfId="3" builtinId="5"/>
    <cellStyle name="Percent 19" xfId="17" xr:uid="{73997DC6-E881-41F2-9224-3D7872FC54D4}"/>
    <cellStyle name="Percent 2" xfId="4" xr:uid="{00000000-0005-0000-0000-000007000000}"/>
    <cellStyle name="Percent 3" xfId="10" xr:uid="{7FB5FA7F-5049-45E2-AF7F-0DF61ECAA799}"/>
    <cellStyle name="Percent 4" xfId="16" xr:uid="{8CBD8424-C747-4B1B-B89D-2E6E1A04847E}"/>
  </cellStyles>
  <dxfs count="3">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97971</xdr:colOff>
          <xdr:row>14</xdr:row>
          <xdr:rowOff>174171</xdr:rowOff>
        </xdr:from>
        <xdr:to>
          <xdr:col>2</xdr:col>
          <xdr:colOff>353786</xdr:colOff>
          <xdr:row>16</xdr:row>
          <xdr:rowOff>32657</xdr:rowOff>
        </xdr:to>
        <xdr:sp macro="" textlink="">
          <xdr:nvSpPr>
            <xdr:cNvPr id="2051" name="CheckBox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369094</xdr:colOff>
      <xdr:row>11</xdr:row>
      <xdr:rowOff>140493</xdr:rowOff>
    </xdr:from>
    <xdr:to>
      <xdr:col>23</xdr:col>
      <xdr:colOff>463284</xdr:colOff>
      <xdr:row>40</xdr:row>
      <xdr:rowOff>149281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13094" y="2997993"/>
          <a:ext cx="8476190" cy="588571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535780</xdr:colOff>
      <xdr:row>13</xdr:row>
      <xdr:rowOff>164330</xdr:rowOff>
    </xdr:from>
    <xdr:to>
      <xdr:col>9</xdr:col>
      <xdr:colOff>119061</xdr:colOff>
      <xdr:row>40</xdr:row>
      <xdr:rowOff>39918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297780" y="3509986"/>
          <a:ext cx="5679281" cy="5340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5442</xdr:colOff>
      <xdr:row>29</xdr:row>
      <xdr:rowOff>168730</xdr:rowOff>
    </xdr:from>
    <xdr:to>
      <xdr:col>12</xdr:col>
      <xdr:colOff>680358</xdr:colOff>
      <xdr:row>35</xdr:row>
      <xdr:rowOff>114301</xdr:rowOff>
    </xdr:to>
    <xdr:sp macro="" textlink="">
      <xdr:nvSpPr>
        <xdr:cNvPr id="2" name="TextBox 1">
          <a:extLst>
            <a:ext uri="{FF2B5EF4-FFF2-40B4-BE49-F238E27FC236}">
              <a16:creationId xmlns:a16="http://schemas.microsoft.com/office/drawing/2014/main" id="{C1CB10B3-22D7-46BD-BA27-6F5BB7CEA4FF}"/>
            </a:ext>
          </a:extLst>
        </xdr:cNvPr>
        <xdr:cNvSpPr txBox="1"/>
      </xdr:nvSpPr>
      <xdr:spPr>
        <a:xfrm>
          <a:off x="1311728" y="5568044"/>
          <a:ext cx="8931730" cy="1055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a portion of the </a:t>
          </a:r>
          <a:r>
            <a:rPr lang="en-US" sz="1100"/>
            <a:t>UTC year</a:t>
          </a:r>
          <a:r>
            <a:rPr lang="en-US" sz="1100" baseline="0"/>
            <a:t> which runs from 4/1/23 to 3/31/24 interest expense was not adjusted monthly, rather payments on the respective loans were recorded as 100% principal. At the end of the calendar year loan balances and interest expense were adjusted to reflect the actual payments of principal and interest. To determine monthly interest expense for the nine month portion of the calendar year that is included in the UTC year,  average monthly interest expense was used. This average interest expense is shown on the income statement for the months April 2023 through December 2023. After December 2023 interest expense is being adjusted on a monthly basis, so actual amounts are shown for January - March 2024. </a:t>
          </a:r>
          <a:endParaRPr lang="en-US" sz="1100"/>
        </a:p>
      </xdr:txBody>
    </xdr:sp>
    <xdr:clientData/>
  </xdr:twoCellAnchor>
  <xdr:twoCellAnchor>
    <xdr:from>
      <xdr:col>2</xdr:col>
      <xdr:colOff>38100</xdr:colOff>
      <xdr:row>37</xdr:row>
      <xdr:rowOff>38100</xdr:rowOff>
    </xdr:from>
    <xdr:to>
      <xdr:col>13</xdr:col>
      <xdr:colOff>10885</xdr:colOff>
      <xdr:row>41</xdr:row>
      <xdr:rowOff>70757</xdr:rowOff>
    </xdr:to>
    <xdr:sp macro="" textlink="">
      <xdr:nvSpPr>
        <xdr:cNvPr id="3" name="TextBox 2">
          <a:extLst>
            <a:ext uri="{FF2B5EF4-FFF2-40B4-BE49-F238E27FC236}">
              <a16:creationId xmlns:a16="http://schemas.microsoft.com/office/drawing/2014/main" id="{6CB7C2F3-DCBF-48F8-8FF2-4061774AC82D}"/>
            </a:ext>
          </a:extLst>
        </xdr:cNvPr>
        <xdr:cNvSpPr txBox="1"/>
      </xdr:nvSpPr>
      <xdr:spPr>
        <a:xfrm>
          <a:off x="1344386" y="6917871"/>
          <a:ext cx="8948056" cy="772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Amortization</a:t>
          </a:r>
          <a:r>
            <a:rPr lang="en-US" sz="1100" baseline="0"/>
            <a:t> schedules were used to determine future interest expense for proforma purposes. Since proforma amounts relate just to regulated activity, only those three loans that relate to assets for which an allocation to regulated activty is made were considered when the proforma interest expense amount was calculated.</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2</xdr:row>
      <xdr:rowOff>174171</xdr:rowOff>
    </xdr:from>
    <xdr:to>
      <xdr:col>6</xdr:col>
      <xdr:colOff>92528</xdr:colOff>
      <xdr:row>7</xdr:row>
      <xdr:rowOff>157843</xdr:rowOff>
    </xdr:to>
    <xdr:sp macro="" textlink="">
      <xdr:nvSpPr>
        <xdr:cNvPr id="2" name="TextBox 1">
          <a:extLst>
            <a:ext uri="{FF2B5EF4-FFF2-40B4-BE49-F238E27FC236}">
              <a16:creationId xmlns:a16="http://schemas.microsoft.com/office/drawing/2014/main" id="{5694ADF1-D464-4AED-A4F2-3EC6A6AB47EA}"/>
            </a:ext>
          </a:extLst>
        </xdr:cNvPr>
        <xdr:cNvSpPr txBox="1"/>
      </xdr:nvSpPr>
      <xdr:spPr>
        <a:xfrm>
          <a:off x="653144" y="544285"/>
          <a:ext cx="4893127" cy="908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NCRR,</a:t>
          </a:r>
          <a:r>
            <a:rPr lang="en-US" sz="1000" baseline="0"/>
            <a:t> LLC</a:t>
          </a:r>
          <a:r>
            <a:rPr lang="en-US" sz="1000"/>
            <a:t> is</a:t>
          </a:r>
          <a:r>
            <a:rPr lang="en-US" sz="1000" baseline="0"/>
            <a:t> 100% owned by Dion Gotti. From time to time Sunrise and NCRR make loans of cash to one another on a short term basis due to cash requirements. In addition, one company will on occasion mistakenly pay a bill of the other. When that occurs, the payment is recorded in each company's books as a receivable/payable to the other company. There are no operational transactions between the two companies.</a:t>
          </a: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tc.wa.gov/regulatedIndustries/transportation/TransportationDocuments/SolidWaste-NonPublic%20LG%202018%20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G Nonpublic 2018 V5.0"/>
    </sheetNames>
    <sheetDataSet>
      <sheetData sheetId="0">
        <row r="55">
          <cell r="W55">
            <v>5.7225999999999999</v>
          </cell>
          <cell r="Y55">
            <v>5.6985000000000001</v>
          </cell>
        </row>
        <row r="56">
          <cell r="W56">
            <v>5.7082699999999997</v>
          </cell>
          <cell r="Y56">
            <v>5.6921999999999997</v>
          </cell>
        </row>
        <row r="58">
          <cell r="X58">
            <v>0.68367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113"/>
  <sheetViews>
    <sheetView showGridLines="0" showOutlineSymbols="0" topLeftCell="B6" zoomScale="120" zoomScaleNormal="120" workbookViewId="0">
      <selection activeCell="K23" sqref="K23"/>
    </sheetView>
  </sheetViews>
  <sheetFormatPr defaultColWidth="13" defaultRowHeight="15"/>
  <cols>
    <col min="1" max="1" width="3.75" customWidth="1"/>
    <col min="2" max="2" width="26.125" style="50" bestFit="1" customWidth="1"/>
    <col min="3" max="3" width="16.5625" style="50" customWidth="1"/>
    <col min="4" max="4" width="16.5625" style="50" hidden="1" customWidth="1"/>
    <col min="5" max="5" width="5.6875" style="50" customWidth="1"/>
    <col min="6" max="6" width="4.4375" customWidth="1"/>
    <col min="7" max="7" width="6.6875" customWidth="1"/>
    <col min="8" max="8" width="11.6875" customWidth="1"/>
    <col min="9" max="9" width="13.75" customWidth="1"/>
    <col min="10" max="10" width="10.3125" customWidth="1"/>
    <col min="11" max="11" width="11.75" bestFit="1" customWidth="1"/>
    <col min="12" max="13" width="14.3125" customWidth="1"/>
    <col min="14" max="14" width="4.75" customWidth="1"/>
    <col min="15" max="15" width="4.875" style="50" customWidth="1"/>
    <col min="16" max="16" width="31.4375" style="50" customWidth="1"/>
    <col min="17" max="17" width="13" style="23"/>
    <col min="18" max="18" width="10.75" style="1" customWidth="1"/>
    <col min="20" max="20" width="10.4375" customWidth="1"/>
    <col min="21" max="21" width="12.25" customWidth="1"/>
    <col min="23" max="24" width="13.75" customWidth="1"/>
    <col min="25" max="25" width="12.4375" customWidth="1"/>
    <col min="27" max="27" width="12.3125" customWidth="1"/>
    <col min="30" max="30" width="12.75" customWidth="1"/>
    <col min="31" max="31" width="13.4375" customWidth="1"/>
    <col min="32" max="32" width="16.125" customWidth="1"/>
    <col min="33" max="33" width="14.125" customWidth="1"/>
    <col min="34" max="34" width="12.75" customWidth="1"/>
    <col min="36" max="36" width="10.75" customWidth="1"/>
    <col min="37" max="37" width="12.75" customWidth="1"/>
    <col min="38" max="49" width="11.75" customWidth="1"/>
  </cols>
  <sheetData>
    <row r="1" spans="1:35" s="37" customFormat="1" ht="15.45" thickBot="1">
      <c r="A1" s="41"/>
      <c r="B1" s="39"/>
      <c r="C1" s="39"/>
      <c r="D1" s="39"/>
      <c r="E1" s="39"/>
      <c r="F1" s="39"/>
      <c r="G1" s="39"/>
      <c r="H1" s="39"/>
      <c r="I1" s="40"/>
      <c r="J1" s="40"/>
      <c r="K1" s="40"/>
      <c r="L1" s="40"/>
      <c r="M1" s="40"/>
      <c r="N1" s="40"/>
      <c r="O1" s="39"/>
      <c r="P1" s="39"/>
      <c r="Q1" s="68"/>
      <c r="R1" s="38"/>
    </row>
    <row r="2" spans="1:35" ht="18.899999999999999" thickBot="1">
      <c r="A2" s="41"/>
      <c r="B2" s="321" t="s">
        <v>106</v>
      </c>
      <c r="C2" s="321"/>
      <c r="D2" s="41"/>
      <c r="E2" s="41"/>
      <c r="F2" s="160" t="s">
        <v>112</v>
      </c>
      <c r="G2" s="96"/>
      <c r="H2" s="96"/>
      <c r="I2" s="97" t="s">
        <v>125</v>
      </c>
      <c r="J2" s="96"/>
      <c r="K2" s="96"/>
      <c r="L2" s="96"/>
      <c r="M2" s="160" t="s">
        <v>112</v>
      </c>
      <c r="O2" s="41"/>
      <c r="P2" s="41"/>
      <c r="R2" s="34" t="s">
        <v>1</v>
      </c>
      <c r="S2" s="35"/>
      <c r="T2" s="36"/>
      <c r="AF2" s="318" t="s">
        <v>92</v>
      </c>
      <c r="AG2" s="319"/>
      <c r="AH2" s="319"/>
      <c r="AI2" s="320"/>
    </row>
    <row r="3" spans="1:35" ht="15.45">
      <c r="A3" s="41"/>
      <c r="B3" s="41"/>
      <c r="C3" s="41"/>
      <c r="D3" s="41"/>
      <c r="E3" s="41"/>
      <c r="F3" s="132"/>
      <c r="G3" s="70"/>
      <c r="K3" s="167" t="s">
        <v>121</v>
      </c>
      <c r="M3" s="167" t="s">
        <v>120</v>
      </c>
      <c r="O3" s="41"/>
      <c r="P3" s="41"/>
      <c r="R3"/>
      <c r="T3" t="s">
        <v>8</v>
      </c>
      <c r="V3" s="1" t="s">
        <v>8</v>
      </c>
      <c r="W3" s="1" t="s">
        <v>8</v>
      </c>
      <c r="X3" s="1" t="s">
        <v>8</v>
      </c>
      <c r="Y3" s="1" t="s">
        <v>9</v>
      </c>
      <c r="Z3" s="1" t="s">
        <v>9</v>
      </c>
      <c r="AA3" s="1" t="s">
        <v>9</v>
      </c>
      <c r="AB3" s="1" t="s">
        <v>9</v>
      </c>
      <c r="AC3" s="1" t="s">
        <v>9</v>
      </c>
      <c r="AD3" s="1" t="s">
        <v>9</v>
      </c>
      <c r="AE3" s="1" t="s">
        <v>86</v>
      </c>
      <c r="AF3" s="1" t="s">
        <v>12</v>
      </c>
      <c r="AG3" s="1" t="s">
        <v>89</v>
      </c>
      <c r="AH3" s="1"/>
    </row>
    <row r="4" spans="1:35" ht="18.899999999999999" thickBot="1">
      <c r="A4" s="41"/>
      <c r="B4" s="127" t="s">
        <v>115</v>
      </c>
      <c r="C4" s="161"/>
      <c r="D4" s="111"/>
      <c r="E4" s="41"/>
      <c r="F4" s="166"/>
      <c r="G4" s="70"/>
      <c r="H4" s="75" t="s">
        <v>2</v>
      </c>
      <c r="I4" s="75" t="s">
        <v>3</v>
      </c>
      <c r="J4" s="75" t="s">
        <v>4</v>
      </c>
      <c r="K4" s="75" t="s">
        <v>5</v>
      </c>
      <c r="L4" s="75" t="s">
        <v>6</v>
      </c>
      <c r="M4" s="75" t="s">
        <v>7</v>
      </c>
      <c r="O4" s="43"/>
      <c r="P4" s="41"/>
      <c r="R4"/>
      <c r="T4" s="1" t="s">
        <v>14</v>
      </c>
      <c r="V4" s="1" t="s">
        <v>15</v>
      </c>
      <c r="W4" s="1" t="s">
        <v>16</v>
      </c>
      <c r="X4" s="1" t="s">
        <v>17</v>
      </c>
      <c r="Y4" s="1" t="s">
        <v>18</v>
      </c>
      <c r="Z4" s="1" t="s">
        <v>18</v>
      </c>
      <c r="AA4" s="1" t="s">
        <v>18</v>
      </c>
      <c r="AB4" s="1" t="s">
        <v>16</v>
      </c>
      <c r="AC4" s="1" t="s">
        <v>14</v>
      </c>
      <c r="AD4" s="1" t="s">
        <v>14</v>
      </c>
      <c r="AE4" s="1" t="s">
        <v>93</v>
      </c>
      <c r="AF4" s="1" t="s">
        <v>88</v>
      </c>
      <c r="AG4" s="1" t="s">
        <v>90</v>
      </c>
      <c r="AH4" s="1" t="s">
        <v>91</v>
      </c>
      <c r="AI4" s="1" t="s">
        <v>87</v>
      </c>
    </row>
    <row r="5" spans="1:35" ht="15.45">
      <c r="A5" s="41"/>
      <c r="B5" s="128" t="s">
        <v>32</v>
      </c>
      <c r="C5" s="123">
        <f>'Income Statement'!R16</f>
        <v>144518.01</v>
      </c>
      <c r="D5" s="111"/>
      <c r="E5" s="41"/>
      <c r="F5" s="133" t="s">
        <v>10</v>
      </c>
      <c r="G5" s="74"/>
      <c r="H5" s="74"/>
      <c r="I5" s="75" t="s">
        <v>11</v>
      </c>
      <c r="J5" s="75" t="s">
        <v>12</v>
      </c>
      <c r="K5" s="76" t="s">
        <v>13</v>
      </c>
      <c r="L5" s="76" t="s">
        <v>118</v>
      </c>
      <c r="M5" s="76" t="s">
        <v>12</v>
      </c>
      <c r="O5" s="47"/>
      <c r="P5" s="41"/>
      <c r="R5" s="2"/>
      <c r="T5" s="1" t="s">
        <v>22</v>
      </c>
      <c r="U5" s="1" t="s">
        <v>23</v>
      </c>
      <c r="V5" s="1" t="s">
        <v>24</v>
      </c>
      <c r="W5" s="1" t="s">
        <v>25</v>
      </c>
      <c r="X5" s="1" t="s">
        <v>26</v>
      </c>
      <c r="Y5" s="1" t="s">
        <v>27</v>
      </c>
      <c r="Z5" s="1" t="s">
        <v>28</v>
      </c>
      <c r="AA5" s="1" t="s">
        <v>29</v>
      </c>
      <c r="AB5" s="1" t="s">
        <v>30</v>
      </c>
      <c r="AC5" s="1" t="s">
        <v>22</v>
      </c>
      <c r="AD5" s="1" t="s">
        <v>31</v>
      </c>
      <c r="AE5" s="1" t="s">
        <v>20</v>
      </c>
      <c r="AF5" s="1" t="s">
        <v>85</v>
      </c>
      <c r="AG5" s="1" t="s">
        <v>85</v>
      </c>
      <c r="AH5" s="1" t="s">
        <v>20</v>
      </c>
      <c r="AI5" s="1" t="s">
        <v>86</v>
      </c>
    </row>
    <row r="6" spans="1:35" ht="15.45">
      <c r="A6" s="41"/>
      <c r="B6" s="128" t="s">
        <v>33</v>
      </c>
      <c r="C6" s="124">
        <f>'Income Statement'!R43</f>
        <v>172376.23104721037</v>
      </c>
      <c r="D6" s="111"/>
      <c r="E6" s="41"/>
      <c r="F6" s="134" t="s">
        <v>19</v>
      </c>
      <c r="G6" s="74"/>
      <c r="H6" s="74"/>
      <c r="I6" s="93"/>
      <c r="J6" s="95" t="s">
        <v>117</v>
      </c>
      <c r="K6" s="94"/>
      <c r="L6" s="95" t="s">
        <v>119</v>
      </c>
      <c r="M6" s="95" t="s">
        <v>21</v>
      </c>
      <c r="O6" s="47"/>
      <c r="P6" s="41"/>
      <c r="R6" s="3">
        <v>1</v>
      </c>
      <c r="S6" s="112">
        <f>Revenue/Investment*100</f>
        <v>40.885821873560552</v>
      </c>
      <c r="T6" s="113">
        <f>EXP(y_inter1-(slope*LN(+S6)))</f>
        <v>24.182971959415951</v>
      </c>
      <c r="U6" s="114">
        <f>(+S6*T6/100)/100</f>
        <v>9.8874068390599007E-2</v>
      </c>
      <c r="V6" s="114">
        <f>regDebt_weighted</f>
        <v>3.5860000000000003E-2</v>
      </c>
      <c r="W6" s="114">
        <f>+U6-V6</f>
        <v>6.3014068390599004E-2</v>
      </c>
      <c r="X6" s="114">
        <f>+((W6*(1-0.34))-Pfd_weighted)/Equity_percent</f>
        <v>0.10290489865638179</v>
      </c>
      <c r="Y6" s="114">
        <f>X6*equityP</f>
        <v>6.3290939305995816E-2</v>
      </c>
      <c r="Z6" s="114">
        <f>+Y6/(1-taxrate)</f>
        <v>8.0115113045564318E-2</v>
      </c>
      <c r="AA6" s="114">
        <f>debtP*Debt_Rate</f>
        <v>2.2704500049162669E-2</v>
      </c>
      <c r="AB6" s="114">
        <f>AA6+Z6</f>
        <v>0.10281961309472698</v>
      </c>
      <c r="AC6" s="114">
        <f>AB6/(S6/100)</f>
        <v>0.25147987342090555</v>
      </c>
      <c r="AD6" s="114">
        <f>1-AC6</f>
        <v>0.74852012657909439</v>
      </c>
      <c r="AE6" s="115">
        <f>expenses/(AD6)</f>
        <v>230289.37356034576</v>
      </c>
      <c r="AF6" s="116">
        <f>+AE6-Revenue</f>
        <v>85771.363560345751</v>
      </c>
      <c r="AG6" s="117">
        <f ca="1">+AF6/$J$49</f>
        <v>109312.45593504548</v>
      </c>
      <c r="AH6" s="117">
        <f ca="1">+AG6*$J$47</f>
        <v>2197.1803642944142</v>
      </c>
      <c r="AI6" s="115">
        <f ca="1">ROUND(+AH6+AE6,5)</f>
        <v>232486.55392000001</v>
      </c>
    </row>
    <row r="7" spans="1:35" ht="15.45">
      <c r="A7" s="41"/>
      <c r="B7" s="128" t="s">
        <v>104</v>
      </c>
      <c r="C7" s="124">
        <f>'Depr. Input and Calculation'!V65</f>
        <v>353467.29838749999</v>
      </c>
      <c r="D7" s="111"/>
      <c r="E7" s="41"/>
      <c r="F7" s="135">
        <v>1</v>
      </c>
      <c r="G7" s="74"/>
      <c r="H7" s="77" t="s">
        <v>32</v>
      </c>
      <c r="I7" s="78">
        <f>IF(A65=TRUE,C5,0)</f>
        <v>144518.01</v>
      </c>
      <c r="J7" s="78">
        <f ca="1">(+$I8/($R51))-I7</f>
        <v>70117.88177971929</v>
      </c>
      <c r="K7" s="78">
        <f ca="1">+I7+J7</f>
        <v>214635.8917797193</v>
      </c>
      <c r="L7" s="78">
        <f ca="1">((+J7/J49*K35)-J7)</f>
        <v>1796.1896213055297</v>
      </c>
      <c r="M7" s="78">
        <f ca="1">IFERROR(+K7+L7,0.00001)</f>
        <v>216432.08140102483</v>
      </c>
      <c r="O7" s="47"/>
      <c r="P7" s="41"/>
      <c r="R7" s="33">
        <v>2</v>
      </c>
      <c r="S7" s="118">
        <f>Revenue/Investment*100</f>
        <v>40.885821873560552</v>
      </c>
      <c r="T7" s="6">
        <f>EXP(y_inter1-(slope*LN(+S7)))</f>
        <v>24.182971959415951</v>
      </c>
      <c r="U7" s="4">
        <f t="shared" ref="U7:U9" si="0">(+S7*T7/100)/100</f>
        <v>9.8874068390599007E-2</v>
      </c>
      <c r="V7" s="4">
        <f>regDebt_weighted</f>
        <v>3.5860000000000003E-2</v>
      </c>
      <c r="W7" s="4">
        <f t="shared" ref="W7:W9" si="1">+U7-V7</f>
        <v>6.3014068390599004E-2</v>
      </c>
      <c r="X7" s="4">
        <f>+((W7*(1-0.34))-Pfd_weighted)/Equity_percent</f>
        <v>0.10290489865638179</v>
      </c>
      <c r="Y7" s="4">
        <f>X7*equityP</f>
        <v>6.3290939305995816E-2</v>
      </c>
      <c r="Z7" s="4">
        <f>+Y7/(1-taxrate)</f>
        <v>8.0115113045564318E-2</v>
      </c>
      <c r="AA7" s="4">
        <f>debtP*Debt_Rate</f>
        <v>2.2704500049162669E-2</v>
      </c>
      <c r="AB7" s="4">
        <f t="shared" ref="AB7:AB9" si="2">AA7+Z7</f>
        <v>0.10281961309472698</v>
      </c>
      <c r="AC7" s="4">
        <f t="shared" ref="AC7:AC9" si="3">AB7/(S7/100)</f>
        <v>0.25147987342090555</v>
      </c>
      <c r="AD7" s="4">
        <f t="shared" ref="AD7:AD9" si="4">1-AC7</f>
        <v>0.74852012657909439</v>
      </c>
      <c r="AE7" s="119">
        <f>expenses/(AD7)</f>
        <v>230289.37356034576</v>
      </c>
      <c r="AF7" s="120">
        <f>+AE7-Revenue</f>
        <v>85771.363560345751</v>
      </c>
      <c r="AG7" s="10">
        <f ca="1">+AF7/$J$49</f>
        <v>109312.45593504548</v>
      </c>
      <c r="AH7" s="10">
        <f ca="1">+AG7*$J$47</f>
        <v>2197.1803642944142</v>
      </c>
      <c r="AI7" s="119">
        <f t="shared" ref="AI7:AI9" ca="1" si="5">ROUND(+AH7+AE7,5)</f>
        <v>232486.55392000001</v>
      </c>
    </row>
    <row r="8" spans="1:35" ht="15.45">
      <c r="A8" s="41"/>
      <c r="B8" s="128" t="s">
        <v>114</v>
      </c>
      <c r="C8" s="125">
        <f>'Balance Sheet'!G28</f>
        <v>0.38495698326922423</v>
      </c>
      <c r="D8" s="111"/>
      <c r="E8" s="41"/>
      <c r="F8" s="136">
        <f>+F7+1</f>
        <v>2</v>
      </c>
      <c r="G8" s="74"/>
      <c r="H8" s="77" t="s">
        <v>33</v>
      </c>
      <c r="I8" s="78">
        <f>IF(A65=TRUE,C6,0)</f>
        <v>172376.23104721037</v>
      </c>
      <c r="J8" s="70"/>
      <c r="K8" s="78">
        <f>+I8</f>
        <v>172376.23104721037</v>
      </c>
      <c r="L8" s="78">
        <f ca="1">+L7</f>
        <v>1796.1896213055297</v>
      </c>
      <c r="M8" s="78">
        <f ca="1">IFERROR(+K8+L8,0.00001)</f>
        <v>174172.4206685159</v>
      </c>
      <c r="O8" s="47"/>
      <c r="P8" s="41"/>
      <c r="R8" s="5">
        <v>3</v>
      </c>
      <c r="S8" s="118">
        <f>Revenue/Investment*100</f>
        <v>40.885821873560552</v>
      </c>
      <c r="T8" s="6">
        <f>EXP(y_inter1-(slope*LN(+S8)))</f>
        <v>24.182971959415951</v>
      </c>
      <c r="U8" s="4">
        <f t="shared" si="0"/>
        <v>9.8874068390599007E-2</v>
      </c>
      <c r="V8" s="4">
        <f>regDebt_weighted</f>
        <v>3.5860000000000003E-2</v>
      </c>
      <c r="W8" s="4">
        <f t="shared" si="1"/>
        <v>6.3014068390599004E-2</v>
      </c>
      <c r="X8" s="4">
        <f>+((W8*(1-0.34))-Pfd_weighted)/Equity_percent</f>
        <v>0.10290489865638179</v>
      </c>
      <c r="Y8" s="4">
        <f>X8*equityP</f>
        <v>6.3290939305995816E-2</v>
      </c>
      <c r="Z8" s="4">
        <f>+Y8/(1-taxrate)</f>
        <v>8.0115113045564318E-2</v>
      </c>
      <c r="AA8" s="4">
        <f>debtP*Debt_Rate</f>
        <v>2.2704500049162669E-2</v>
      </c>
      <c r="AB8" s="4">
        <f t="shared" si="2"/>
        <v>0.10281961309472698</v>
      </c>
      <c r="AC8" s="4">
        <f t="shared" si="3"/>
        <v>0.25147987342090555</v>
      </c>
      <c r="AD8" s="4">
        <f t="shared" si="4"/>
        <v>0.74852012657909439</v>
      </c>
      <c r="AE8" s="119">
        <f>expenses/(AD8)</f>
        <v>230289.37356034576</v>
      </c>
      <c r="AF8" s="120">
        <f>+AE8-Revenue</f>
        <v>85771.363560345751</v>
      </c>
      <c r="AG8" s="10">
        <f ca="1">+AF8/$J$49</f>
        <v>109312.45593504548</v>
      </c>
      <c r="AH8" s="10">
        <f ca="1">+AG8*$J$47</f>
        <v>2197.1803642944142</v>
      </c>
      <c r="AI8" s="119">
        <f t="shared" ca="1" si="5"/>
        <v>232486.55392000001</v>
      </c>
    </row>
    <row r="9" spans="1:35" ht="15.45">
      <c r="A9" s="41"/>
      <c r="B9" s="128" t="s">
        <v>113</v>
      </c>
      <c r="C9" s="125">
        <f>'Interest Expense'!V16</f>
        <v>5.8979317263830509E-2</v>
      </c>
      <c r="D9" s="111"/>
      <c r="E9" s="41"/>
      <c r="F9" s="136">
        <f t="shared" ref="F9:F49" si="6">+F8+1</f>
        <v>3</v>
      </c>
      <c r="G9" s="74"/>
      <c r="H9" s="77" t="s">
        <v>34</v>
      </c>
      <c r="I9" s="79">
        <f>+I7-I8</f>
        <v>-27858.221047210362</v>
      </c>
      <c r="J9" s="70"/>
      <c r="K9" s="79">
        <f ca="1">+K7-K8</f>
        <v>42259.660732508928</v>
      </c>
      <c r="L9" s="74"/>
      <c r="M9" s="80">
        <f ca="1">+M7-M8</f>
        <v>42259.660732508928</v>
      </c>
      <c r="O9" s="47"/>
      <c r="P9" s="41"/>
      <c r="R9" s="7">
        <v>4</v>
      </c>
      <c r="S9" s="118">
        <f>Revenue/Investment*100</f>
        <v>40.885821873560552</v>
      </c>
      <c r="T9" s="6">
        <f>EXP(y_inter1-(slope*LN(+S9)))</f>
        <v>24.182971959415951</v>
      </c>
      <c r="U9" s="4">
        <f t="shared" si="0"/>
        <v>9.8874068390599007E-2</v>
      </c>
      <c r="V9" s="4">
        <f>regDebt_weighted</f>
        <v>3.5860000000000003E-2</v>
      </c>
      <c r="W9" s="4">
        <f t="shared" si="1"/>
        <v>6.3014068390599004E-2</v>
      </c>
      <c r="X9" s="4">
        <f>+((W9*(1-0.34))-Pfd_weighted)/Equity_percent</f>
        <v>0.10290489865638179</v>
      </c>
      <c r="Y9" s="4">
        <f>X9*equityP</f>
        <v>6.3290939305995816E-2</v>
      </c>
      <c r="Z9" s="4">
        <f>+Y9/(1-taxrate)</f>
        <v>8.0115113045564318E-2</v>
      </c>
      <c r="AA9" s="4">
        <f>debtP*Debt_Rate</f>
        <v>2.2704500049162669E-2</v>
      </c>
      <c r="AB9" s="4">
        <f t="shared" si="2"/>
        <v>0.10281961309472698</v>
      </c>
      <c r="AC9" s="4">
        <f t="shared" si="3"/>
        <v>0.25147987342090555</v>
      </c>
      <c r="AD9" s="4">
        <f t="shared" si="4"/>
        <v>0.74852012657909439</v>
      </c>
      <c r="AE9" s="119">
        <f>expenses/(AD9)</f>
        <v>230289.37356034576</v>
      </c>
      <c r="AF9" s="120">
        <f>+AE9-Revenue</f>
        <v>85771.363560345751</v>
      </c>
      <c r="AG9" s="10">
        <f ca="1">+AF9/$J$49</f>
        <v>109312.45593504548</v>
      </c>
      <c r="AH9" s="10">
        <f ca="1">+AG9*$J$47</f>
        <v>2197.1803642944142</v>
      </c>
      <c r="AI9" s="119">
        <f t="shared" ca="1" si="5"/>
        <v>232486.55392000001</v>
      </c>
    </row>
    <row r="10" spans="1:35" ht="15.45">
      <c r="A10" s="41"/>
      <c r="B10" s="188" t="s">
        <v>98</v>
      </c>
      <c r="C10" s="125">
        <v>0.21</v>
      </c>
      <c r="D10" s="111"/>
      <c r="E10" s="41"/>
      <c r="F10" s="136">
        <f t="shared" si="6"/>
        <v>4</v>
      </c>
      <c r="G10" s="74"/>
      <c r="H10" s="74"/>
      <c r="I10" s="70"/>
      <c r="J10" s="70"/>
      <c r="K10" s="78"/>
      <c r="L10" s="74"/>
      <c r="M10" s="74"/>
      <c r="N10" s="74"/>
      <c r="O10" s="47"/>
      <c r="P10" s="41"/>
      <c r="R10" s="1" t="s">
        <v>36</v>
      </c>
    </row>
    <row r="11" spans="1:35" ht="15.45">
      <c r="A11" s="41"/>
      <c r="B11" s="128" t="s">
        <v>97</v>
      </c>
      <c r="C11" s="126">
        <v>1.4999999999999999E-2</v>
      </c>
      <c r="D11" s="111"/>
      <c r="E11" s="41"/>
      <c r="F11" s="136">
        <f t="shared" si="6"/>
        <v>5</v>
      </c>
      <c r="G11" s="74"/>
      <c r="H11" s="77" t="s">
        <v>35</v>
      </c>
      <c r="I11" s="78">
        <f>+K11</f>
        <v>8025.2982936163899</v>
      </c>
      <c r="J11" s="70"/>
      <c r="K11" s="78">
        <f>+M27</f>
        <v>8025.2982936163899</v>
      </c>
      <c r="L11" s="74"/>
      <c r="M11" s="78">
        <f>+K11</f>
        <v>8025.2982936163899</v>
      </c>
      <c r="O11" s="47"/>
      <c r="P11" s="41"/>
      <c r="R11" s="3">
        <v>1</v>
      </c>
      <c r="S11" s="112">
        <f ca="1">IF((AI6/Investment*100)&gt;0,(AI6/Investment*100),0)</f>
        <v>65.773143648816159</v>
      </c>
      <c r="T11" s="113">
        <f ca="1">EXP(y_inter1-(slope*LN(S11)))</f>
        <v>17.472229116738927</v>
      </c>
      <c r="U11" s="114">
        <f ca="1">(+S11*T11/100)/100</f>
        <v>0.11492034355602977</v>
      </c>
      <c r="V11" s="114">
        <f>regDebt_weighted</f>
        <v>3.5860000000000003E-2</v>
      </c>
      <c r="W11" s="114">
        <f ca="1">+U11-V11</f>
        <v>7.9060343556029769E-2</v>
      </c>
      <c r="X11" s="114">
        <f ca="1">+((W11*(1-0.34))-Pfd_weighted)/Equity_percent</f>
        <v>0.13369135682261524</v>
      </c>
      <c r="Y11" s="114">
        <f ca="1">+X11*equityP</f>
        <v>8.2225935411011863E-2</v>
      </c>
      <c r="Z11" s="114">
        <f ca="1">+Y11/(1-taxrate)</f>
        <v>0.10408346254558463</v>
      </c>
      <c r="AA11" s="114">
        <f>debtP*Debt_Rate</f>
        <v>2.2704500049162669E-2</v>
      </c>
      <c r="AB11" s="114">
        <f ca="1">+AA11+Z11</f>
        <v>0.12678796259474731</v>
      </c>
      <c r="AC11" s="114">
        <f ca="1">+AB11/(S11/100)</f>
        <v>0.1927655507416656</v>
      </c>
      <c r="AD11" s="114">
        <f ca="1">1-AC11</f>
        <v>0.80723444925833443</v>
      </c>
      <c r="AE11" s="115">
        <f ca="1">expenses/(AD11)</f>
        <v>213539.24031064962</v>
      </c>
      <c r="AF11" s="116">
        <f ca="1">+AE11-Revenue</f>
        <v>69021.230310649611</v>
      </c>
      <c r="AG11" s="117">
        <f ca="1">+AF11/$J$49</f>
        <v>87965.025665089212</v>
      </c>
      <c r="AH11" s="117">
        <f ca="1">+AG11*$J$47</f>
        <v>1768.0970158682931</v>
      </c>
      <c r="AI11" s="115">
        <f ca="1">ROUND(+AH11+AE11,5)</f>
        <v>215307.33733000001</v>
      </c>
    </row>
    <row r="12" spans="1:35" ht="15.45">
      <c r="A12" s="41"/>
      <c r="B12" s="128" t="s">
        <v>99</v>
      </c>
      <c r="C12" s="126">
        <v>5.1000000000000004E-3</v>
      </c>
      <c r="D12" s="111"/>
      <c r="E12" s="41"/>
      <c r="F12" s="136">
        <f t="shared" si="6"/>
        <v>6</v>
      </c>
      <c r="G12" s="74"/>
      <c r="H12" s="77" t="s">
        <v>37</v>
      </c>
      <c r="I12" s="78">
        <f ca="1">IF(I14&lt;0,0,+J38*I14)</f>
        <v>0</v>
      </c>
      <c r="J12" s="78">
        <f ca="1">+K12-I12</f>
        <v>7189.2161121674326</v>
      </c>
      <c r="K12" s="78">
        <f ca="1">+(K9-K11)*taxrate</f>
        <v>7189.2161121674326</v>
      </c>
      <c r="L12" s="74"/>
      <c r="M12" s="78">
        <f ca="1">+K12</f>
        <v>7189.2161121674326</v>
      </c>
      <c r="O12" s="47"/>
      <c r="P12" s="41"/>
      <c r="R12" s="33">
        <v>2</v>
      </c>
      <c r="S12" s="118">
        <f ca="1">IF((AI7/Investment*100)&gt;0,(AI7/Investment*100),0)</f>
        <v>65.773143648816159</v>
      </c>
      <c r="T12" s="32">
        <f ca="1">EXP(y_inter2-(slope*LN(+S12)))</f>
        <v>17.223637486513546</v>
      </c>
      <c r="U12" s="4">
        <f ca="1">(+S12*T12/100)/100</f>
        <v>0.11328527825555902</v>
      </c>
      <c r="V12" s="4">
        <f>regDebt_weighted</f>
        <v>3.5860000000000003E-2</v>
      </c>
      <c r="W12" s="4">
        <f ca="1">+U12-V12</f>
        <v>7.7425278255559019E-2</v>
      </c>
      <c r="X12" s="4">
        <f ca="1">+((W12*(1-0.34))-Pfd_weighted)/Equity_percent</f>
        <v>0.13055431293217717</v>
      </c>
      <c r="Y12" s="4">
        <f ca="1">+X12*equityP</f>
        <v>8.0296518473019982E-2</v>
      </c>
      <c r="Z12" s="4">
        <f ca="1">+Y12/(1-taxrate)</f>
        <v>0.10164116262407592</v>
      </c>
      <c r="AA12" s="4">
        <f>debtP*Debt_Rate</f>
        <v>2.2704500049162669E-2</v>
      </c>
      <c r="AB12" s="4">
        <f ca="1">+AA12+Z12</f>
        <v>0.1243456626732386</v>
      </c>
      <c r="AC12" s="4">
        <f ca="1">+AB12/(S12/100)</f>
        <v>0.18905233317896411</v>
      </c>
      <c r="AD12" s="4">
        <f ca="1">1-AC12</f>
        <v>0.81094766682103592</v>
      </c>
      <c r="AE12" s="119">
        <f ca="1">expenses/(AD12)</f>
        <v>212561.4735694791</v>
      </c>
      <c r="AF12" s="120">
        <f ca="1">+AE12-Revenue</f>
        <v>68043.463569479092</v>
      </c>
      <c r="AG12" s="10">
        <f ca="1">+AF12/$J$49</f>
        <v>86718.897827401786</v>
      </c>
      <c r="AH12" s="10">
        <f ca="1">+AG12*$J$47</f>
        <v>1743.0498463307758</v>
      </c>
      <c r="AI12" s="119">
        <f t="shared" ref="AI12:AI14" ca="1" si="7">ROUND(+AH12+AE12,5)</f>
        <v>214304.52342000001</v>
      </c>
    </row>
    <row r="13" spans="1:35" ht="15.45">
      <c r="A13" s="41"/>
      <c r="B13" s="128" t="s">
        <v>100</v>
      </c>
      <c r="C13" s="126">
        <v>0</v>
      </c>
      <c r="D13" s="111"/>
      <c r="E13" s="41"/>
      <c r="F13" s="136">
        <f t="shared" si="6"/>
        <v>7</v>
      </c>
      <c r="G13" s="74"/>
      <c r="H13" s="74"/>
      <c r="I13" s="70"/>
      <c r="J13" s="70"/>
      <c r="K13" s="78"/>
      <c r="L13" s="74"/>
      <c r="M13" s="74"/>
      <c r="O13" s="47"/>
      <c r="P13" s="41"/>
      <c r="R13" s="5">
        <v>3</v>
      </c>
      <c r="S13" s="118">
        <f ca="1">IF((AI8/Investment*100)&gt;0,(AI8/Investment*100),0)</f>
        <v>65.773143648816159</v>
      </c>
      <c r="T13" s="6">
        <f ca="1">EXP(y_inter3-(slope*LN(S13)))</f>
        <v>17.056181900814444</v>
      </c>
      <c r="U13" s="4">
        <f ca="1">(+S13*T13/100)/100</f>
        <v>0.11218387022626067</v>
      </c>
      <c r="V13" s="4">
        <f>regDebt_weighted</f>
        <v>3.5860000000000003E-2</v>
      </c>
      <c r="W13" s="4">
        <f ca="1">+U13-V13</f>
        <v>7.6323870226260665E-2</v>
      </c>
      <c r="X13" s="4">
        <f ca="1">+((W13*(1-0.34))-Pfd_weighted)/Equity_percent</f>
        <v>0.12844114636433732</v>
      </c>
      <c r="Y13" s="4">
        <f ca="1">+X13*equityP</f>
        <v>7.8996830132281134E-2</v>
      </c>
      <c r="Z13" s="4">
        <f ca="1">+Y13/(1-taxrate)</f>
        <v>9.9995987509216622E-2</v>
      </c>
      <c r="AA13" s="4">
        <f>debtP*Debt_Rate</f>
        <v>2.2704500049162669E-2</v>
      </c>
      <c r="AB13" s="4">
        <f ca="1">+AA13+Z13</f>
        <v>0.12270048755837928</v>
      </c>
      <c r="AC13" s="4">
        <f ca="1">+AB13/(S13/100)</f>
        <v>0.18655104614356952</v>
      </c>
      <c r="AD13" s="4">
        <f ca="1">1-AC13</f>
        <v>0.81344895385643046</v>
      </c>
      <c r="AE13" s="119">
        <f ca="1">expenses/(AD13)</f>
        <v>211907.86493731712</v>
      </c>
      <c r="AF13" s="120">
        <f ca="1">+AE13-Revenue</f>
        <v>67389.854937317112</v>
      </c>
      <c r="AG13" s="10">
        <f ca="1">+AF13/$J$49</f>
        <v>85885.89760639325</v>
      </c>
      <c r="AH13" s="10">
        <f ca="1">+AG13*$J$47</f>
        <v>1726.3065418885044</v>
      </c>
      <c r="AI13" s="119">
        <f t="shared" ca="1" si="7"/>
        <v>213634.17147999999</v>
      </c>
    </row>
    <row r="14" spans="1:35" ht="15.9" thickBot="1">
      <c r="A14" s="41"/>
      <c r="B14" s="129" t="s">
        <v>101</v>
      </c>
      <c r="C14" s="126">
        <v>0</v>
      </c>
      <c r="D14" s="111"/>
      <c r="E14" s="41"/>
      <c r="F14" s="136">
        <f t="shared" si="6"/>
        <v>8</v>
      </c>
      <c r="G14" s="74"/>
      <c r="H14" s="74" t="s">
        <v>38</v>
      </c>
      <c r="I14" s="102">
        <f ca="1">+I9-SUM(I11:I13)</f>
        <v>-35883.519340826751</v>
      </c>
      <c r="J14" s="70"/>
      <c r="K14" s="102">
        <f ca="1">+K9-SUM(K11:K13)</f>
        <v>27045.146326725106</v>
      </c>
      <c r="L14" s="74"/>
      <c r="M14" s="102">
        <f ca="1">+M9-SUM(M11:M13)</f>
        <v>27045.146326725106</v>
      </c>
      <c r="O14" s="47"/>
      <c r="P14" s="41"/>
      <c r="R14" s="7">
        <v>4</v>
      </c>
      <c r="S14" s="118">
        <f ca="1">IF((AI9/Investment*100)&gt;0,(AI9/Investment*100),0)</f>
        <v>65.773143648816159</v>
      </c>
      <c r="T14" s="8">
        <f ca="1">EXP(y_inter4-(slope*LN(S14)))</f>
        <v>16.949065725079386</v>
      </c>
      <c r="U14" s="4">
        <f ca="1">(+S14*T14/100)/100</f>
        <v>0.11147933346488728</v>
      </c>
      <c r="V14" s="4">
        <f>regDebt_weighted</f>
        <v>3.5860000000000003E-2</v>
      </c>
      <c r="W14" s="4">
        <f ca="1">+U14-V14</f>
        <v>7.5619333464887278E-2</v>
      </c>
      <c r="X14" s="4">
        <f ca="1">+((W14*(1-0.34))-Pfd_weighted)/Equity_percent</f>
        <v>0.12708941885705116</v>
      </c>
      <c r="Y14" s="4">
        <f ca="1">+X14*equityP</f>
        <v>7.8165459568401888E-2</v>
      </c>
      <c r="Z14" s="4">
        <f ca="1">+Y14/(1-taxrate)</f>
        <v>9.8943619706837835E-2</v>
      </c>
      <c r="AA14" s="4">
        <f>debtP*Debt_Rate</f>
        <v>2.2704500049162669E-2</v>
      </c>
      <c r="AB14" s="4">
        <f ca="1">+AA14+Z14</f>
        <v>0.12164811975600051</v>
      </c>
      <c r="AC14" s="4">
        <f ca="1">+AB14/(S14/100)</f>
        <v>0.18495104993843492</v>
      </c>
      <c r="AD14" s="4">
        <f ca="1">1-AC14</f>
        <v>0.81504895006156508</v>
      </c>
      <c r="AE14" s="119">
        <f ca="1">expenses/(AD14)</f>
        <v>211491.87546857138</v>
      </c>
      <c r="AF14" s="120">
        <f ca="1">+AE14-Revenue</f>
        <v>66973.86546857137</v>
      </c>
      <c r="AG14" s="10">
        <f ca="1">+AF14/$J$49</f>
        <v>85355.734290991139</v>
      </c>
      <c r="AH14" s="10">
        <f ca="1">+AG14*$J$47</f>
        <v>1715.6502592489219</v>
      </c>
      <c r="AI14" s="119">
        <f t="shared" ca="1" si="7"/>
        <v>213207.52572999999</v>
      </c>
    </row>
    <row r="15" spans="1:35" ht="15.9" thickTop="1">
      <c r="A15" s="41"/>
      <c r="B15" s="323"/>
      <c r="C15" s="323"/>
      <c r="D15" s="41"/>
      <c r="E15" s="41"/>
      <c r="F15" s="136">
        <f t="shared" si="6"/>
        <v>9</v>
      </c>
      <c r="G15" s="70"/>
      <c r="H15" s="70"/>
      <c r="I15" s="70"/>
      <c r="J15" s="70"/>
      <c r="K15" s="71"/>
      <c r="L15" s="70"/>
      <c r="M15" s="70"/>
      <c r="O15" s="47"/>
      <c r="P15" s="41"/>
      <c r="R15" s="1" t="s">
        <v>40</v>
      </c>
    </row>
    <row r="16" spans="1:35" ht="15.45">
      <c r="A16" s="41"/>
      <c r="B16" s="189" t="s">
        <v>126</v>
      </c>
      <c r="C16" s="323"/>
      <c r="D16" s="323"/>
      <c r="E16" s="41"/>
      <c r="F16" s="136">
        <f t="shared" si="6"/>
        <v>10</v>
      </c>
      <c r="G16" s="70"/>
      <c r="H16" s="163" t="s">
        <v>39</v>
      </c>
      <c r="I16" s="172">
        <f>+I8/I7</f>
        <v>1.1927664313064534</v>
      </c>
      <c r="J16" s="173"/>
      <c r="K16" s="172">
        <f ca="1">+K8/K7</f>
        <v>0.80310999999999999</v>
      </c>
      <c r="L16" s="174"/>
      <c r="M16" s="172">
        <f ca="1">+M8/M7</f>
        <v>0.80474400810198543</v>
      </c>
      <c r="O16" s="47"/>
      <c r="P16" s="41"/>
      <c r="R16" s="3">
        <v>1</v>
      </c>
      <c r="S16" s="112">
        <f ca="1">AI11/Investment*100</f>
        <v>60.912943944806564</v>
      </c>
      <c r="T16" s="113">
        <f ca="1">EXP(y_inter1-(slope*LN(+S16)))</f>
        <v>18.413705670939663</v>
      </c>
      <c r="U16" s="114">
        <f ca="1">(+S16*T16/100)/100</f>
        <v>0.11216330213501145</v>
      </c>
      <c r="V16" s="114">
        <f>regDebt_weighted</f>
        <v>3.5860000000000003E-2</v>
      </c>
      <c r="W16" s="114">
        <f ca="1">+U16-V16</f>
        <v>7.630330213501145E-2</v>
      </c>
      <c r="X16" s="114">
        <f ca="1">+((W16*(1-0.34))-Pfd_weighted)/Equity_percent</f>
        <v>0.12840168432880103</v>
      </c>
      <c r="Y16" s="114">
        <f ca="1">+X16*equityP</f>
        <v>7.8972559282898563E-2</v>
      </c>
      <c r="Z16" s="114">
        <f ca="1">+Y16/(1-taxrate)</f>
        <v>9.9965264915061469E-2</v>
      </c>
      <c r="AA16" s="114">
        <f>debtP*Debt_Rate</f>
        <v>2.2704500049162669E-2</v>
      </c>
      <c r="AB16" s="114">
        <f ca="1">+AA16+Z16</f>
        <v>0.12266976496422413</v>
      </c>
      <c r="AC16" s="114">
        <f ca="1">+AB16/(S16/100)</f>
        <v>0.20138538218638002</v>
      </c>
      <c r="AD16" s="114">
        <f ca="1">1-AC16</f>
        <v>0.79861461781361998</v>
      </c>
      <c r="AE16" s="115">
        <f ca="1">expenses/(AD16)</f>
        <v>215844.07197444938</v>
      </c>
      <c r="AF16" s="116">
        <f ca="1">+AE16-Revenue</f>
        <v>71326.061974449374</v>
      </c>
      <c r="AG16" s="117">
        <f ca="1">+AF16/$J$49</f>
        <v>90902.449057099846</v>
      </c>
      <c r="AH16" s="117">
        <f ca="1">+AG16*$J$47</f>
        <v>1827.1392260477069</v>
      </c>
      <c r="AI16" s="115">
        <f ca="1">ROUND(+AH16+AE16,5)</f>
        <v>217671.21119999999</v>
      </c>
    </row>
    <row r="17" spans="1:35" ht="15.45">
      <c r="A17" s="41"/>
      <c r="B17" s="322"/>
      <c r="C17" s="323"/>
      <c r="D17" s="41" t="s">
        <v>102</v>
      </c>
      <c r="E17" s="41"/>
      <c r="F17" s="136">
        <f t="shared" si="6"/>
        <v>11</v>
      </c>
      <c r="G17" s="70"/>
      <c r="H17" s="175"/>
      <c r="I17" s="175"/>
      <c r="J17" s="162"/>
      <c r="K17" s="175"/>
      <c r="L17" s="163"/>
      <c r="M17" s="163"/>
      <c r="N17" s="81"/>
      <c r="O17" s="41"/>
      <c r="P17" s="41"/>
      <c r="R17" s="33">
        <v>2</v>
      </c>
      <c r="S17" s="118">
        <f ca="1">AI12/Investment*100</f>
        <v>60.62923625400326</v>
      </c>
      <c r="T17" s="32">
        <f ca="1">EXP(y_inter2-(slope*LN(+S17)))</f>
        <v>18.20974619252048</v>
      </c>
      <c r="U17" s="4">
        <f ca="1">(+S17*T17/100)/100</f>
        <v>0.11040430040317606</v>
      </c>
      <c r="V17" s="4">
        <f>regDebt_weighted</f>
        <v>3.5860000000000003E-2</v>
      </c>
      <c r="W17" s="4">
        <f ca="1">+U17-V17</f>
        <v>7.4544300403176056E-2</v>
      </c>
      <c r="X17" s="4">
        <f ca="1">+((W17*(1-0.34))-Pfd_weighted)/Equity_percent</f>
        <v>0.12502685542469824</v>
      </c>
      <c r="Y17" s="4">
        <f ca="1">+X17*equityP</f>
        <v>7.6896894332768959E-2</v>
      </c>
      <c r="Z17" s="4">
        <f ca="1">+Y17/(1-taxrate)</f>
        <v>9.7337840927555638E-2</v>
      </c>
      <c r="AA17" s="4">
        <f>debtP*Debt_Rate</f>
        <v>2.2704500049162669E-2</v>
      </c>
      <c r="AB17" s="4">
        <f ca="1">+AA17+Z17</f>
        <v>0.12004234097671831</v>
      </c>
      <c r="AC17" s="4">
        <f ca="1">+AB17/(S17/100)</f>
        <v>0.19799415000678339</v>
      </c>
      <c r="AD17" s="4">
        <f ca="1">1-AC17</f>
        <v>0.80200584999321656</v>
      </c>
      <c r="AE17" s="119">
        <f ca="1">expenses/(AD17)</f>
        <v>214931.38865342236</v>
      </c>
      <c r="AF17" s="120">
        <f ca="1">+AE17-Revenue</f>
        <v>70413.378653422347</v>
      </c>
      <c r="AG17" s="10">
        <f ca="1">+AF17/$J$49</f>
        <v>89739.267650496418</v>
      </c>
      <c r="AH17" s="10">
        <f ca="1">+AG17*$J$47</f>
        <v>1803.759279774978</v>
      </c>
      <c r="AI17" s="119">
        <f t="shared" ref="AI17:AI19" ca="1" si="8">ROUND(+AH17+AE17,5)</f>
        <v>216735.14793000001</v>
      </c>
    </row>
    <row r="18" spans="1:35" ht="15.45">
      <c r="A18" s="41"/>
      <c r="B18" s="324" t="s">
        <v>127</v>
      </c>
      <c r="C18" s="324"/>
      <c r="D18" s="41"/>
      <c r="E18" s="41"/>
      <c r="F18" s="136">
        <f t="shared" si="6"/>
        <v>12</v>
      </c>
      <c r="G18" s="70"/>
      <c r="H18" s="176" t="s">
        <v>83</v>
      </c>
      <c r="I18" s="177"/>
      <c r="J18" s="177"/>
      <c r="K18" s="177"/>
      <c r="L18" s="177"/>
      <c r="M18" s="178"/>
      <c r="N18" s="162"/>
      <c r="O18" s="41"/>
      <c r="P18" s="41"/>
      <c r="R18" s="5">
        <v>3</v>
      </c>
      <c r="S18" s="118">
        <f ca="1">AI13/Investment*100</f>
        <v>60.439585912073987</v>
      </c>
      <c r="T18" s="6">
        <f ca="1">EXP(y_inter3-(slope*LN(S18)))</f>
        <v>18.071368787087856</v>
      </c>
      <c r="U18" s="4">
        <f ca="1">(+S18*T18/100)/100</f>
        <v>0.10922260463559688</v>
      </c>
      <c r="V18" s="4">
        <f>regDebt_weighted</f>
        <v>3.5860000000000003E-2</v>
      </c>
      <c r="W18" s="4">
        <f ca="1">+U18-V18</f>
        <v>7.3362604635596879E-2</v>
      </c>
      <c r="X18" s="4">
        <f ca="1">+((W18*(1-0.34))-Pfd_weighted)/Equity_percent</f>
        <v>0.12275964842876144</v>
      </c>
      <c r="Y18" s="4">
        <f ca="1">+X18*equityP</f>
        <v>7.5502464502434877E-2</v>
      </c>
      <c r="Z18" s="4">
        <f ca="1">+Y18/(1-taxrate)</f>
        <v>9.5572739876499835E-2</v>
      </c>
      <c r="AA18" s="4">
        <f>debtP*Debt_Rate</f>
        <v>2.2704500049162669E-2</v>
      </c>
      <c r="AB18" s="4">
        <f ca="1">+AA18+Z18</f>
        <v>0.1182772399256625</v>
      </c>
      <c r="AC18" s="4">
        <f ca="1">+AB18/(S18/100)</f>
        <v>0.19569498721869025</v>
      </c>
      <c r="AD18" s="4">
        <f ca="1">1-AC18</f>
        <v>0.80430501278130972</v>
      </c>
      <c r="AE18" s="119">
        <f ca="1">expenses/(AD18)</f>
        <v>214316.9920713641</v>
      </c>
      <c r="AF18" s="120">
        <f ca="1">+AE18-Revenue</f>
        <v>69798.982071364095</v>
      </c>
      <c r="AG18" s="10">
        <f ca="1">+AF18/$J$49</f>
        <v>88956.241748668079</v>
      </c>
      <c r="AH18" s="10">
        <f ca="1">+AG18*$J$47</f>
        <v>1788.0204591482284</v>
      </c>
      <c r="AI18" s="119">
        <f t="shared" ca="1" si="8"/>
        <v>216105.01253000001</v>
      </c>
    </row>
    <row r="19" spans="1:35" ht="15.45">
      <c r="A19" s="41"/>
      <c r="B19" s="41"/>
      <c r="C19" s="41"/>
      <c r="D19" s="41"/>
      <c r="E19" s="41"/>
      <c r="F19" s="136">
        <f t="shared" si="6"/>
        <v>13</v>
      </c>
      <c r="G19" s="70"/>
      <c r="H19" s="179"/>
      <c r="I19" s="163" t="s">
        <v>124</v>
      </c>
      <c r="J19" s="164">
        <f>+Revenue</f>
        <v>144518.01</v>
      </c>
      <c r="K19" s="165"/>
      <c r="L19" s="163" t="s">
        <v>136</v>
      </c>
      <c r="M19" s="180">
        <f ca="1">+J7</f>
        <v>70117.88177971929</v>
      </c>
      <c r="O19" s="41"/>
      <c r="P19" s="41"/>
      <c r="R19" s="7">
        <v>4</v>
      </c>
      <c r="S19" s="118">
        <f ca="1">AI14/Investment*100</f>
        <v>60.318882879022183</v>
      </c>
      <c r="T19" s="8">
        <f ca="1">EXP(y_inter4-(slope*LN(S19)))</f>
        <v>17.982437077239389</v>
      </c>
      <c r="U19" s="4">
        <f ca="1">(+S19*T19/100)/100</f>
        <v>0.10846805159413886</v>
      </c>
      <c r="V19" s="4">
        <f>regDebt_weighted</f>
        <v>3.5860000000000003E-2</v>
      </c>
      <c r="W19" s="4">
        <f ca="1">+U19-V19</f>
        <v>7.2608051594138856E-2</v>
      </c>
      <c r="X19" s="4">
        <f ca="1">+((W19*(1-0.34))-Pfd_weighted)/Equity_percent</f>
        <v>0.12131195945387105</v>
      </c>
      <c r="Y19" s="4">
        <f ca="1">+X19*equityP</f>
        <v>7.461207350803041E-2</v>
      </c>
      <c r="Z19" s="4">
        <f ca="1">+Y19/(1-taxrate)</f>
        <v>9.4445662668392924E-2</v>
      </c>
      <c r="AA19" s="4">
        <f>debtP*Debt_Rate</f>
        <v>2.2704500049162669E-2</v>
      </c>
      <c r="AB19" s="4">
        <f ca="1">+AA19+Z19</f>
        <v>0.1171501627175556</v>
      </c>
      <c r="AC19" s="4">
        <f ca="1">+AB19/(S19/100)</f>
        <v>0.19421805763962235</v>
      </c>
      <c r="AD19" s="4">
        <f ca="1">1-AC19</f>
        <v>0.80578194236037759</v>
      </c>
      <c r="AE19" s="119">
        <f ca="1">expenses/(AD19)</f>
        <v>213924.16730296606</v>
      </c>
      <c r="AF19" s="120">
        <f ca="1">+AE19-Revenue</f>
        <v>69406.15730296605</v>
      </c>
      <c r="AG19" s="10">
        <f ca="1">+AF19/$J$49</f>
        <v>88455.600993954024</v>
      </c>
      <c r="AH19" s="10">
        <f ca="1">+AG19*$J$47</f>
        <v>1777.9575799784759</v>
      </c>
      <c r="AI19" s="119">
        <f t="shared" ca="1" si="8"/>
        <v>215702.12487999999</v>
      </c>
    </row>
    <row r="20" spans="1:35" ht="15.45">
      <c r="A20" s="41"/>
      <c r="B20" s="110"/>
      <c r="C20" s="41"/>
      <c r="D20" s="41"/>
      <c r="E20" s="41"/>
      <c r="F20" s="136">
        <f t="shared" si="6"/>
        <v>14</v>
      </c>
      <c r="G20" s="70"/>
      <c r="H20" s="179"/>
      <c r="I20" s="163" t="s">
        <v>42</v>
      </c>
      <c r="J20" s="164">
        <f ca="1">+J21-J19</f>
        <v>71914.071401024819</v>
      </c>
      <c r="K20" s="165"/>
      <c r="L20" s="163" t="s">
        <v>41</v>
      </c>
      <c r="M20" s="180">
        <f ca="1">+L8</f>
        <v>1796.1896213055297</v>
      </c>
      <c r="O20" s="41"/>
      <c r="P20" s="41"/>
      <c r="R20" s="1" t="s">
        <v>43</v>
      </c>
    </row>
    <row r="21" spans="1:35" ht="15.9" thickBot="1">
      <c r="A21" s="41"/>
      <c r="B21" s="110" t="s">
        <v>0</v>
      </c>
      <c r="C21" s="41"/>
      <c r="D21" s="41"/>
      <c r="E21" s="41"/>
      <c r="F21" s="136">
        <f t="shared" si="6"/>
        <v>15</v>
      </c>
      <c r="G21" s="70"/>
      <c r="H21" s="179"/>
      <c r="I21" s="181" t="s">
        <v>83</v>
      </c>
      <c r="J21" s="182">
        <f ca="1">+M7</f>
        <v>216432.08140102483</v>
      </c>
      <c r="K21" s="162"/>
      <c r="L21" s="181" t="s">
        <v>42</v>
      </c>
      <c r="M21" s="183">
        <f ca="1">+M19+M20</f>
        <v>71914.071401024819</v>
      </c>
      <c r="O21" s="41"/>
      <c r="P21" s="41"/>
      <c r="R21" s="3">
        <v>1</v>
      </c>
      <c r="S21" s="112">
        <f ca="1">AI16/Investment*100</f>
        <v>61.581711290692262</v>
      </c>
      <c r="T21" s="113">
        <f ca="1">EXP(y_inter1-(slope*LN(+S21)))</f>
        <v>18.276756337892365</v>
      </c>
      <c r="U21" s="114">
        <f ca="1">(+S21*T21/100)/100</f>
        <v>0.11255139321304178</v>
      </c>
      <c r="V21" s="114">
        <f>regDebt_weighted</f>
        <v>3.5860000000000003E-2</v>
      </c>
      <c r="W21" s="114">
        <f ca="1">+U21-V21</f>
        <v>7.6691393213041775E-2</v>
      </c>
      <c r="X21" s="114">
        <f ca="1">+((W21*(1-0.34))-Pfd_weighted)/Equity_percent</f>
        <v>0.12914627767618478</v>
      </c>
      <c r="Y21" s="114">
        <f ca="1">+X21*equityP</f>
        <v>7.9430516221511122E-2</v>
      </c>
      <c r="Z21" s="114">
        <f ca="1">+Y21/(1-taxrate)</f>
        <v>0.10054495724241913</v>
      </c>
      <c r="AA21" s="114">
        <f>debtP*Debt_Rate</f>
        <v>2.2704500049162669E-2</v>
      </c>
      <c r="AB21" s="114">
        <f ca="1">+AA21+Z21</f>
        <v>0.12324945729158179</v>
      </c>
      <c r="AC21" s="114">
        <f ca="1">+AB21/(S21/100)</f>
        <v>0.20013970821595253</v>
      </c>
      <c r="AD21" s="114">
        <f ca="1">1-AC21</f>
        <v>0.79986029178404749</v>
      </c>
      <c r="AE21" s="115">
        <f ca="1">expenses/(AD21)</f>
        <v>215507.92409351139</v>
      </c>
      <c r="AF21" s="116">
        <f ca="1">+AE21-Revenue</f>
        <v>70989.914093511383</v>
      </c>
      <c r="AG21" s="117">
        <f ca="1">+AF21/$J$49</f>
        <v>90474.040915997597</v>
      </c>
      <c r="AH21" s="117">
        <f ca="1">+AG21*$J$47</f>
        <v>1818.5282224115517</v>
      </c>
      <c r="AI21" s="115">
        <f ca="1">ROUND(+AH21+AE21,5)</f>
        <v>217326.45232000001</v>
      </c>
    </row>
    <row r="22" spans="1:35" ht="15.9" thickTop="1">
      <c r="A22" s="41"/>
      <c r="B22" s="41" t="s">
        <v>109</v>
      </c>
      <c r="C22" s="41"/>
      <c r="D22" s="41"/>
      <c r="E22" s="41"/>
      <c r="F22" s="136">
        <f t="shared" si="6"/>
        <v>16</v>
      </c>
      <c r="G22" s="70"/>
      <c r="H22" s="184"/>
      <c r="I22" s="185"/>
      <c r="J22" s="192" t="s">
        <v>138</v>
      </c>
      <c r="K22" s="193">
        <f ca="1">+(J21/J19)-1</f>
        <v>0.49761321375117751</v>
      </c>
      <c r="L22" s="185"/>
      <c r="M22" s="186"/>
      <c r="O22" s="41"/>
      <c r="P22" s="41"/>
      <c r="R22" s="33">
        <v>2</v>
      </c>
      <c r="S22" s="118">
        <f ca="1">AI17/Investment*100</f>
        <v>61.316888130453606</v>
      </c>
      <c r="T22" s="32">
        <f ca="1">EXP(y_inter2-(slope*LN(+S22)))</f>
        <v>18.069880110377184</v>
      </c>
      <c r="U22" s="4">
        <f ca="1">(+S22*T22/100)/100</f>
        <v>0.11079888172587063</v>
      </c>
      <c r="V22" s="4">
        <f>regDebt_weighted</f>
        <v>3.5860000000000003E-2</v>
      </c>
      <c r="W22" s="4">
        <f ca="1">+U22-V22</f>
        <v>7.4938881725870626E-2</v>
      </c>
      <c r="X22" s="4">
        <f ca="1">+((W22*(1-0.34))-Pfd_weighted)/Equity_percent</f>
        <v>0.12578390098568198</v>
      </c>
      <c r="Y22" s="4">
        <f ca="1">+X22*equityP</f>
        <v>7.7362509918399047E-2</v>
      </c>
      <c r="Z22" s="4">
        <f ca="1">+Y22/(1-taxrate)</f>
        <v>9.7927227744808915E-2</v>
      </c>
      <c r="AA22" s="4">
        <f>debtP*Debt_Rate</f>
        <v>2.2704500049162669E-2</v>
      </c>
      <c r="AB22" s="4">
        <f ca="1">+AA22+Z22</f>
        <v>0.12063172779397158</v>
      </c>
      <c r="AC22" s="4">
        <f ca="1">+AB22/(S22/100)</f>
        <v>0.19673491508134558</v>
      </c>
      <c r="AD22" s="4">
        <f ca="1">1-AC22</f>
        <v>0.80326508491865445</v>
      </c>
      <c r="AE22" s="119">
        <f ca="1">expenses/(AD22)</f>
        <v>214594.45242122863</v>
      </c>
      <c r="AF22" s="120">
        <f ca="1">+AE22-Revenue</f>
        <v>70076.442421228625</v>
      </c>
      <c r="AG22" s="10">
        <f ca="1">+AF22/$J$49</f>
        <v>89309.854784643074</v>
      </c>
      <c r="AH22" s="10">
        <f ca="1">+AG22*$J$47</f>
        <v>1795.1280811713257</v>
      </c>
      <c r="AI22" s="119">
        <f t="shared" ref="AI22:AI24" ca="1" si="9">ROUND(+AH22+AE22,5)</f>
        <v>216389.58050000001</v>
      </c>
    </row>
    <row r="23" spans="1:35" ht="15.45">
      <c r="A23" s="41"/>
      <c r="B23" s="41" t="s">
        <v>108</v>
      </c>
      <c r="C23" s="41"/>
      <c r="D23" s="41"/>
      <c r="E23" s="41"/>
      <c r="F23" s="136">
        <f t="shared" si="6"/>
        <v>17</v>
      </c>
      <c r="H23" s="70"/>
      <c r="I23" s="70"/>
      <c r="J23" s="70"/>
      <c r="K23" s="70"/>
      <c r="L23" s="70"/>
      <c r="M23" s="70"/>
      <c r="N23" s="70"/>
      <c r="O23" s="41"/>
      <c r="P23" s="41"/>
      <c r="R23" s="5">
        <v>3</v>
      </c>
      <c r="S23" s="118">
        <f ca="1">AI18/Investment*100</f>
        <v>61.138615514323448</v>
      </c>
      <c r="T23" s="6">
        <f ca="1">EXP(y_inter3-(slope*LN(S23)))</f>
        <v>17.9298525865667</v>
      </c>
      <c r="U23" s="4">
        <f ca="1">(+S23*T23/100)/100</f>
        <v>0.10962063635185991</v>
      </c>
      <c r="V23" s="4">
        <f>regDebt_weighted</f>
        <v>3.5860000000000003E-2</v>
      </c>
      <c r="W23" s="4">
        <f ca="1">+U23-V23</f>
        <v>7.3760636351859907E-2</v>
      </c>
      <c r="X23" s="4">
        <f ca="1">+((W23*(1-0.34))-Pfd_weighted)/Equity_percent</f>
        <v>0.12352331393089398</v>
      </c>
      <c r="Y23" s="4">
        <f ca="1">+X23*equityP</f>
        <v>7.5972151636639701E-2</v>
      </c>
      <c r="Z23" s="4">
        <f ca="1">+Y23/(1-taxrate)</f>
        <v>9.6167280552708484E-2</v>
      </c>
      <c r="AA23" s="4">
        <f>debtP*Debt_Rate</f>
        <v>2.2704500049162669E-2</v>
      </c>
      <c r="AB23" s="4">
        <f ca="1">+AA23+Z23</f>
        <v>0.11887178060187115</v>
      </c>
      <c r="AC23" s="4">
        <f ca="1">+AB23/(S23/100)</f>
        <v>0.19442995167926574</v>
      </c>
      <c r="AD23" s="4">
        <f ca="1">1-AC23</f>
        <v>0.8055700483207342</v>
      </c>
      <c r="AE23" s="119">
        <f ca="1">expenses/(AD23)</f>
        <v>213980.43709115105</v>
      </c>
      <c r="AF23" s="120">
        <f ca="1">+AE23-Revenue</f>
        <v>69462.427091151039</v>
      </c>
      <c r="AG23" s="10">
        <f ca="1">+AF23/$J$49</f>
        <v>88527.314774476094</v>
      </c>
      <c r="AH23" s="10">
        <f ca="1">+AG23*$J$47</f>
        <v>1779.3990269669694</v>
      </c>
      <c r="AI23" s="119">
        <f t="shared" ca="1" si="9"/>
        <v>215759.83611999999</v>
      </c>
    </row>
    <row r="24" spans="1:35" ht="15.45">
      <c r="A24" s="41"/>
      <c r="B24" s="41" t="s">
        <v>110</v>
      </c>
      <c r="C24" s="41"/>
      <c r="D24" s="41"/>
      <c r="E24" s="41"/>
      <c r="F24" s="136">
        <f t="shared" si="6"/>
        <v>18</v>
      </c>
      <c r="H24" s="70"/>
      <c r="J24" s="139" t="s">
        <v>105</v>
      </c>
      <c r="K24" s="98" t="s">
        <v>44</v>
      </c>
      <c r="L24" s="98"/>
      <c r="M24" s="98"/>
      <c r="N24" s="98"/>
      <c r="O24" s="41"/>
      <c r="P24" s="41"/>
      <c r="R24" s="7">
        <v>4</v>
      </c>
      <c r="S24" s="118">
        <f ca="1">AI19/Investment*100</f>
        <v>61.02463392342721</v>
      </c>
      <c r="T24" s="8">
        <f ca="1">EXP(y_inter4-(slope*LN(S24)))</f>
        <v>17.839994721436359</v>
      </c>
      <c r="U24" s="4">
        <f ca="1">(+S24*T24/100)/100</f>
        <v>0.10886791470715275</v>
      </c>
      <c r="V24" s="4">
        <f>regDebt_weighted</f>
        <v>3.5860000000000003E-2</v>
      </c>
      <c r="W24" s="4">
        <f ca="1">+U24-V24</f>
        <v>7.3007914707152746E-2</v>
      </c>
      <c r="X24" s="4">
        <f ca="1">+((W24*(1-0.34))-Pfd_weighted)/Equity_percent</f>
        <v>0.12207913868232793</v>
      </c>
      <c r="Y24" s="4">
        <f ca="1">+X24*equityP</f>
        <v>7.5083921735073722E-2</v>
      </c>
      <c r="Z24" s="4">
        <f ca="1">+Y24/(1-taxrate)</f>
        <v>9.504293890515661E-2</v>
      </c>
      <c r="AA24" s="4">
        <f>debtP*Debt_Rate</f>
        <v>2.2704500049162669E-2</v>
      </c>
      <c r="AB24" s="4">
        <f ca="1">+AA24+Z24</f>
        <v>0.11774743895431927</v>
      </c>
      <c r="AC24" s="4">
        <f ca="1">+AB24/(S24/100)</f>
        <v>0.1929506682531959</v>
      </c>
      <c r="AD24" s="4">
        <f ca="1">1-AC24</f>
        <v>0.80704933174680415</v>
      </c>
      <c r="AE24" s="119">
        <f ca="1">expenses/(AD24)</f>
        <v>213588.22102499433</v>
      </c>
      <c r="AF24" s="120">
        <f ca="1">+AE24-Revenue</f>
        <v>69070.211024994322</v>
      </c>
      <c r="AG24" s="10">
        <f ca="1">+AF24/$J$49</f>
        <v>88027.449788435522</v>
      </c>
      <c r="AH24" s="10">
        <f ca="1">+AG24*$J$47</f>
        <v>1769.351740747554</v>
      </c>
      <c r="AI24" s="119">
        <f t="shared" ca="1" si="9"/>
        <v>215357.57277</v>
      </c>
    </row>
    <row r="25" spans="1:35" ht="15.45">
      <c r="A25" s="41"/>
      <c r="B25" s="41" t="s">
        <v>111</v>
      </c>
      <c r="C25" s="41"/>
      <c r="D25" s="41"/>
      <c r="E25" s="41"/>
      <c r="F25" s="136">
        <f t="shared" si="6"/>
        <v>19</v>
      </c>
      <c r="H25" s="82" t="s">
        <v>45</v>
      </c>
      <c r="I25" s="83" t="s">
        <v>46</v>
      </c>
      <c r="J25" s="84" t="s">
        <v>47</v>
      </c>
      <c r="K25" s="82" t="s">
        <v>116</v>
      </c>
      <c r="L25" s="84" t="s">
        <v>49</v>
      </c>
      <c r="M25" s="84" t="s">
        <v>47</v>
      </c>
      <c r="O25" s="41"/>
      <c r="P25" s="41"/>
      <c r="R25" s="1" t="s">
        <v>50</v>
      </c>
      <c r="W25" s="9"/>
      <c r="X25" s="12"/>
      <c r="Y25" s="6"/>
      <c r="Z25" s="6"/>
      <c r="AA25" s="12"/>
      <c r="AC25" s="12"/>
      <c r="AD25" s="12"/>
      <c r="AE25" s="6"/>
      <c r="AF25" s="9"/>
    </row>
    <row r="26" spans="1:35" ht="15.45">
      <c r="A26" s="41"/>
      <c r="B26" s="41"/>
      <c r="C26" s="41"/>
      <c r="D26" s="41"/>
      <c r="E26" s="41"/>
      <c r="F26" s="136">
        <f t="shared" si="6"/>
        <v>20</v>
      </c>
      <c r="H26" s="77" t="s">
        <v>27</v>
      </c>
      <c r="I26" s="86">
        <f>1-I27</f>
        <v>0.61504301673077577</v>
      </c>
      <c r="J26" s="85">
        <f>+I26*J28</f>
        <v>217397.59351592525</v>
      </c>
      <c r="K26" s="81">
        <f ca="1">+K34</f>
        <v>0.12440407407151882</v>
      </c>
      <c r="L26" s="86">
        <f ca="1">+K26*I26</f>
        <v>7.6513857010545819E-2</v>
      </c>
      <c r="M26" s="78">
        <f ca="1">+J26*K26</f>
        <v>27045.146326725106</v>
      </c>
      <c r="O26" s="41"/>
      <c r="P26" s="41"/>
      <c r="R26" s="3">
        <v>1</v>
      </c>
      <c r="S26" s="112">
        <f ca="1">AI21/Investment*100</f>
        <v>61.484175003297992</v>
      </c>
      <c r="T26" s="113">
        <f ca="1">EXP(y_inter1-(slope*LN(+S26)))</f>
        <v>18.296573415500035</v>
      </c>
      <c r="U26" s="114">
        <f ca="1">(+S26*T26/100)/100</f>
        <v>0.11249497218392937</v>
      </c>
      <c r="V26" s="114">
        <f>regDebt_weighted</f>
        <v>3.5860000000000003E-2</v>
      </c>
      <c r="W26" s="114">
        <f ca="1">+U26-V26</f>
        <v>7.6634972183929367E-2</v>
      </c>
      <c r="X26" s="114">
        <f ca="1">+((W26*(1-0.34))-Pfd_weighted)/Equity_percent</f>
        <v>0.12903802802730632</v>
      </c>
      <c r="Y26" s="114">
        <f ca="1">+X26*equityP</f>
        <v>7.9363938030904871E-2</v>
      </c>
      <c r="Z26" s="114">
        <f ca="1">+Y26/(1-taxrate)</f>
        <v>0.10046068105177831</v>
      </c>
      <c r="AA26" s="114">
        <f>debtP*Debt_Rate</f>
        <v>2.2704500049162669E-2</v>
      </c>
      <c r="AB26" s="114">
        <f ca="1">+AA26+Z26</f>
        <v>0.12316518110094099</v>
      </c>
      <c r="AC26" s="114">
        <f ca="1">+AB26/(S26/100)</f>
        <v>0.20032013293556342</v>
      </c>
      <c r="AD26" s="114">
        <f ca="1">1-AC26</f>
        <v>0.79967986706443661</v>
      </c>
      <c r="AE26" s="115">
        <f ca="1">expenses/(AD26)</f>
        <v>215556.5472468255</v>
      </c>
      <c r="AF26" s="116">
        <f ca="1">+AE26-Revenue</f>
        <v>71038.537246825494</v>
      </c>
      <c r="AG26" s="117">
        <f ca="1">+AF26/$J$49</f>
        <v>90536.009340929217</v>
      </c>
      <c r="AH26" s="117">
        <f ca="1">+AG26*$J$47</f>
        <v>1819.7737877526772</v>
      </c>
      <c r="AI26" s="115">
        <f ca="1">ROUND(+AH26+AE26,5)</f>
        <v>217376.32102999999</v>
      </c>
    </row>
    <row r="27" spans="1:35" ht="15.45">
      <c r="A27" s="41"/>
      <c r="B27" s="41"/>
      <c r="C27" s="41"/>
      <c r="D27" s="41"/>
      <c r="E27" s="41"/>
      <c r="F27" s="136">
        <f t="shared" si="6"/>
        <v>21</v>
      </c>
      <c r="H27" s="77" t="s">
        <v>29</v>
      </c>
      <c r="I27" s="86">
        <f>IF(A65=TRUE,C8,0)</f>
        <v>0.38495698326922423</v>
      </c>
      <c r="J27" s="88">
        <f>+I27*J28</f>
        <v>136069.70487157474</v>
      </c>
      <c r="K27" s="81">
        <f>IF(A65=TRUE,C9,0)</f>
        <v>5.8979317263830509E-2</v>
      </c>
      <c r="L27" s="86">
        <f>+K27*I27</f>
        <v>2.2704500049162669E-2</v>
      </c>
      <c r="M27" s="78">
        <f>+K27*J27</f>
        <v>8025.2982936163899</v>
      </c>
      <c r="O27" s="41"/>
      <c r="P27" s="41"/>
      <c r="R27" s="33">
        <v>2</v>
      </c>
      <c r="S27" s="118">
        <f ca="1">AI22/Investment*100</f>
        <v>61.219123094882718</v>
      </c>
      <c r="T27" s="32">
        <f ca="1">EXP(y_inter2-(slope*LN(+S27)))</f>
        <v>18.089603820870153</v>
      </c>
      <c r="U27" s="4">
        <f ca="1">(+S27*T27/100)/100</f>
        <v>0.11074296830475108</v>
      </c>
      <c r="V27" s="4">
        <f>regDebt_weighted</f>
        <v>3.5860000000000003E-2</v>
      </c>
      <c r="W27" s="4">
        <f ca="1">+U27-V27</f>
        <v>7.488296830475108E-2</v>
      </c>
      <c r="X27" s="4">
        <f ca="1">+((W27*(1-0.34))-Pfd_weighted)/Equity_percent</f>
        <v>0.12567662523585962</v>
      </c>
      <c r="Y27" s="4">
        <f ca="1">+X27*equityP</f>
        <v>7.7296530717606241E-2</v>
      </c>
      <c r="Z27" s="4">
        <f ca="1">+Y27/(1-taxrate)</f>
        <v>9.7843709769121823E-2</v>
      </c>
      <c r="AA27" s="4">
        <f>debtP*Debt_Rate</f>
        <v>2.2704500049162669E-2</v>
      </c>
      <c r="AB27" s="4">
        <f ca="1">+AA27+Z27</f>
        <v>0.12054820981828449</v>
      </c>
      <c r="AC27" s="4">
        <f ca="1">+AB27/(S27/100)</f>
        <v>0.19691266996988568</v>
      </c>
      <c r="AD27" s="4">
        <f ca="1">1-AC27</f>
        <v>0.80308733003011434</v>
      </c>
      <c r="AE27" s="119">
        <f ca="1">expenses/(AD27)</f>
        <v>214641.95063411916</v>
      </c>
      <c r="AF27" s="120">
        <f ca="1">+AE27-Revenue</f>
        <v>70123.94063411915</v>
      </c>
      <c r="AG27" s="10">
        <f ca="1">+AF27/$J$49</f>
        <v>89370.389514278519</v>
      </c>
      <c r="AH27" s="10">
        <f ca="1">+AG27*$J$47</f>
        <v>1796.3448292369983</v>
      </c>
      <c r="AI27" s="119">
        <f t="shared" ref="AI27:AI29" ca="1" si="10">ROUND(+AH27+AE27,5)</f>
        <v>216438.29545999999</v>
      </c>
    </row>
    <row r="28" spans="1:35" ht="15.9" thickBot="1">
      <c r="A28" s="41"/>
      <c r="B28" s="41"/>
      <c r="C28" s="41"/>
      <c r="D28" s="41"/>
      <c r="E28" s="41"/>
      <c r="F28" s="136">
        <f t="shared" si="6"/>
        <v>22</v>
      </c>
      <c r="H28" s="77" t="s">
        <v>103</v>
      </c>
      <c r="I28" s="89">
        <f>SUM(I26:I27)</f>
        <v>1</v>
      </c>
      <c r="J28" s="130">
        <f>IF(A65=TRUE,C7,0)</f>
        <v>353467.29838749999</v>
      </c>
      <c r="K28" s="138"/>
      <c r="L28" s="137">
        <f ca="1">SUM(L26:L27)</f>
        <v>9.9218357059708495E-2</v>
      </c>
      <c r="M28" s="130">
        <f ca="1">SUM(M26:M27)</f>
        <v>35070.444620341499</v>
      </c>
      <c r="O28" s="41"/>
      <c r="P28" s="41"/>
      <c r="R28" s="5">
        <v>3</v>
      </c>
      <c r="S28" s="118">
        <f ca="1">AI23/Investment*100</f>
        <v>61.040961102847561</v>
      </c>
      <c r="T28" s="6">
        <f ca="1">EXP(y_inter3-(slope*LN(S28)))</f>
        <v>17.949458357195947</v>
      </c>
      <c r="U28" s="4">
        <f ca="1">(+S28*T28/100)/100</f>
        <v>0.109565218939878</v>
      </c>
      <c r="V28" s="4">
        <f>regDebt_weighted</f>
        <v>3.5860000000000003E-2</v>
      </c>
      <c r="W28" s="4">
        <f ca="1">+U28-V28</f>
        <v>7.3705218939877998E-2</v>
      </c>
      <c r="X28" s="4">
        <f ca="1">+((W28*(1-0.34))-Pfd_weighted)/Equity_percent</f>
        <v>0.12341698982651009</v>
      </c>
      <c r="Y28" s="4">
        <f ca="1">+X28*equityP</f>
        <v>7.5906757738728223E-2</v>
      </c>
      <c r="Z28" s="4">
        <f ca="1">+Y28/(1-taxrate)</f>
        <v>9.6084503466744575E-2</v>
      </c>
      <c r="AA28" s="4">
        <f>debtP*Debt_Rate</f>
        <v>2.2704500049162669E-2</v>
      </c>
      <c r="AB28" s="4">
        <f ca="1">+AA28+Z28</f>
        <v>0.11878900351590724</v>
      </c>
      <c r="AC28" s="4">
        <f ca="1">+AB28/(S28/100)</f>
        <v>0.19460539508177196</v>
      </c>
      <c r="AD28" s="4">
        <f ca="1">1-AC28</f>
        <v>0.80539460491822801</v>
      </c>
      <c r="AE28" s="119">
        <f ca="1">expenses/(AD28)</f>
        <v>214027.04959106573</v>
      </c>
      <c r="AF28" s="120">
        <f ca="1">+AE28-Revenue</f>
        <v>69509.039591065724</v>
      </c>
      <c r="AG28" s="10">
        <f ca="1">+AF28/$J$49</f>
        <v>88586.720695420343</v>
      </c>
      <c r="AH28" s="10">
        <f ca="1">+AG28*$J$47</f>
        <v>1780.5930859779489</v>
      </c>
      <c r="AI28" s="119">
        <f t="shared" ca="1" si="10"/>
        <v>215807.64267999999</v>
      </c>
    </row>
    <row r="29" spans="1:35" ht="15.9" thickTop="1">
      <c r="A29" s="41"/>
      <c r="B29" s="41"/>
      <c r="C29" s="41"/>
      <c r="D29" s="41"/>
      <c r="E29" s="41"/>
      <c r="F29" s="136">
        <f t="shared" si="6"/>
        <v>23</v>
      </c>
      <c r="G29" s="70"/>
      <c r="H29" s="70"/>
      <c r="I29" s="70"/>
      <c r="J29" s="70"/>
      <c r="K29" s="70"/>
      <c r="L29" s="70"/>
      <c r="M29" s="70"/>
      <c r="N29" s="70"/>
      <c r="O29" s="41"/>
      <c r="P29" s="41"/>
      <c r="R29" s="7">
        <v>4</v>
      </c>
      <c r="S29" s="118">
        <f ca="1">AI24/Investment*100</f>
        <v>60.927156133665093</v>
      </c>
      <c r="T29" s="8">
        <f ca="1">EXP(y_inter4-(slope*LN(S29)))</f>
        <v>17.859503324663969</v>
      </c>
      <c r="U29" s="4">
        <f ca="1">(+S29*T29/100)/100</f>
        <v>0.10881287475315127</v>
      </c>
      <c r="V29" s="4">
        <f>regDebt_weighted</f>
        <v>3.5860000000000003E-2</v>
      </c>
      <c r="W29" s="4">
        <f ca="1">+U29-V29</f>
        <v>7.2952874753151264E-2</v>
      </c>
      <c r="X29" s="4">
        <f ca="1">+((W29*(1-0.34))-Pfd_weighted)/Equity_percent</f>
        <v>0.1219735387705809</v>
      </c>
      <c r="Y29" s="4">
        <f ca="1">+X29*equityP</f>
        <v>7.5018973246786316E-2</v>
      </c>
      <c r="Z29" s="4">
        <f ca="1">+Y29/(1-taxrate)</f>
        <v>9.4960725628843431E-2</v>
      </c>
      <c r="AA29" s="4">
        <f>debtP*Debt_Rate</f>
        <v>2.2704500049162669E-2</v>
      </c>
      <c r="AB29" s="4">
        <f ca="1">+AA29+Z29</f>
        <v>0.11766522567800611</v>
      </c>
      <c r="AC29" s="4">
        <f ca="1">+AB29/(S29/100)</f>
        <v>0.19312443439812971</v>
      </c>
      <c r="AD29" s="4">
        <f ca="1">1-AC29</f>
        <v>0.80687556560187024</v>
      </c>
      <c r="AE29" s="119">
        <f ca="1">expenses/(AD29)</f>
        <v>213634.21870214932</v>
      </c>
      <c r="AF29" s="120">
        <f ca="1">+AE29-Revenue</f>
        <v>69116.208702149306</v>
      </c>
      <c r="AG29" s="10">
        <f ca="1">+AF29/$J$49</f>
        <v>88086.072140330187</v>
      </c>
      <c r="AH29" s="10">
        <f ca="1">+AG29*$J$47</f>
        <v>1770.5300500206367</v>
      </c>
      <c r="AI29" s="119">
        <f t="shared" ca="1" si="10"/>
        <v>215404.74875</v>
      </c>
    </row>
    <row r="30" spans="1:35" ht="15.45">
      <c r="A30" s="41"/>
      <c r="B30" s="41"/>
      <c r="C30" s="41"/>
      <c r="D30" s="41"/>
      <c r="E30" s="41"/>
      <c r="F30" s="136">
        <f t="shared" si="6"/>
        <v>24</v>
      </c>
      <c r="G30" s="70"/>
      <c r="H30" s="70"/>
      <c r="I30" s="70"/>
      <c r="J30" s="103" t="s">
        <v>94</v>
      </c>
      <c r="K30" s="103" t="s">
        <v>96</v>
      </c>
      <c r="L30" s="70"/>
      <c r="M30" s="70"/>
      <c r="N30" s="70"/>
      <c r="O30" s="41"/>
      <c r="P30" s="41"/>
      <c r="R30" s="1" t="s">
        <v>53</v>
      </c>
      <c r="W30" s="9"/>
      <c r="X30" s="12"/>
      <c r="Y30" s="6"/>
      <c r="Z30" s="6"/>
      <c r="AA30" s="12"/>
      <c r="AC30" s="12"/>
      <c r="AD30" s="12"/>
      <c r="AE30" s="6"/>
      <c r="AF30" s="9"/>
      <c r="AH30" s="6"/>
    </row>
    <row r="31" spans="1:35" ht="15.45">
      <c r="A31" s="41"/>
      <c r="B31" s="41"/>
      <c r="C31" s="41"/>
      <c r="D31" s="41"/>
      <c r="E31" s="41"/>
      <c r="F31" s="136">
        <f t="shared" si="6"/>
        <v>25</v>
      </c>
      <c r="G31" s="70"/>
      <c r="H31" s="99" t="s">
        <v>51</v>
      </c>
      <c r="I31" s="100"/>
      <c r="J31" s="101" t="s">
        <v>95</v>
      </c>
      <c r="K31" s="101" t="s">
        <v>95</v>
      </c>
      <c r="L31" s="70"/>
      <c r="M31" s="70"/>
      <c r="N31" s="70"/>
      <c r="O31" s="41"/>
      <c r="P31" s="41"/>
      <c r="R31" s="3">
        <v>1</v>
      </c>
      <c r="S31" s="112">
        <f ca="1">AI26/Investment*100</f>
        <v>61.498283439984355</v>
      </c>
      <c r="T31" s="113">
        <f ca="1">EXP(y_inter1-(slope*LN(+S31)))</f>
        <v>18.293703639857505</v>
      </c>
      <c r="U31" s="114">
        <f ca="1">(+S31*T31/100)/100</f>
        <v>0.11250313716110304</v>
      </c>
      <c r="V31" s="114">
        <f>regDebt_weighted</f>
        <v>3.5860000000000003E-2</v>
      </c>
      <c r="W31" s="114">
        <f ca="1">+U31-V31</f>
        <v>7.6643137161103034E-2</v>
      </c>
      <c r="X31" s="114">
        <f ca="1">+((W31*(1-0.34))-Pfd_weighted)/Equity_percent</f>
        <v>0.12905369339048836</v>
      </c>
      <c r="Y31" s="114">
        <f ca="1">+X31*equityP</f>
        <v>7.9373572903134543E-2</v>
      </c>
      <c r="Z31" s="114">
        <f ca="1">+Y31/(1-taxrate)</f>
        <v>0.10047287709257537</v>
      </c>
      <c r="AA31" s="114">
        <f>debtP*Debt_Rate</f>
        <v>2.2704500049162669E-2</v>
      </c>
      <c r="AB31" s="114">
        <f ca="1">+AA31+Z31</f>
        <v>0.12317737714173804</v>
      </c>
      <c r="AC31" s="114">
        <f ca="1">+AB31/(S31/100)</f>
        <v>0.20029400863187632</v>
      </c>
      <c r="AD31" s="114">
        <f ca="1">1-AC31</f>
        <v>0.7997059913681237</v>
      </c>
      <c r="AE31" s="115">
        <f ca="1">expenses/(AD31)</f>
        <v>215549.50557805874</v>
      </c>
      <c r="AF31" s="116">
        <f ca="1">+AE31-Revenue</f>
        <v>71031.495578058733</v>
      </c>
      <c r="AG31" s="117">
        <f ca="1">+AF31/$J$49</f>
        <v>90527.034992442452</v>
      </c>
      <c r="AH31" s="117">
        <f ca="1">+AG31*$J$47</f>
        <v>1819.5934033480933</v>
      </c>
      <c r="AI31" s="115">
        <f ca="1">ROUND(+AH31+AE31,5)</f>
        <v>217369.09898000001</v>
      </c>
    </row>
    <row r="32" spans="1:35" ht="15.45">
      <c r="A32" s="41"/>
      <c r="B32" s="41"/>
      <c r="C32" s="41"/>
      <c r="D32" s="41"/>
      <c r="E32" s="41"/>
      <c r="F32" s="136">
        <f t="shared" si="6"/>
        <v>26</v>
      </c>
      <c r="G32" s="70"/>
      <c r="H32" s="74"/>
      <c r="I32" s="74"/>
      <c r="J32" s="74"/>
      <c r="K32" s="74"/>
      <c r="L32" s="70"/>
      <c r="M32" s="70"/>
      <c r="N32" s="70"/>
      <c r="O32" s="41"/>
      <c r="P32" s="41"/>
      <c r="R32" s="33">
        <v>2</v>
      </c>
      <c r="S32" s="118">
        <f ca="1">AI27/Investment*100</f>
        <v>61.232905122307102</v>
      </c>
      <c r="T32" s="32">
        <f ca="1">EXP(y_inter2-(slope*LN(+S32)))</f>
        <v>18.086820141021061</v>
      </c>
      <c r="U32" s="4">
        <f ca="1">(+S32*T32/100)/100</f>
        <v>0.11075085416593758</v>
      </c>
      <c r="V32" s="4">
        <f>regDebt_weighted</f>
        <v>3.5860000000000003E-2</v>
      </c>
      <c r="W32" s="4">
        <f ca="1">+U32-V32</f>
        <v>7.4890854165937576E-2</v>
      </c>
      <c r="X32" s="4">
        <f ca="1">+((W32*(1-0.34))-Pfd_weighted)/Equity_percent</f>
        <v>0.12569175508581046</v>
      </c>
      <c r="Y32" s="4">
        <f ca="1">+X32*equityP</f>
        <v>7.7305836226162689E-2</v>
      </c>
      <c r="Z32" s="4">
        <f ca="1">+Y32/(1-taxrate)</f>
        <v>9.785548889387681E-2</v>
      </c>
      <c r="AA32" s="4">
        <f>debtP*Debt_Rate</f>
        <v>2.2704500049162669E-2</v>
      </c>
      <c r="AB32" s="4">
        <f ca="1">+AA32+Z32</f>
        <v>0.12055998894303949</v>
      </c>
      <c r="AC32" s="4">
        <f ca="1">+AB32/(S32/100)</f>
        <v>0.1968875863430487</v>
      </c>
      <c r="AD32" s="4">
        <f ca="1">1-AC32</f>
        <v>0.8031124136569513</v>
      </c>
      <c r="AE32" s="119">
        <f ca="1">expenses/(AD32)</f>
        <v>214635.24671757934</v>
      </c>
      <c r="AF32" s="120">
        <f ca="1">+AE32-Revenue</f>
        <v>70117.236717579333</v>
      </c>
      <c r="AG32" s="10">
        <f ca="1">+AF32/$J$49</f>
        <v>89361.845618612977</v>
      </c>
      <c r="AH32" s="10">
        <f ca="1">+AG32*$J$47</f>
        <v>1796.1730969341208</v>
      </c>
      <c r="AI32" s="119">
        <f t="shared" ref="AI32:AI34" ca="1" si="11">ROUND(+AH32+AE32,5)</f>
        <v>216431.41980999999</v>
      </c>
    </row>
    <row r="33" spans="1:46" ht="15.45">
      <c r="A33" s="41"/>
      <c r="B33" s="41"/>
      <c r="C33" s="41"/>
      <c r="D33" s="41"/>
      <c r="E33" s="41"/>
      <c r="F33" s="136">
        <f t="shared" si="6"/>
        <v>27</v>
      </c>
      <c r="G33" s="70"/>
      <c r="H33" s="74" t="s">
        <v>54</v>
      </c>
      <c r="I33" s="74"/>
      <c r="J33" s="87">
        <f ca="1">+K9/J28</f>
        <v>0.1195574836068156</v>
      </c>
      <c r="K33" s="87">
        <f ca="1">+(M14+M11)/J28</f>
        <v>9.9218357059708495E-2</v>
      </c>
      <c r="L33" s="70"/>
      <c r="M33" s="70"/>
      <c r="N33" s="70"/>
      <c r="O33" s="41"/>
      <c r="P33" s="41"/>
      <c r="R33" s="5">
        <v>3</v>
      </c>
      <c r="S33" s="118">
        <f ca="1">AI28/Investment*100</f>
        <v>61.054486133371768</v>
      </c>
      <c r="T33" s="6">
        <f ca="1">EXP(y_inter3-(slope*LN(S33)))</f>
        <v>17.946739829497545</v>
      </c>
      <c r="U33" s="4">
        <f ca="1">(+S33*T33/100)/100</f>
        <v>0.10957289780592888</v>
      </c>
      <c r="V33" s="4">
        <f>regDebt_weighted</f>
        <v>3.5860000000000003E-2</v>
      </c>
      <c r="W33" s="4">
        <f ca="1">+U33-V33</f>
        <v>7.3712897805928879E-2</v>
      </c>
      <c r="X33" s="4">
        <f ca="1">+((W33*(1-0.34))-Pfd_weighted)/Equity_percent</f>
        <v>0.12343172253463099</v>
      </c>
      <c r="Y33" s="4">
        <f ca="1">+X33*equityP</f>
        <v>7.5915818987975517E-2</v>
      </c>
      <c r="Z33" s="4">
        <f ca="1">+Y33/(1-taxrate)</f>
        <v>9.6095973402500645E-2</v>
      </c>
      <c r="AA33" s="4">
        <f>debtP*Debt_Rate</f>
        <v>2.2704500049162669E-2</v>
      </c>
      <c r="AB33" s="4">
        <f ca="1">+AA33+Z33</f>
        <v>0.11880047345166331</v>
      </c>
      <c r="AC33" s="4">
        <f ca="1">+AB33/(S33/100)</f>
        <v>0.19458107172034353</v>
      </c>
      <c r="AD33" s="4">
        <f ca="1">1-AC33</f>
        <v>0.80541892827965644</v>
      </c>
      <c r="AE33" s="119">
        <f ca="1">expenses/(AD33)</f>
        <v>214020.58605128553</v>
      </c>
      <c r="AF33" s="120">
        <f ca="1">+AE33-Revenue</f>
        <v>69502.576051285519</v>
      </c>
      <c r="AG33" s="10">
        <f ca="1">+AF33/$J$49</f>
        <v>88578.483151115594</v>
      </c>
      <c r="AH33" s="10">
        <f ca="1">+AG33*$J$47</f>
        <v>1780.4275113374233</v>
      </c>
      <c r="AI33" s="119">
        <f t="shared" ca="1" si="11"/>
        <v>215801.01355999999</v>
      </c>
    </row>
    <row r="34" spans="1:46" ht="15.45">
      <c r="A34" s="41"/>
      <c r="B34" s="41"/>
      <c r="C34" s="41"/>
      <c r="D34" s="41"/>
      <c r="E34" s="41"/>
      <c r="F34" s="136">
        <f t="shared" si="6"/>
        <v>28</v>
      </c>
      <c r="G34" s="70"/>
      <c r="H34" s="74" t="s">
        <v>55</v>
      </c>
      <c r="I34" s="74"/>
      <c r="J34" s="87">
        <f ca="1">+(M9-M11)/J26</f>
        <v>0.15747351148293523</v>
      </c>
      <c r="K34" s="87">
        <f ca="1">+M14/J26</f>
        <v>0.12440407407151882</v>
      </c>
      <c r="L34" s="70"/>
      <c r="M34" s="70"/>
      <c r="N34" s="70"/>
      <c r="O34" s="44"/>
      <c r="P34" s="41"/>
      <c r="R34" s="7">
        <v>4</v>
      </c>
      <c r="S34" s="118">
        <f ca="1">AI29/Investment*100</f>
        <v>60.940502765790669</v>
      </c>
      <c r="T34" s="8">
        <f ca="1">EXP(y_inter4-(slope*LN(S34)))</f>
        <v>17.856829107928135</v>
      </c>
      <c r="U34" s="4">
        <f ca="1">(+S34*T34/100)/100</f>
        <v>0.10882041436399457</v>
      </c>
      <c r="V34" s="4">
        <f>regDebt_weighted</f>
        <v>3.5860000000000003E-2</v>
      </c>
      <c r="W34" s="4">
        <f ca="1">+U34-V34</f>
        <v>7.2960414363994572E-2</v>
      </c>
      <c r="X34" s="4">
        <f ca="1">+((W34*(1-0.34))-Pfd_weighted)/Equity_percent</f>
        <v>0.12198800430301283</v>
      </c>
      <c r="Y34" s="4">
        <f ca="1">+X34*equityP</f>
        <v>7.5027870171491873E-2</v>
      </c>
      <c r="Z34" s="4">
        <f ca="1">+Y34/(1-taxrate)</f>
        <v>9.4971987558850474E-2</v>
      </c>
      <c r="AA34" s="4">
        <f>debtP*Debt_Rate</f>
        <v>2.2704500049162669E-2</v>
      </c>
      <c r="AB34" s="4">
        <f ca="1">+AA34+Z34</f>
        <v>0.11767648760801314</v>
      </c>
      <c r="AC34" s="4">
        <f ca="1">+AB34/(S34/100)</f>
        <v>0.19310061825428779</v>
      </c>
      <c r="AD34" s="4">
        <f ca="1">1-AC34</f>
        <v>0.80689938174571219</v>
      </c>
      <c r="AE34" s="119">
        <f ca="1">expenses/(AD34)</f>
        <v>213627.91315353039</v>
      </c>
      <c r="AF34" s="120">
        <f ca="1">+AE34-Revenue</f>
        <v>69109.90315353038</v>
      </c>
      <c r="AG34" s="10">
        <f ca="1">+AF34/$J$49</f>
        <v>88078.035949963829</v>
      </c>
      <c r="AH34" s="10">
        <f ca="1">+AG34*$J$47</f>
        <v>1770.3685225942729</v>
      </c>
      <c r="AI34" s="119">
        <f t="shared" ca="1" si="11"/>
        <v>215398.28167999999</v>
      </c>
    </row>
    <row r="35" spans="1:46" ht="15.45">
      <c r="A35" s="41"/>
      <c r="B35" s="41"/>
      <c r="C35" s="41"/>
      <c r="D35" s="41"/>
      <c r="E35" s="41"/>
      <c r="F35" s="136">
        <f t="shared" si="6"/>
        <v>29</v>
      </c>
      <c r="G35" s="70"/>
      <c r="H35" s="90" t="s">
        <v>31</v>
      </c>
      <c r="I35" s="74"/>
      <c r="J35" s="87">
        <f ca="1">+K8/K7</f>
        <v>0.80310999999999999</v>
      </c>
      <c r="K35" s="87">
        <f ca="1">+M8/M7</f>
        <v>0.80474400810198543</v>
      </c>
      <c r="L35" s="70"/>
      <c r="M35" s="70"/>
      <c r="N35" s="70"/>
      <c r="O35" s="41"/>
      <c r="P35" s="41"/>
      <c r="R35" s="1" t="s">
        <v>84</v>
      </c>
      <c r="X35" s="12"/>
      <c r="Y35" s="13"/>
      <c r="Z35" s="6"/>
      <c r="AA35" s="12"/>
      <c r="AC35" s="12"/>
      <c r="AD35" s="12"/>
      <c r="AE35" s="6"/>
      <c r="AF35" s="9"/>
      <c r="AH35" s="6"/>
    </row>
    <row r="36" spans="1:46" ht="15.45">
      <c r="A36" s="41"/>
      <c r="B36" s="41"/>
      <c r="C36" s="41"/>
      <c r="D36" s="41"/>
      <c r="E36" s="41"/>
      <c r="F36" s="136">
        <f t="shared" si="6"/>
        <v>30</v>
      </c>
      <c r="G36" s="70"/>
      <c r="H36" s="74" t="s">
        <v>56</v>
      </c>
      <c r="I36" s="74"/>
      <c r="J36" s="87">
        <f ca="1">+K9/K7</f>
        <v>0.19688999999999998</v>
      </c>
      <c r="K36" s="87">
        <f ca="1">+J36</f>
        <v>0.19688999999999998</v>
      </c>
      <c r="L36" s="70"/>
      <c r="M36" s="70"/>
      <c r="N36" s="70"/>
      <c r="O36" s="41"/>
      <c r="P36" s="41"/>
      <c r="R36" s="3">
        <v>1</v>
      </c>
      <c r="S36" s="112">
        <f ca="1">AI31/Investment*100</f>
        <v>61.496240238241803</v>
      </c>
      <c r="T36" s="113">
        <f ca="1">EXP(y_inter1-(slope*LN(+S36)))</f>
        <v>18.294119175772209</v>
      </c>
      <c r="U36" s="114">
        <f ca="1">(+S36*T36/100)/100</f>
        <v>0.11250195477803139</v>
      </c>
      <c r="V36" s="114">
        <f>regDebt_weighted</f>
        <v>3.5860000000000003E-2</v>
      </c>
      <c r="W36" s="114">
        <f ca="1">+U36-V36</f>
        <v>7.6641954778031388E-2</v>
      </c>
      <c r="X36" s="114">
        <f ca="1">+((W36*(1-0.34))-Pfd_weighted)/Equity_percent</f>
        <v>0.12905142486482765</v>
      </c>
      <c r="Y36" s="114">
        <f ca="1">+X36*equityP</f>
        <v>7.9372177662268645E-2</v>
      </c>
      <c r="Z36" s="114">
        <f ca="1">+Y36/(1-taxrate)</f>
        <v>0.10047111096489701</v>
      </c>
      <c r="AA36" s="114">
        <f>debtP*Debt_Rate</f>
        <v>2.2704500049162669E-2</v>
      </c>
      <c r="AB36" s="114">
        <f ca="1">+AA36+Z36</f>
        <v>0.12317561101405969</v>
      </c>
      <c r="AC36" s="114">
        <f ca="1">+AB36/(S36/100)</f>
        <v>0.20029779143711324</v>
      </c>
      <c r="AD36" s="114">
        <f ca="1">1-AC36</f>
        <v>0.79970220856288676</v>
      </c>
      <c r="AE36" s="115">
        <f ca="1">expenses/(AD36)</f>
        <v>215550.52518484459</v>
      </c>
      <c r="AF36" s="116">
        <f ca="1">+AE36-Revenue</f>
        <v>71032.515184844582</v>
      </c>
      <c r="AG36" s="117">
        <f ca="1">+AF36/$J$49</f>
        <v>90528.334443881991</v>
      </c>
      <c r="AH36" s="117">
        <f ca="1">+AG36*$J$47</f>
        <v>1819.6195223220279</v>
      </c>
      <c r="AI36" s="115">
        <f ca="1">ROUND(+AH36+AE36,5)</f>
        <v>217370.14470999999</v>
      </c>
    </row>
    <row r="37" spans="1:46" ht="15.45">
      <c r="A37" s="41"/>
      <c r="B37" s="41"/>
      <c r="C37" s="41"/>
      <c r="D37" s="41"/>
      <c r="E37" s="41"/>
      <c r="F37" s="136">
        <f t="shared" si="6"/>
        <v>31</v>
      </c>
      <c r="G37" s="70"/>
      <c r="H37" s="74" t="s">
        <v>57</v>
      </c>
      <c r="I37" s="72"/>
      <c r="J37" s="91">
        <f ca="1">+S39/100</f>
        <v>0.60938673156650158</v>
      </c>
      <c r="K37" s="91">
        <f ca="1">+J37</f>
        <v>0.60938673156650158</v>
      </c>
      <c r="L37" s="70"/>
      <c r="M37" s="70"/>
      <c r="N37" s="70"/>
      <c r="O37" s="41"/>
      <c r="P37" s="41"/>
      <c r="R37" s="33">
        <v>2</v>
      </c>
      <c r="S37" s="118">
        <f ca="1">AI32/Investment*100</f>
        <v>61.230959921143835</v>
      </c>
      <c r="T37" s="32">
        <f ca="1">EXP(y_inter2-(slope*LN(+S37)))</f>
        <v>18.087212966830016</v>
      </c>
      <c r="U37" s="4">
        <f ca="1">(+S37*T37/100)/100</f>
        <v>0.11074974122571618</v>
      </c>
      <c r="V37" s="4">
        <f>regDebt_weighted</f>
        <v>3.5860000000000003E-2</v>
      </c>
      <c r="W37" s="4">
        <f ca="1">+U37-V37</f>
        <v>7.4889741225716178E-2</v>
      </c>
      <c r="X37" s="4">
        <f ca="1">+((W37*(1-0.34))-Pfd_weighted)/Equity_percent</f>
        <v>0.12568961979352522</v>
      </c>
      <c r="Y37" s="4">
        <f ca="1">+X37*equityP</f>
        <v>7.7304522929553976E-2</v>
      </c>
      <c r="Z37" s="4">
        <f ca="1">+Y37/(1-taxrate)</f>
        <v>9.7853826493106297E-2</v>
      </c>
      <c r="AA37" s="4">
        <f>debtP*Debt_Rate</f>
        <v>2.2704500049162669E-2</v>
      </c>
      <c r="AB37" s="4">
        <f ca="1">+AA37+Z37</f>
        <v>0.12055832654226897</v>
      </c>
      <c r="AC37" s="4">
        <f ca="1">+AB37/(S37/100)</f>
        <v>0.19689112615175355</v>
      </c>
      <c r="AD37" s="4">
        <f ca="1">1-AC37</f>
        <v>0.80310887384824647</v>
      </c>
      <c r="AE37" s="119">
        <f ca="1">expenses/(AD37)</f>
        <v>214636.19275085008</v>
      </c>
      <c r="AF37" s="120">
        <f ca="1">+AE37-Revenue</f>
        <v>70118.182750850072</v>
      </c>
      <c r="AG37" s="10">
        <f ca="1">+AF37/$J$49</f>
        <v>89363.051303306886</v>
      </c>
      <c r="AH37" s="10">
        <f ca="1">+AG37*$J$47</f>
        <v>1796.1973311964684</v>
      </c>
      <c r="AI37" s="119">
        <f t="shared" ref="AI37:AI39" ca="1" si="12">ROUND(+AH37+AE37,5)</f>
        <v>216432.39008000001</v>
      </c>
    </row>
    <row r="38" spans="1:46" ht="15.45">
      <c r="A38" s="41"/>
      <c r="B38" s="41"/>
      <c r="C38" s="41"/>
      <c r="D38" s="41"/>
      <c r="E38" s="41"/>
      <c r="F38" s="136">
        <f t="shared" si="6"/>
        <v>32</v>
      </c>
      <c r="G38" s="70"/>
      <c r="H38" s="74" t="s">
        <v>58</v>
      </c>
      <c r="I38" s="70"/>
      <c r="J38" s="87">
        <f>+C10</f>
        <v>0.21</v>
      </c>
      <c r="K38" s="87">
        <f>+J38</f>
        <v>0.21</v>
      </c>
      <c r="L38" s="70"/>
      <c r="M38" s="70"/>
      <c r="N38" s="70"/>
      <c r="O38" s="41"/>
      <c r="P38" s="41"/>
      <c r="Q38" s="69"/>
      <c r="R38" s="5">
        <v>3</v>
      </c>
      <c r="S38" s="118">
        <f ca="1">AI33/Investment*100</f>
        <v>61.052610678405998</v>
      </c>
      <c r="T38" s="6">
        <f ca="1">EXP(y_inter3-(slope*LN(S38)))</f>
        <v>17.947116734915657</v>
      </c>
      <c r="U38" s="4">
        <f ca="1">(+S38*T38/100)/100</f>
        <v>0.10957183308167107</v>
      </c>
      <c r="V38" s="4">
        <f>regDebt_weighted</f>
        <v>3.5860000000000003E-2</v>
      </c>
      <c r="W38" s="4">
        <f ca="1">+U38-V38</f>
        <v>7.3711833081671063E-2</v>
      </c>
      <c r="X38" s="4">
        <f ca="1">+((W38*(1-0.34))-Pfd_weighted)/Equity_percent</f>
        <v>0.12342967974971772</v>
      </c>
      <c r="Y38" s="4">
        <f ca="1">+X38*equityP</f>
        <v>7.5914562587379927E-2</v>
      </c>
      <c r="Z38" s="4">
        <f ca="1">+Y38/(1-taxrate)</f>
        <v>9.6094383021999907E-2</v>
      </c>
      <c r="AA38" s="4">
        <f>debtP*Debt_Rate</f>
        <v>2.2704500049162669E-2</v>
      </c>
      <c r="AB38" s="4">
        <f ca="1">+AA38+Z38</f>
        <v>0.11879888307116257</v>
      </c>
      <c r="AC38" s="4">
        <f ca="1">+AB38/(S38/100)</f>
        <v>0.19458444405749409</v>
      </c>
      <c r="AD38" s="4">
        <f ca="1">1-AC38</f>
        <v>0.80541555594250591</v>
      </c>
      <c r="AE38" s="119">
        <f ca="1">expenses/(AD38)</f>
        <v>214021.48217201227</v>
      </c>
      <c r="AF38" s="120">
        <f ca="1">+AE38-Revenue</f>
        <v>69503.472172012262</v>
      </c>
      <c r="AG38" s="10">
        <f ca="1">+AF38/$J$49</f>
        <v>88579.625224103453</v>
      </c>
      <c r="AH38" s="10">
        <f ca="1">+AG38*$J$47</f>
        <v>1780.4504670044794</v>
      </c>
      <c r="AI38" s="119">
        <f t="shared" ca="1" si="12"/>
        <v>215801.93264000001</v>
      </c>
    </row>
    <row r="39" spans="1:46" ht="15.45">
      <c r="A39" s="41"/>
      <c r="B39" s="41"/>
      <c r="C39" s="41"/>
      <c r="D39" s="41"/>
      <c r="E39" s="41"/>
      <c r="F39" s="136">
        <f t="shared" si="6"/>
        <v>33</v>
      </c>
      <c r="G39" s="70"/>
      <c r="H39" s="70"/>
      <c r="I39" s="70"/>
      <c r="J39" s="70"/>
      <c r="K39" s="70"/>
      <c r="L39" s="70"/>
      <c r="M39" s="70"/>
      <c r="N39" s="70"/>
      <c r="O39" s="41"/>
      <c r="P39" s="41"/>
      <c r="R39" s="7">
        <v>4</v>
      </c>
      <c r="S39" s="118">
        <f ca="1">AI34/Investment*100</f>
        <v>60.938673156650161</v>
      </c>
      <c r="T39" s="8">
        <f ca="1">EXP(y_inter4-(slope*LN(S39)))</f>
        <v>17.857195641813526</v>
      </c>
      <c r="U39" s="4">
        <f ca="1">(+S39*T39/100)/100</f>
        <v>0.10881938087108323</v>
      </c>
      <c r="V39" s="4">
        <f>regDebt_weighted</f>
        <v>3.5860000000000003E-2</v>
      </c>
      <c r="W39" s="4">
        <f ca="1">+U39-V39</f>
        <v>7.2959380871083224E-2</v>
      </c>
      <c r="X39" s="4">
        <f ca="1">+((W39*(1-0.34))-Pfd_weighted)/Equity_percent</f>
        <v>0.12198602143870618</v>
      </c>
      <c r="Y39" s="4">
        <f ca="1">+X39*equityP</f>
        <v>7.5026650624646932E-2</v>
      </c>
      <c r="Z39" s="4">
        <f ca="1">+Y39/(1-taxrate)</f>
        <v>9.4970443828666998E-2</v>
      </c>
      <c r="AA39" s="4">
        <f>debtP*Debt_Rate</f>
        <v>2.2704500049162669E-2</v>
      </c>
      <c r="AB39" s="4">
        <f ca="1">+AA39+Z39</f>
        <v>0.11767494387782967</v>
      </c>
      <c r="AC39" s="4">
        <f ca="1">+AB39/(S39/100)</f>
        <v>0.19310388261216671</v>
      </c>
      <c r="AD39" s="4">
        <f ca="1">1-AC39</f>
        <v>0.80689611738783329</v>
      </c>
      <c r="AE39" s="119">
        <f ca="1">expenses/(AD39)</f>
        <v>213628.77740104185</v>
      </c>
      <c r="AF39" s="120">
        <f ca="1">+AE39-Revenue</f>
        <v>69110.767401041841</v>
      </c>
      <c r="AG39" s="10">
        <f ca="1">+AF39/$J$49</f>
        <v>88079.137401708227</v>
      </c>
      <c r="AH39" s="10">
        <f ca="1">+AG39*$J$47</f>
        <v>1770.3906617743353</v>
      </c>
      <c r="AI39" s="119">
        <f t="shared" ca="1" si="12"/>
        <v>215399.16806</v>
      </c>
    </row>
    <row r="40" spans="1:46" ht="15.45">
      <c r="A40" s="41"/>
      <c r="B40" s="41"/>
      <c r="C40" s="41"/>
      <c r="D40" s="41"/>
      <c r="E40" s="41"/>
      <c r="F40" s="136">
        <f t="shared" si="6"/>
        <v>34</v>
      </c>
      <c r="G40" s="72"/>
      <c r="H40" s="70"/>
      <c r="I40" s="70"/>
      <c r="J40" s="70"/>
      <c r="K40" s="70"/>
      <c r="L40" s="70"/>
      <c r="M40" s="70"/>
      <c r="N40" s="70"/>
      <c r="O40" s="41"/>
      <c r="P40" s="41"/>
      <c r="X40" s="12"/>
      <c r="Y40" s="13"/>
      <c r="Z40" s="6"/>
      <c r="AA40" s="12"/>
      <c r="AC40" s="12"/>
      <c r="AD40" s="12"/>
      <c r="AE40" s="6"/>
      <c r="AF40" s="9"/>
      <c r="AH40" s="6"/>
    </row>
    <row r="41" spans="1:46" ht="15.45">
      <c r="A41" s="41"/>
      <c r="B41" s="41"/>
      <c r="C41" s="41"/>
      <c r="D41" s="41"/>
      <c r="E41" s="41"/>
      <c r="F41" s="136">
        <f t="shared" si="6"/>
        <v>35</v>
      </c>
      <c r="G41" s="70"/>
      <c r="H41" s="99" t="s">
        <v>61</v>
      </c>
      <c r="I41" s="92"/>
      <c r="J41" s="70"/>
      <c r="K41" s="70"/>
      <c r="L41" s="70"/>
      <c r="M41" s="70"/>
      <c r="N41" s="70"/>
      <c r="O41" s="41"/>
      <c r="P41" s="41"/>
      <c r="R41" s="26" t="s">
        <v>59</v>
      </c>
      <c r="S41" s="27"/>
      <c r="T41" s="14"/>
      <c r="U41" s="14"/>
      <c r="V41" s="15"/>
      <c r="X41" s="11"/>
      <c r="Y41" s="13"/>
      <c r="Z41" s="6"/>
      <c r="AA41" s="12"/>
      <c r="AC41" s="12"/>
      <c r="AD41" s="12"/>
      <c r="AE41" s="6"/>
      <c r="AF41" s="9"/>
      <c r="AH41" s="6"/>
    </row>
    <row r="42" spans="1:46" ht="15.45">
      <c r="A42" s="41"/>
      <c r="B42" s="41"/>
      <c r="C42" s="41"/>
      <c r="D42" s="41"/>
      <c r="E42" s="41"/>
      <c r="F42" s="136">
        <f t="shared" si="6"/>
        <v>36</v>
      </c>
      <c r="G42" s="70"/>
      <c r="H42" s="70"/>
      <c r="I42" s="70"/>
      <c r="J42" s="104" t="s">
        <v>48</v>
      </c>
      <c r="K42" s="187" t="s">
        <v>20</v>
      </c>
      <c r="L42" s="70"/>
      <c r="M42" s="70"/>
      <c r="N42" s="70"/>
      <c r="O42" s="41"/>
      <c r="P42" s="41"/>
      <c r="R42" s="28" t="s">
        <v>60</v>
      </c>
      <c r="S42" s="29"/>
      <c r="V42" s="16"/>
      <c r="X42" s="12"/>
      <c r="Y42" s="13"/>
      <c r="Z42" s="6"/>
      <c r="AA42" s="12"/>
      <c r="AC42" s="12"/>
      <c r="AD42" s="12"/>
      <c r="AE42" s="6"/>
      <c r="AH42" s="6"/>
    </row>
    <row r="43" spans="1:46" ht="15.45">
      <c r="A43" s="41"/>
      <c r="B43" s="41"/>
      <c r="C43" s="41"/>
      <c r="D43" s="41"/>
      <c r="E43" s="41"/>
      <c r="F43" s="136">
        <f t="shared" si="6"/>
        <v>37</v>
      </c>
      <c r="G43" s="70"/>
      <c r="H43" s="74" t="s">
        <v>62</v>
      </c>
      <c r="I43" s="73"/>
      <c r="J43" s="121">
        <f>IF($A$65=TRUE,C11,0)</f>
        <v>1.4999999999999999E-2</v>
      </c>
      <c r="K43" s="122">
        <f ca="1">+J43*($J$7/$J$49)</f>
        <v>1340.4400158996484</v>
      </c>
      <c r="L43" s="70"/>
      <c r="M43" s="70"/>
      <c r="N43" s="70"/>
      <c r="O43" s="41"/>
      <c r="P43" s="41"/>
      <c r="R43" s="5">
        <v>0</v>
      </c>
      <c r="S43" s="30">
        <v>1</v>
      </c>
      <c r="U43" s="17" t="s">
        <v>56</v>
      </c>
      <c r="V43" s="18">
        <f ca="1">VLOOKUP(R49,R36:AE39,12)</f>
        <v>0.19689112615175355</v>
      </c>
      <c r="AA43" s="12"/>
      <c r="AC43" s="12"/>
      <c r="AH43" s="6"/>
      <c r="AL43" s="12"/>
      <c r="AM43" s="12"/>
      <c r="AN43" s="12"/>
      <c r="AO43" s="12"/>
      <c r="AP43" s="12"/>
      <c r="AQ43" s="12"/>
      <c r="AR43" s="12"/>
      <c r="AS43" s="12"/>
      <c r="AT43" s="12"/>
    </row>
    <row r="44" spans="1:46" ht="15.45">
      <c r="A44" s="41"/>
      <c r="B44" s="41"/>
      <c r="C44" s="41"/>
      <c r="D44" s="41"/>
      <c r="E44" s="41"/>
      <c r="F44" s="136">
        <f t="shared" si="6"/>
        <v>38</v>
      </c>
      <c r="G44" s="70"/>
      <c r="H44" s="74" t="s">
        <v>63</v>
      </c>
      <c r="I44" s="73"/>
      <c r="J44" s="121">
        <f t="shared" ref="J44:J46" si="13">IF($A$65=TRUE,C12,0)</f>
        <v>5.1000000000000004E-3</v>
      </c>
      <c r="K44" s="122">
        <f ca="1">+J44*($J$7/$J$49)</f>
        <v>455.74960540588057</v>
      </c>
      <c r="L44" s="70"/>
      <c r="M44" s="70"/>
      <c r="N44" s="70"/>
      <c r="O44" s="41"/>
      <c r="P44" s="41"/>
      <c r="R44" s="5">
        <v>50</v>
      </c>
      <c r="S44" s="30">
        <v>2</v>
      </c>
      <c r="U44" s="17" t="s">
        <v>31</v>
      </c>
      <c r="V44" s="18">
        <f ca="1">ROUND(1-V43,5)</f>
        <v>0.80310999999999999</v>
      </c>
      <c r="Y44" s="64"/>
      <c r="Z44" s="1"/>
      <c r="AA44" s="1"/>
      <c r="AC44" s="12"/>
      <c r="AF44" s="9"/>
      <c r="AH44" s="6"/>
      <c r="AL44" s="12"/>
      <c r="AM44" s="12"/>
      <c r="AN44" s="12"/>
      <c r="AO44" s="12"/>
      <c r="AP44" s="12"/>
      <c r="AQ44" s="12"/>
      <c r="AR44" s="12"/>
      <c r="AS44" s="12"/>
      <c r="AT44" s="12"/>
    </row>
    <row r="45" spans="1:46" ht="15.45">
      <c r="A45" s="41"/>
      <c r="B45" s="41"/>
      <c r="C45" s="41"/>
      <c r="D45" s="41"/>
      <c r="E45" s="41"/>
      <c r="F45" s="136">
        <f t="shared" si="6"/>
        <v>39</v>
      </c>
      <c r="G45" s="70"/>
      <c r="H45" s="74" t="s">
        <v>66</v>
      </c>
      <c r="I45" s="73"/>
      <c r="J45" s="121">
        <f t="shared" si="13"/>
        <v>0</v>
      </c>
      <c r="K45" s="122">
        <f ca="1">+J45*($J$7/$J$49)</f>
        <v>0</v>
      </c>
      <c r="L45" s="70"/>
      <c r="M45" s="70"/>
      <c r="N45" s="70"/>
      <c r="O45" s="41"/>
      <c r="P45" s="41"/>
      <c r="R45" s="5">
        <v>125</v>
      </c>
      <c r="S45" s="30">
        <v>3</v>
      </c>
      <c r="U45" t="s">
        <v>107</v>
      </c>
      <c r="V45" s="159">
        <f ca="1">+M7/Revenue-1</f>
        <v>0.49761321375117751</v>
      </c>
      <c r="W45" s="10"/>
      <c r="X45" s="12"/>
      <c r="Y45" s="64"/>
      <c r="Z45" s="6"/>
      <c r="AA45" s="12"/>
      <c r="AC45" s="12"/>
      <c r="AD45" s="12"/>
      <c r="AE45" s="6"/>
      <c r="AF45" s="9"/>
      <c r="AH45" s="6"/>
      <c r="AL45" s="12"/>
      <c r="AM45" s="12"/>
      <c r="AN45" s="12"/>
      <c r="AO45" s="12"/>
      <c r="AP45" s="12"/>
      <c r="AQ45" s="12"/>
      <c r="AR45" s="12"/>
      <c r="AS45" s="12"/>
      <c r="AT45" s="12"/>
    </row>
    <row r="46" spans="1:46" ht="15.45">
      <c r="A46" s="41"/>
      <c r="B46" s="41"/>
      <c r="C46" s="41"/>
      <c r="D46" s="41"/>
      <c r="E46" s="41"/>
      <c r="F46" s="136">
        <f t="shared" si="6"/>
        <v>40</v>
      </c>
      <c r="G46" s="70"/>
      <c r="H46" s="74" t="s">
        <v>69</v>
      </c>
      <c r="I46" s="73"/>
      <c r="J46" s="121">
        <f t="shared" si="13"/>
        <v>0</v>
      </c>
      <c r="K46" s="122">
        <f ca="1">+J46*($J$7/$J$49)</f>
        <v>0</v>
      </c>
      <c r="L46" s="70"/>
      <c r="M46" s="70"/>
      <c r="N46" s="70"/>
      <c r="O46" s="41"/>
      <c r="P46" s="41"/>
      <c r="R46" s="7">
        <v>401</v>
      </c>
      <c r="S46" s="31">
        <v>4</v>
      </c>
      <c r="T46" s="19"/>
      <c r="U46" s="19"/>
      <c r="V46" s="20"/>
      <c r="X46" s="12"/>
      <c r="Y46" s="13"/>
      <c r="Z46" s="6"/>
      <c r="AA46" s="12"/>
      <c r="AC46" s="12"/>
      <c r="AD46" s="12"/>
      <c r="AE46" s="6"/>
      <c r="AF46" s="9"/>
      <c r="AH46" s="6"/>
      <c r="AL46" s="12"/>
      <c r="AM46" s="12"/>
      <c r="AN46" s="12"/>
      <c r="AO46" s="12"/>
      <c r="AP46" s="12"/>
      <c r="AQ46" s="12"/>
      <c r="AR46" s="12"/>
      <c r="AS46" s="12"/>
      <c r="AT46" s="12"/>
    </row>
    <row r="47" spans="1:46" ht="15.9" thickBot="1">
      <c r="A47" s="41"/>
      <c r="B47" s="41"/>
      <c r="C47" s="41"/>
      <c r="D47" s="41"/>
      <c r="E47" s="41"/>
      <c r="F47" s="136">
        <f t="shared" si="6"/>
        <v>41</v>
      </c>
      <c r="G47" s="70"/>
      <c r="H47" s="74" t="s">
        <v>71</v>
      </c>
      <c r="I47" s="72"/>
      <c r="J47" s="131">
        <f>SUM(J43:J46)</f>
        <v>2.01E-2</v>
      </c>
      <c r="K47" s="130">
        <f ca="1">+K43+K44+K45+K46</f>
        <v>1796.189621305529</v>
      </c>
      <c r="L47" s="70"/>
      <c r="M47" s="70"/>
      <c r="N47" s="70"/>
      <c r="O47" s="41"/>
      <c r="P47" s="41"/>
      <c r="R47" s="5"/>
      <c r="S47" s="1"/>
      <c r="X47" s="12"/>
      <c r="Y47" s="13"/>
      <c r="Z47" s="6"/>
      <c r="AA47" s="12"/>
      <c r="AC47" s="12"/>
      <c r="AD47" s="12"/>
      <c r="AE47" s="6"/>
      <c r="AF47" s="9"/>
      <c r="AH47" s="6"/>
      <c r="AL47" s="12"/>
      <c r="AM47" s="12"/>
      <c r="AN47" s="12"/>
      <c r="AO47" s="12"/>
      <c r="AP47" s="12"/>
      <c r="AQ47" s="12"/>
      <c r="AR47" s="12"/>
      <c r="AS47" s="12"/>
      <c r="AT47" s="12"/>
    </row>
    <row r="48" spans="1:46" ht="15.9" thickTop="1">
      <c r="A48" s="41"/>
      <c r="B48" s="41"/>
      <c r="C48" s="41"/>
      <c r="D48" s="41"/>
      <c r="E48" s="41"/>
      <c r="F48" s="136">
        <f t="shared" si="6"/>
        <v>42</v>
      </c>
      <c r="G48" s="70"/>
      <c r="H48" s="74"/>
      <c r="I48" s="72"/>
      <c r="J48" s="121"/>
      <c r="K48" s="78"/>
      <c r="L48" s="70"/>
      <c r="M48" s="70"/>
      <c r="N48" s="70"/>
      <c r="O48" s="41"/>
      <c r="P48" s="41"/>
      <c r="R48" s="140">
        <f ca="1">VLOOKUP(R49,R36:S39,2)</f>
        <v>61.230959921143835</v>
      </c>
      <c r="S48" s="141" t="s">
        <v>64</v>
      </c>
      <c r="T48" s="15"/>
      <c r="V48" s="154"/>
      <c r="X48" t="s">
        <v>65</v>
      </c>
      <c r="AC48" s="12"/>
      <c r="AF48" s="9"/>
      <c r="AH48" s="6"/>
    </row>
    <row r="49" spans="1:46" ht="15.45">
      <c r="A49" s="41"/>
      <c r="B49" s="41"/>
      <c r="C49" s="41"/>
      <c r="D49" s="41"/>
      <c r="E49" s="41"/>
      <c r="F49" s="136">
        <f t="shared" si="6"/>
        <v>43</v>
      </c>
      <c r="G49" s="166"/>
      <c r="H49" s="74" t="s">
        <v>73</v>
      </c>
      <c r="I49" s="70"/>
      <c r="J49" s="87">
        <f ca="1">((K35)-J47)</f>
        <v>0.78464400810198542</v>
      </c>
      <c r="K49" s="70"/>
      <c r="L49" s="70"/>
      <c r="M49" s="70"/>
      <c r="N49" s="70"/>
      <c r="O49" s="41"/>
      <c r="P49" s="41"/>
      <c r="R49" s="5">
        <f ca="1">VLOOKUP(S36,R43:S46,2)</f>
        <v>2</v>
      </c>
      <c r="S49" s="142" t="s">
        <v>67</v>
      </c>
      <c r="T49" s="16"/>
      <c r="X49" t="s">
        <v>68</v>
      </c>
      <c r="AA49" s="1"/>
      <c r="AC49" s="12"/>
      <c r="AH49" s="6"/>
    </row>
    <row r="50" spans="1:46">
      <c r="A50" s="41"/>
      <c r="B50" s="41"/>
      <c r="C50" s="41"/>
      <c r="D50" s="41"/>
      <c r="E50" s="41"/>
      <c r="F50" s="41"/>
      <c r="G50" s="41"/>
      <c r="H50" s="41"/>
      <c r="I50" s="41"/>
      <c r="J50" s="41"/>
      <c r="K50" s="45"/>
      <c r="L50" s="41"/>
      <c r="M50" s="41"/>
      <c r="N50" s="46"/>
      <c r="O50" s="41"/>
      <c r="P50" s="41"/>
      <c r="R50" s="5"/>
      <c r="T50" s="16"/>
      <c r="X50" t="s">
        <v>70</v>
      </c>
      <c r="AA50" s="12"/>
      <c r="AC50" s="12"/>
      <c r="AD50" s="12"/>
      <c r="AE50" s="6"/>
      <c r="AH50" s="6"/>
    </row>
    <row r="51" spans="1:46">
      <c r="A51" s="41"/>
      <c r="B51" s="41"/>
      <c r="C51" s="41"/>
      <c r="D51" s="41"/>
      <c r="E51" s="41"/>
      <c r="F51" s="41"/>
      <c r="G51" s="41"/>
      <c r="H51" s="41"/>
      <c r="I51" s="41"/>
      <c r="J51" s="41"/>
      <c r="K51" s="45"/>
      <c r="L51" s="41"/>
      <c r="M51" s="41"/>
      <c r="N51" s="46"/>
      <c r="O51" s="41"/>
      <c r="P51" s="41"/>
      <c r="R51" s="143">
        <f ca="1">+V44</f>
        <v>0.80310999999999999</v>
      </c>
      <c r="S51" s="19" t="s">
        <v>31</v>
      </c>
      <c r="T51" s="24"/>
      <c r="X51" t="s">
        <v>72</v>
      </c>
      <c r="AA51" s="12"/>
      <c r="AC51" s="12"/>
      <c r="AD51" s="12"/>
      <c r="AE51" s="6"/>
      <c r="AF51" s="12"/>
      <c r="AH51" s="6"/>
      <c r="AL51" s="12"/>
      <c r="AM51" s="12"/>
      <c r="AN51" s="12"/>
      <c r="AO51" s="12"/>
      <c r="AP51" s="12"/>
      <c r="AQ51" s="12"/>
      <c r="AR51" s="12"/>
      <c r="AS51" s="12"/>
      <c r="AT51" s="12"/>
    </row>
    <row r="52" spans="1:46">
      <c r="A52" s="41"/>
      <c r="B52" s="41"/>
      <c r="C52" s="41"/>
      <c r="D52" s="41"/>
      <c r="E52" s="41"/>
      <c r="F52" s="41"/>
      <c r="G52" s="41"/>
      <c r="H52" s="41"/>
      <c r="I52" s="41"/>
      <c r="J52" s="41"/>
      <c r="K52" s="41"/>
      <c r="L52" s="41"/>
      <c r="M52" s="41"/>
      <c r="N52" s="41"/>
      <c r="O52" s="41"/>
      <c r="P52" s="41"/>
      <c r="Z52" s="6"/>
      <c r="AA52" s="12"/>
      <c r="AC52" s="12"/>
      <c r="AD52" s="12"/>
      <c r="AE52" s="6"/>
      <c r="AF52" s="9"/>
      <c r="AH52" s="6"/>
      <c r="AL52" s="12"/>
      <c r="AM52" s="12"/>
      <c r="AN52" s="12"/>
      <c r="AO52" s="12"/>
      <c r="AP52" s="12"/>
      <c r="AQ52" s="12"/>
      <c r="AR52" s="12"/>
      <c r="AS52" s="12"/>
      <c r="AT52" s="12"/>
    </row>
    <row r="53" spans="1:46">
      <c r="A53" s="41"/>
      <c r="B53" s="41"/>
      <c r="C53" s="41"/>
      <c r="D53" s="41"/>
      <c r="E53" s="41"/>
      <c r="F53" s="41"/>
      <c r="G53" s="41"/>
      <c r="H53" s="41"/>
      <c r="I53" s="41"/>
      <c r="J53" s="42"/>
      <c r="K53" s="42"/>
      <c r="L53" s="42"/>
      <c r="M53" s="42"/>
      <c r="N53" s="41"/>
      <c r="O53" s="41"/>
      <c r="P53" s="41"/>
      <c r="R53"/>
      <c r="Z53" s="6"/>
      <c r="AA53" s="12"/>
      <c r="AC53" s="12"/>
      <c r="AD53" s="12"/>
      <c r="AE53" s="6"/>
      <c r="AF53" s="9"/>
      <c r="AH53" s="6"/>
      <c r="AL53" s="12"/>
      <c r="AM53" s="12"/>
      <c r="AN53" s="12"/>
      <c r="AO53" s="12"/>
      <c r="AP53" s="12"/>
      <c r="AQ53" s="12"/>
      <c r="AR53" s="12"/>
      <c r="AS53" s="12"/>
      <c r="AT53" s="12"/>
    </row>
    <row r="54" spans="1:46" ht="15.45">
      <c r="A54" s="41"/>
      <c r="B54" s="41"/>
      <c r="C54" s="41"/>
      <c r="D54" s="41"/>
      <c r="E54" s="41"/>
      <c r="F54" s="41"/>
      <c r="G54" s="41"/>
      <c r="H54" s="41"/>
      <c r="I54" s="41"/>
      <c r="J54" s="41"/>
      <c r="K54" s="42"/>
      <c r="L54" s="42"/>
      <c r="M54" s="42"/>
      <c r="N54" s="41"/>
      <c r="O54" s="41"/>
      <c r="P54" s="41"/>
      <c r="R54"/>
      <c r="S54" t="s">
        <v>74</v>
      </c>
      <c r="T54" s="12"/>
      <c r="U54" s="21"/>
      <c r="W54" s="66" t="s">
        <v>75</v>
      </c>
      <c r="X54" s="57"/>
      <c r="Y54" s="57"/>
      <c r="Z54" s="57"/>
      <c r="AC54" s="12"/>
      <c r="AF54" s="9"/>
      <c r="AH54" s="6"/>
      <c r="AL54" s="12"/>
      <c r="AM54" s="12"/>
      <c r="AN54" s="12"/>
      <c r="AO54" s="12"/>
      <c r="AP54" s="12"/>
      <c r="AQ54" s="12"/>
      <c r="AR54" s="12"/>
      <c r="AS54" s="12"/>
      <c r="AT54" s="12"/>
    </row>
    <row r="55" spans="1:46">
      <c r="A55" s="41"/>
      <c r="B55" s="41"/>
      <c r="C55" s="41"/>
      <c r="D55" s="41"/>
      <c r="E55" s="41"/>
      <c r="F55" s="41"/>
      <c r="G55" s="41"/>
      <c r="H55" s="41"/>
      <c r="I55" s="41"/>
      <c r="J55" s="41"/>
      <c r="K55" s="41"/>
      <c r="L55" s="48"/>
      <c r="M55" s="48"/>
      <c r="N55" s="41"/>
      <c r="O55" s="41"/>
      <c r="P55" s="41"/>
      <c r="R55" s="22"/>
      <c r="S55" s="157" t="s">
        <v>46</v>
      </c>
      <c r="T55" s="157" t="s">
        <v>76</v>
      </c>
      <c r="U55" s="158" t="s">
        <v>49</v>
      </c>
      <c r="W55" s="52" t="s">
        <v>77</v>
      </c>
      <c r="X55" s="61">
        <v>5.7225999999999999</v>
      </c>
      <c r="Y55" s="60" t="s">
        <v>78</v>
      </c>
      <c r="Z55" s="63">
        <v>5.6985000000000001</v>
      </c>
      <c r="AA55" s="1"/>
      <c r="AC55" s="12"/>
      <c r="AH55" s="6"/>
    </row>
    <row r="56" spans="1:46">
      <c r="A56" s="41"/>
      <c r="B56" s="41"/>
      <c r="C56" s="41"/>
      <c r="D56" s="41"/>
      <c r="E56" s="41"/>
      <c r="F56" s="41"/>
      <c r="G56" s="41"/>
      <c r="H56" s="41"/>
      <c r="I56" s="41"/>
      <c r="J56" s="48"/>
      <c r="K56" s="41"/>
      <c r="L56" s="48"/>
      <c r="M56" s="48"/>
      <c r="N56" s="41"/>
      <c r="O56" s="41"/>
      <c r="P56" s="41"/>
      <c r="R56" s="23" t="s">
        <v>29</v>
      </c>
      <c r="S56" s="155">
        <v>0.56200000000000006</v>
      </c>
      <c r="T56" s="155">
        <v>6.3799999999999996E-2</v>
      </c>
      <c r="U56" s="18">
        <f>ROUND(+S56*T56,5)</f>
        <v>3.5860000000000003E-2</v>
      </c>
      <c r="W56" s="53" t="s">
        <v>79</v>
      </c>
      <c r="X56" s="62">
        <v>5.7082699999999997</v>
      </c>
      <c r="Y56" s="59" t="s">
        <v>80</v>
      </c>
      <c r="Z56" s="65">
        <v>5.6921999999999997</v>
      </c>
      <c r="AA56" s="12"/>
      <c r="AC56" s="12"/>
      <c r="AD56" s="12"/>
      <c r="AE56" s="6"/>
      <c r="AH56" s="6"/>
    </row>
    <row r="57" spans="1:46">
      <c r="A57" s="41"/>
      <c r="B57" s="41"/>
      <c r="C57" s="41"/>
      <c r="D57" s="41"/>
      <c r="E57" s="42"/>
      <c r="F57" s="41"/>
      <c r="G57" s="41"/>
      <c r="H57" s="41"/>
      <c r="I57" s="41"/>
      <c r="J57" s="48"/>
      <c r="K57" s="41"/>
      <c r="L57" s="48"/>
      <c r="M57" s="48"/>
      <c r="N57" s="41"/>
      <c r="O57" s="41"/>
      <c r="P57" s="41"/>
      <c r="R57" s="23" t="s">
        <v>81</v>
      </c>
      <c r="S57" s="155">
        <v>9.4E-2</v>
      </c>
      <c r="T57" s="155">
        <v>6.59E-2</v>
      </c>
      <c r="U57" s="18">
        <f>ROUND(+S57*T57,5)</f>
        <v>6.1900000000000002E-3</v>
      </c>
      <c r="W57" s="23"/>
      <c r="Y57" s="58"/>
      <c r="Z57" s="54"/>
      <c r="AA57" s="12"/>
      <c r="AC57" s="12"/>
      <c r="AD57" s="12"/>
      <c r="AE57" s="6"/>
      <c r="AF57" s="9"/>
      <c r="AH57" s="6"/>
      <c r="AL57" s="12"/>
    </row>
    <row r="58" spans="1:46">
      <c r="A58" s="41"/>
      <c r="B58" s="41"/>
      <c r="C58" s="41"/>
      <c r="D58" s="41"/>
      <c r="E58" s="42"/>
      <c r="F58" s="42"/>
      <c r="G58" s="42"/>
      <c r="H58" s="49"/>
      <c r="I58" s="42"/>
      <c r="J58" s="48"/>
      <c r="K58" s="41"/>
      <c r="L58" s="41"/>
      <c r="M58" s="41"/>
      <c r="N58" s="41"/>
      <c r="O58" s="41"/>
      <c r="P58" s="41"/>
      <c r="R58" s="23" t="s">
        <v>27</v>
      </c>
      <c r="S58" s="156">
        <v>0.34399999999999997</v>
      </c>
      <c r="T58" s="106"/>
      <c r="U58" s="107"/>
      <c r="W58" s="25"/>
      <c r="X58" s="55" t="s">
        <v>82</v>
      </c>
      <c r="Y58" s="67">
        <v>0.68367</v>
      </c>
      <c r="Z58" s="56"/>
      <c r="AA58" s="12"/>
      <c r="AC58" s="12"/>
      <c r="AD58" s="12"/>
      <c r="AE58" s="6"/>
      <c r="AF58" s="9"/>
      <c r="AH58" s="6"/>
    </row>
    <row r="59" spans="1:46">
      <c r="A59" s="41"/>
      <c r="B59" s="41"/>
      <c r="C59" s="41"/>
      <c r="D59" s="41"/>
      <c r="E59" s="41"/>
      <c r="F59" s="41"/>
      <c r="G59" s="41"/>
      <c r="H59" s="41"/>
      <c r="I59" s="41"/>
      <c r="J59" s="41"/>
      <c r="K59" s="41"/>
      <c r="L59" s="41"/>
      <c r="M59" s="41"/>
      <c r="N59" s="41"/>
      <c r="O59" s="41"/>
      <c r="P59" s="41"/>
      <c r="R59" s="25"/>
      <c r="S59" s="156">
        <f>SUM(S56:S58)</f>
        <v>1</v>
      </c>
      <c r="T59" s="108"/>
      <c r="U59" s="109"/>
      <c r="X59" s="12"/>
      <c r="Y59" s="13"/>
      <c r="Z59" s="6"/>
      <c r="AA59" s="12"/>
      <c r="AC59" s="12"/>
      <c r="AD59" s="12"/>
      <c r="AE59" s="6"/>
      <c r="AF59" s="9"/>
      <c r="AH59" s="6"/>
    </row>
    <row r="60" spans="1:46">
      <c r="A60" s="41"/>
      <c r="B60" s="41"/>
      <c r="C60" s="41"/>
      <c r="D60" s="41"/>
      <c r="E60" s="41"/>
      <c r="F60" s="41"/>
      <c r="G60" s="41"/>
      <c r="H60" s="41"/>
      <c r="I60" s="41"/>
      <c r="J60" s="41"/>
      <c r="K60" s="41"/>
      <c r="L60" s="41"/>
      <c r="M60" s="41"/>
      <c r="N60" s="41"/>
      <c r="O60" s="41"/>
      <c r="P60" s="41"/>
      <c r="X60" s="51"/>
      <c r="AC60" s="12"/>
      <c r="AF60" s="9"/>
      <c r="AH60" s="6"/>
      <c r="AL60" s="9"/>
      <c r="AM60" s="9"/>
      <c r="AN60" s="9"/>
      <c r="AO60" s="9"/>
      <c r="AP60" s="9"/>
      <c r="AQ60" s="9"/>
      <c r="AR60" s="9"/>
      <c r="AS60" s="9"/>
      <c r="AT60" s="9"/>
    </row>
    <row r="61" spans="1:46">
      <c r="A61" s="41"/>
      <c r="B61" s="41"/>
      <c r="C61" s="41"/>
      <c r="D61" s="41"/>
      <c r="E61" s="42"/>
      <c r="F61" s="41"/>
      <c r="G61" s="41"/>
      <c r="H61" s="41"/>
      <c r="I61" s="41"/>
      <c r="J61" s="41"/>
      <c r="K61" s="41"/>
      <c r="L61" s="41"/>
      <c r="M61" s="41"/>
      <c r="N61" s="41"/>
      <c r="O61" s="41"/>
      <c r="P61" s="41"/>
      <c r="W61" s="145" t="s">
        <v>51</v>
      </c>
      <c r="X61" s="146"/>
      <c r="Y61" s="154" t="s">
        <v>52</v>
      </c>
      <c r="Z61" s="144" t="s">
        <v>17</v>
      </c>
      <c r="AC61" s="12"/>
      <c r="AH61" s="6"/>
      <c r="AL61" s="9"/>
      <c r="AM61" s="9"/>
      <c r="AN61" s="9"/>
      <c r="AO61" s="9"/>
      <c r="AP61" s="9"/>
      <c r="AQ61" s="9"/>
      <c r="AR61" s="9"/>
      <c r="AS61" s="9"/>
      <c r="AT61" s="9"/>
    </row>
    <row r="62" spans="1:46">
      <c r="A62" s="41"/>
      <c r="B62" s="41"/>
      <c r="C62" s="41"/>
      <c r="D62" s="41"/>
      <c r="E62" s="41"/>
      <c r="F62" s="42"/>
      <c r="G62" s="42"/>
      <c r="H62" s="42"/>
      <c r="I62" s="42"/>
      <c r="J62" s="42"/>
      <c r="K62" s="42"/>
      <c r="L62" s="42"/>
      <c r="M62" s="42"/>
      <c r="N62" s="42"/>
      <c r="O62" s="41"/>
      <c r="P62" s="41"/>
      <c r="W62" s="147"/>
      <c r="X62" s="105"/>
      <c r="Y62" s="105"/>
      <c r="Z62" s="148"/>
      <c r="AC62" s="12"/>
      <c r="AD62" s="12"/>
      <c r="AE62" s="6"/>
      <c r="AH62" s="6"/>
      <c r="AL62" s="9"/>
      <c r="AM62" s="9"/>
      <c r="AN62" s="9"/>
      <c r="AO62" s="9"/>
      <c r="AP62" s="9"/>
      <c r="AQ62" s="9"/>
      <c r="AR62" s="9"/>
      <c r="AS62" s="9"/>
      <c r="AT62" s="9"/>
    </row>
    <row r="63" spans="1:46">
      <c r="A63" s="41"/>
      <c r="B63" s="41"/>
      <c r="C63" s="41"/>
      <c r="D63" s="41"/>
      <c r="E63" s="41"/>
      <c r="F63" s="41"/>
      <c r="G63" s="41"/>
      <c r="H63" s="41"/>
      <c r="I63" s="41"/>
      <c r="J63" s="41"/>
      <c r="K63" s="41"/>
      <c r="L63" s="41"/>
      <c r="M63" s="41"/>
      <c r="N63" s="41"/>
      <c r="O63" s="41"/>
      <c r="P63" s="41"/>
      <c r="W63" s="23" t="s">
        <v>54</v>
      </c>
      <c r="X63" s="105"/>
      <c r="Y63" s="18">
        <f t="shared" ref="Y63:Y68" ca="1" si="14">+J33</f>
        <v>0.1195574836068156</v>
      </c>
      <c r="Z63" s="18">
        <f ca="1">+K33</f>
        <v>9.9218357059708495E-2</v>
      </c>
      <c r="AC63" s="12"/>
      <c r="AD63" s="12"/>
      <c r="AE63" s="6"/>
      <c r="AF63" s="9"/>
      <c r="AH63" s="6"/>
      <c r="AL63" s="9"/>
      <c r="AM63" s="9"/>
      <c r="AN63" s="9"/>
      <c r="AO63" s="9"/>
      <c r="AP63" s="9"/>
      <c r="AQ63" s="9"/>
      <c r="AR63" s="9"/>
      <c r="AS63" s="9"/>
      <c r="AT63" s="9"/>
    </row>
    <row r="64" spans="1:46">
      <c r="A64" s="41"/>
      <c r="B64" s="41"/>
      <c r="C64" s="41"/>
      <c r="D64" s="41"/>
      <c r="E64" s="41"/>
      <c r="F64" s="41"/>
      <c r="G64" s="41"/>
      <c r="H64" s="41"/>
      <c r="I64" s="41"/>
      <c r="J64" s="41"/>
      <c r="K64" s="41"/>
      <c r="L64" s="41"/>
      <c r="M64" s="41"/>
      <c r="N64" s="41"/>
      <c r="O64" s="41"/>
      <c r="P64" s="41"/>
      <c r="W64" s="23" t="s">
        <v>55</v>
      </c>
      <c r="X64" s="105"/>
      <c r="Y64" s="18">
        <f t="shared" ca="1" si="14"/>
        <v>0.15747351148293523</v>
      </c>
      <c r="Z64" s="18">
        <f t="shared" ref="Z64:Z68" ca="1" si="15">+K34</f>
        <v>0.12440407407151882</v>
      </c>
      <c r="AC64" s="12"/>
      <c r="AD64" s="12"/>
      <c r="AE64" s="6"/>
      <c r="AF64" s="9"/>
      <c r="AH64" s="6"/>
    </row>
    <row r="65" spans="1:38">
      <c r="A65" t="b">
        <v>1</v>
      </c>
      <c r="F65" s="41"/>
      <c r="G65" s="41"/>
      <c r="H65" s="41"/>
      <c r="I65" s="41"/>
      <c r="J65" s="41"/>
      <c r="K65" s="41"/>
      <c r="L65" s="41"/>
      <c r="M65" s="41"/>
      <c r="N65" s="41"/>
      <c r="W65" s="23" t="s">
        <v>31</v>
      </c>
      <c r="X65" s="105"/>
      <c r="Y65" s="18">
        <f t="shared" ca="1" si="14"/>
        <v>0.80310999999999999</v>
      </c>
      <c r="Z65" s="18">
        <f t="shared" ca="1" si="15"/>
        <v>0.80474400810198543</v>
      </c>
      <c r="AC65" s="12"/>
      <c r="AD65" s="12"/>
      <c r="AE65" s="6"/>
      <c r="AF65" s="9"/>
      <c r="AH65" s="6"/>
    </row>
    <row r="66" spans="1:38">
      <c r="H66" s="9"/>
      <c r="I66" s="9"/>
      <c r="J66" s="9"/>
      <c r="K66" s="9"/>
      <c r="L66" s="9"/>
      <c r="M66" s="9"/>
      <c r="N66" s="9"/>
      <c r="O66" s="9"/>
      <c r="W66" s="23" t="s">
        <v>56</v>
      </c>
      <c r="X66" s="105"/>
      <c r="Y66" s="18">
        <f t="shared" ca="1" si="14"/>
        <v>0.19688999999999998</v>
      </c>
      <c r="Z66" s="18">
        <f t="shared" ca="1" si="15"/>
        <v>0.19688999999999998</v>
      </c>
      <c r="AC66" s="12"/>
      <c r="AF66" s="9"/>
      <c r="AH66" s="6"/>
      <c r="AL66" s="9"/>
    </row>
    <row r="67" spans="1:38">
      <c r="H67" s="9"/>
      <c r="I67" s="9"/>
      <c r="J67" s="9"/>
      <c r="K67" s="9"/>
      <c r="L67" s="9"/>
      <c r="M67" s="9"/>
      <c r="N67" s="9"/>
      <c r="O67" s="9"/>
      <c r="W67" s="23" t="s">
        <v>57</v>
      </c>
      <c r="X67" s="150"/>
      <c r="Y67" s="18">
        <f t="shared" ca="1" si="14"/>
        <v>0.60938673156650158</v>
      </c>
      <c r="Z67" s="18">
        <f t="shared" ca="1" si="15"/>
        <v>0.60938673156650158</v>
      </c>
      <c r="AC67" s="12"/>
      <c r="AH67" s="6"/>
    </row>
    <row r="68" spans="1:38">
      <c r="O68" s="9"/>
      <c r="W68" s="23" t="s">
        <v>58</v>
      </c>
      <c r="X68" s="2"/>
      <c r="Y68" s="18">
        <f t="shared" si="14"/>
        <v>0.21</v>
      </c>
      <c r="Z68" s="18">
        <f t="shared" si="15"/>
        <v>0.21</v>
      </c>
      <c r="AC68" s="12"/>
      <c r="AD68" s="12"/>
      <c r="AE68" s="6"/>
      <c r="AH68" s="6"/>
    </row>
    <row r="69" spans="1:38">
      <c r="O69" s="9"/>
      <c r="W69" s="23"/>
      <c r="Y69" s="106"/>
      <c r="Z69" s="149"/>
      <c r="AC69" s="12"/>
      <c r="AD69" s="12"/>
      <c r="AE69" s="6"/>
      <c r="AF69" s="9"/>
      <c r="AH69" s="6"/>
    </row>
    <row r="70" spans="1:38">
      <c r="O70" s="9"/>
      <c r="W70" s="25"/>
      <c r="X70" s="151"/>
      <c r="Y70" s="152"/>
      <c r="Z70" s="153"/>
      <c r="AA70" s="12"/>
      <c r="AC70" s="12"/>
      <c r="AD70" s="12"/>
      <c r="AE70" s="6"/>
      <c r="AF70" s="9"/>
      <c r="AH70" s="6"/>
    </row>
    <row r="71" spans="1:38">
      <c r="X71" s="12"/>
      <c r="Y71" s="13"/>
      <c r="Z71" s="6"/>
      <c r="AA71" s="12"/>
      <c r="AC71" s="12"/>
      <c r="AD71" s="12"/>
      <c r="AE71" s="6"/>
      <c r="AF71" s="9"/>
      <c r="AH71" s="6"/>
    </row>
    <row r="72" spans="1:38">
      <c r="AC72" s="12"/>
      <c r="AF72" s="9"/>
      <c r="AH72" s="6"/>
    </row>
    <row r="73" spans="1:38">
      <c r="Y73" s="1"/>
      <c r="Z73" s="1"/>
      <c r="AA73" s="1"/>
      <c r="AC73" s="12"/>
      <c r="AH73" s="6"/>
    </row>
    <row r="74" spans="1:38">
      <c r="X74" s="12"/>
      <c r="Y74" s="13"/>
      <c r="Z74" s="6"/>
      <c r="AA74" s="12"/>
      <c r="AC74" s="12"/>
      <c r="AD74" s="12"/>
      <c r="AE74" s="6"/>
      <c r="AH74" s="6"/>
    </row>
    <row r="75" spans="1:38">
      <c r="X75" s="12"/>
      <c r="Y75" s="13"/>
      <c r="Z75" s="6"/>
      <c r="AA75" s="12"/>
      <c r="AC75" s="12"/>
      <c r="AD75" s="12"/>
      <c r="AE75" s="6"/>
      <c r="AF75" s="9"/>
      <c r="AH75" s="6"/>
    </row>
    <row r="76" spans="1:38">
      <c r="X76" s="12"/>
      <c r="Y76" s="13"/>
      <c r="Z76" s="6"/>
      <c r="AA76" s="12"/>
      <c r="AC76" s="12"/>
      <c r="AD76" s="12"/>
      <c r="AE76" s="6"/>
      <c r="AF76" s="9"/>
      <c r="AH76" s="6"/>
    </row>
    <row r="77" spans="1:38">
      <c r="X77" s="12"/>
      <c r="Y77" s="13"/>
      <c r="Z77" s="6"/>
      <c r="AA77" s="12"/>
      <c r="AC77" s="12"/>
      <c r="AD77" s="12"/>
      <c r="AE77" s="6"/>
      <c r="AF77" s="9"/>
      <c r="AH77" s="6"/>
    </row>
    <row r="78" spans="1:38">
      <c r="AC78" s="12"/>
      <c r="AF78" s="9"/>
      <c r="AH78" s="6"/>
    </row>
    <row r="80" spans="1:38">
      <c r="X80" s="12"/>
      <c r="Y80" s="13"/>
      <c r="Z80" s="6"/>
      <c r="AA80" s="12"/>
      <c r="AD80" s="12"/>
      <c r="AE80" s="6"/>
    </row>
    <row r="81" spans="24:32">
      <c r="X81" s="12"/>
      <c r="Y81" s="13"/>
      <c r="Z81" s="6"/>
      <c r="AA81" s="12"/>
      <c r="AD81" s="12"/>
      <c r="AE81" s="6"/>
      <c r="AF81" s="9"/>
    </row>
    <row r="82" spans="24:32">
      <c r="X82" s="12"/>
      <c r="Y82" s="13"/>
      <c r="Z82" s="6"/>
      <c r="AA82" s="12"/>
      <c r="AD82" s="12"/>
      <c r="AE82" s="6"/>
      <c r="AF82" s="9"/>
    </row>
    <row r="83" spans="24:32">
      <c r="X83" s="12"/>
      <c r="Y83" s="13"/>
      <c r="Z83" s="6"/>
      <c r="AA83" s="12"/>
      <c r="AD83" s="12"/>
      <c r="AE83" s="6"/>
      <c r="AF83" s="9"/>
    </row>
    <row r="84" spans="24:32">
      <c r="AF84" s="9"/>
    </row>
    <row r="86" spans="24:32">
      <c r="X86" s="12"/>
      <c r="Y86" s="13"/>
      <c r="Z86" s="6"/>
      <c r="AA86" s="12"/>
      <c r="AD86" s="12"/>
      <c r="AE86" s="6"/>
    </row>
    <row r="87" spans="24:32">
      <c r="X87" s="12"/>
      <c r="Y87" s="13"/>
      <c r="Z87" s="6"/>
      <c r="AA87" s="12"/>
      <c r="AD87" s="12"/>
      <c r="AE87" s="6"/>
      <c r="AF87" s="9"/>
    </row>
    <row r="88" spans="24:32">
      <c r="X88" s="12"/>
      <c r="Y88" s="13"/>
      <c r="Z88" s="6"/>
      <c r="AA88" s="12"/>
      <c r="AD88" s="12"/>
      <c r="AE88" s="6"/>
      <c r="AF88" s="9"/>
    </row>
    <row r="89" spans="24:32">
      <c r="X89" s="12"/>
      <c r="Y89" s="13"/>
      <c r="Z89" s="6"/>
      <c r="AA89" s="12"/>
      <c r="AD89" s="12"/>
      <c r="AE89" s="6"/>
      <c r="AF89" s="9"/>
    </row>
    <row r="90" spans="24:32">
      <c r="AF90" s="9"/>
    </row>
    <row r="92" spans="24:32">
      <c r="X92" s="12"/>
      <c r="Y92" s="13"/>
      <c r="Z92" s="6"/>
      <c r="AA92" s="12"/>
      <c r="AD92" s="12"/>
      <c r="AE92" s="6"/>
    </row>
    <row r="93" spans="24:32">
      <c r="X93" s="12"/>
      <c r="Y93" s="13"/>
      <c r="Z93" s="6"/>
      <c r="AA93" s="12"/>
      <c r="AD93" s="12"/>
      <c r="AE93" s="6"/>
      <c r="AF93" s="9"/>
    </row>
    <row r="94" spans="24:32">
      <c r="X94" s="12"/>
      <c r="Y94" s="13"/>
      <c r="Z94" s="6"/>
      <c r="AA94" s="12"/>
      <c r="AD94" s="12"/>
      <c r="AE94" s="6"/>
      <c r="AF94" s="9"/>
    </row>
    <row r="95" spans="24:32">
      <c r="X95" s="12"/>
      <c r="Y95" s="13"/>
      <c r="Z95" s="6"/>
      <c r="AA95" s="12"/>
      <c r="AD95" s="12"/>
      <c r="AE95" s="6"/>
      <c r="AF95" s="9"/>
    </row>
    <row r="96" spans="24:32">
      <c r="AF96" s="9"/>
    </row>
    <row r="98" spans="24:32">
      <c r="X98" s="12"/>
      <c r="Y98" s="13"/>
      <c r="Z98" s="6"/>
      <c r="AA98" s="12"/>
      <c r="AD98" s="12"/>
      <c r="AE98" s="6"/>
    </row>
    <row r="99" spans="24:32">
      <c r="X99" s="12"/>
      <c r="Y99" s="13"/>
      <c r="Z99" s="6"/>
      <c r="AA99" s="12"/>
      <c r="AD99" s="12"/>
      <c r="AE99" s="6"/>
      <c r="AF99" s="9"/>
    </row>
    <row r="100" spans="24:32">
      <c r="X100" s="12"/>
      <c r="Y100" s="13"/>
      <c r="Z100" s="6"/>
      <c r="AA100" s="12"/>
      <c r="AD100" s="12"/>
      <c r="AE100" s="6"/>
      <c r="AF100" s="9"/>
    </row>
    <row r="101" spans="24:32">
      <c r="X101" s="12"/>
      <c r="Y101" s="13"/>
      <c r="Z101" s="6"/>
      <c r="AA101" s="12"/>
      <c r="AD101" s="12"/>
      <c r="AE101" s="6"/>
      <c r="AF101" s="9"/>
    </row>
    <row r="102" spans="24:32">
      <c r="AF102" s="9"/>
    </row>
    <row r="104" spans="24:32">
      <c r="X104" s="12"/>
      <c r="Y104" s="13"/>
      <c r="Z104" s="6"/>
      <c r="AA104" s="12"/>
      <c r="AD104" s="12"/>
      <c r="AE104" s="6"/>
    </row>
    <row r="105" spans="24:32">
      <c r="X105" s="12"/>
      <c r="Y105" s="13"/>
      <c r="Z105" s="6"/>
      <c r="AA105" s="12"/>
      <c r="AD105" s="12"/>
      <c r="AE105" s="6"/>
      <c r="AF105" s="9"/>
    </row>
    <row r="106" spans="24:32">
      <c r="X106" s="12"/>
      <c r="Y106" s="13"/>
      <c r="Z106" s="6"/>
      <c r="AA106" s="12"/>
      <c r="AD106" s="12"/>
      <c r="AE106" s="6"/>
      <c r="AF106" s="9"/>
    </row>
    <row r="107" spans="24:32">
      <c r="X107" s="12"/>
      <c r="Y107" s="13"/>
      <c r="Z107" s="6"/>
      <c r="AA107" s="12"/>
      <c r="AD107" s="12"/>
      <c r="AE107" s="6"/>
      <c r="AF107" s="9"/>
    </row>
    <row r="108" spans="24:32">
      <c r="AF108" s="9"/>
    </row>
    <row r="110" spans="24:32">
      <c r="X110" s="12"/>
      <c r="Y110" s="13"/>
      <c r="Z110" s="6"/>
      <c r="AA110" s="12"/>
      <c r="AD110" s="12"/>
      <c r="AE110" s="6"/>
    </row>
    <row r="111" spans="24:32">
      <c r="X111" s="12"/>
      <c r="Y111" s="13"/>
      <c r="Z111" s="6"/>
      <c r="AA111" s="12"/>
      <c r="AD111" s="12"/>
      <c r="AE111" s="6"/>
    </row>
    <row r="112" spans="24:32">
      <c r="X112" s="12"/>
      <c r="Y112" s="13"/>
      <c r="Z112" s="6"/>
      <c r="AA112" s="12"/>
      <c r="AD112" s="12"/>
      <c r="AE112" s="6"/>
    </row>
    <row r="113" spans="24:31">
      <c r="X113" s="12"/>
      <c r="Y113" s="13"/>
      <c r="Z113" s="6"/>
      <c r="AA113" s="12"/>
      <c r="AD113" s="12"/>
      <c r="AE113" s="6"/>
    </row>
  </sheetData>
  <mergeCells count="6">
    <mergeCell ref="AF2:AI2"/>
    <mergeCell ref="B2:C2"/>
    <mergeCell ref="B17:C17"/>
    <mergeCell ref="B18:C18"/>
    <mergeCell ref="B15:C15"/>
    <mergeCell ref="C16:D16"/>
  </mergeCells>
  <pageMargins left="0.25" right="0.25" top="0.3" bottom="0.44" header="0.23" footer="0.21"/>
  <pageSetup scale="99" orientation="portrait" r:id="rId1"/>
  <headerFooter alignWithMargins="0"/>
  <ignoredErrors>
    <ignoredError sqref="K43:K47" unlockedFormula="1"/>
  </ignoredErrors>
  <drawing r:id="rId2"/>
  <legacyDrawing r:id="rId3"/>
  <controls>
    <mc:AlternateContent xmlns:mc="http://schemas.openxmlformats.org/markup-compatibility/2006">
      <mc:Choice Requires="x14">
        <control shapeId="2051" r:id="rId4" name="CheckBox1">
          <controlPr defaultSize="0" autoFill="0" autoLine="0" linkedCell="A65" r:id="rId5">
            <anchor moveWithCells="1">
              <from>
                <xdr:col>2</xdr:col>
                <xdr:colOff>97971</xdr:colOff>
                <xdr:row>14</xdr:row>
                <xdr:rowOff>174171</xdr:rowOff>
              </from>
              <to>
                <xdr:col>2</xdr:col>
                <xdr:colOff>353786</xdr:colOff>
                <xdr:row>16</xdr:row>
                <xdr:rowOff>32657</xdr:rowOff>
              </to>
            </anchor>
          </controlPr>
        </control>
      </mc:Choice>
      <mc:Fallback>
        <control shapeId="2051" r:id="rId4"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2EB8-69EE-4EAF-BD3F-41A0598BF5FD}">
  <dimension ref="A1:R26"/>
  <sheetViews>
    <sheetView tabSelected="1" workbookViewId="0"/>
  </sheetViews>
  <sheetFormatPr defaultColWidth="7.1875" defaultRowHeight="14.6"/>
  <cols>
    <col min="1" max="1" width="14.875" style="194" bestFit="1" customWidth="1"/>
    <col min="2" max="2" width="16" style="194" customWidth="1"/>
    <col min="3" max="3" width="10.125" style="194" bestFit="1" customWidth="1"/>
    <col min="4" max="10" width="11.1875" style="194" bestFit="1" customWidth="1"/>
    <col min="11" max="15" width="8.8125" style="194" bestFit="1" customWidth="1"/>
    <col min="16" max="16" width="9.6875" style="194" bestFit="1" customWidth="1"/>
    <col min="17" max="17" width="11.1875" style="194" bestFit="1" customWidth="1"/>
    <col min="18" max="16384" width="7.1875" style="194"/>
  </cols>
  <sheetData>
    <row r="1" spans="1:18">
      <c r="A1" s="194" t="s">
        <v>139</v>
      </c>
    </row>
    <row r="2" spans="1:18">
      <c r="A2" s="194" t="s">
        <v>409</v>
      </c>
    </row>
    <row r="5" spans="1:18">
      <c r="A5" s="325" t="s">
        <v>410</v>
      </c>
      <c r="B5" s="325"/>
      <c r="C5" s="261" t="s">
        <v>411</v>
      </c>
    </row>
    <row r="6" spans="1:18">
      <c r="B6" s="195" t="s">
        <v>412</v>
      </c>
      <c r="C6" s="195" t="s">
        <v>413</v>
      </c>
      <c r="D6" s="315">
        <v>45017</v>
      </c>
      <c r="E6" s="315">
        <v>45047</v>
      </c>
      <c r="F6" s="315">
        <v>45078</v>
      </c>
      <c r="G6" s="315">
        <v>45108</v>
      </c>
      <c r="H6" s="315">
        <v>45139</v>
      </c>
      <c r="I6" s="315">
        <v>45170</v>
      </c>
      <c r="J6" s="315">
        <v>45200</v>
      </c>
      <c r="K6" s="315">
        <v>45231</v>
      </c>
      <c r="L6" s="315">
        <v>45261</v>
      </c>
      <c r="M6" s="315">
        <v>45292</v>
      </c>
      <c r="N6" s="315">
        <v>45323</v>
      </c>
      <c r="O6" s="315">
        <v>45352</v>
      </c>
      <c r="P6" s="195" t="s">
        <v>103</v>
      </c>
    </row>
    <row r="7" spans="1:18">
      <c r="A7" s="194" t="s">
        <v>414</v>
      </c>
      <c r="B7" s="230">
        <f>'Depr. Input and Calculation'!S70</f>
        <v>25068.436273809522</v>
      </c>
      <c r="C7" s="316">
        <v>12</v>
      </c>
      <c r="D7" s="230">
        <f>$B$7</f>
        <v>25068.436273809522</v>
      </c>
      <c r="E7" s="230">
        <f t="shared" ref="E7:O7" si="0">$B$7</f>
        <v>25068.436273809522</v>
      </c>
      <c r="F7" s="230">
        <f t="shared" si="0"/>
        <v>25068.436273809522</v>
      </c>
      <c r="G7" s="230">
        <f t="shared" si="0"/>
        <v>25068.436273809522</v>
      </c>
      <c r="H7" s="230">
        <f t="shared" si="0"/>
        <v>25068.436273809522</v>
      </c>
      <c r="I7" s="230">
        <f t="shared" si="0"/>
        <v>25068.436273809522</v>
      </c>
      <c r="J7" s="230">
        <f t="shared" si="0"/>
        <v>25068.436273809522</v>
      </c>
      <c r="K7" s="230">
        <f t="shared" si="0"/>
        <v>25068.436273809522</v>
      </c>
      <c r="L7" s="230">
        <f t="shared" si="0"/>
        <v>25068.436273809522</v>
      </c>
      <c r="M7" s="230">
        <f t="shared" si="0"/>
        <v>25068.436273809522</v>
      </c>
      <c r="N7" s="230">
        <f t="shared" si="0"/>
        <v>25068.436273809522</v>
      </c>
      <c r="O7" s="230">
        <f t="shared" si="0"/>
        <v>25068.436273809522</v>
      </c>
      <c r="P7" s="230">
        <f t="shared" ref="P7:P12" si="1">SUM(D7:O7)</f>
        <v>300821.23528571427</v>
      </c>
      <c r="Q7" s="230"/>
      <c r="R7" s="230"/>
    </row>
    <row r="8" spans="1:18">
      <c r="A8" s="194" t="s">
        <v>345</v>
      </c>
      <c r="B8" s="230">
        <f>'Depr. Input and Calculation'!O12</f>
        <v>1349.75</v>
      </c>
      <c r="C8" s="316">
        <v>5</v>
      </c>
      <c r="D8" s="230">
        <f>$B$8</f>
        <v>1349.75</v>
      </c>
      <c r="E8" s="230">
        <f t="shared" ref="E8:H8" si="2">$B$8</f>
        <v>1349.75</v>
      </c>
      <c r="F8" s="230">
        <f t="shared" si="2"/>
        <v>1349.75</v>
      </c>
      <c r="G8" s="230">
        <f t="shared" si="2"/>
        <v>1349.75</v>
      </c>
      <c r="H8" s="230">
        <f t="shared" si="2"/>
        <v>1349.75</v>
      </c>
      <c r="I8" s="230"/>
      <c r="J8" s="230"/>
      <c r="K8" s="230"/>
      <c r="L8" s="230"/>
      <c r="M8" s="230"/>
      <c r="N8" s="230"/>
      <c r="P8" s="230">
        <f t="shared" si="1"/>
        <v>6748.75</v>
      </c>
      <c r="Q8" s="230"/>
      <c r="R8" s="230"/>
    </row>
    <row r="9" spans="1:18">
      <c r="A9" s="194" t="s">
        <v>355</v>
      </c>
      <c r="B9" s="230">
        <f>'Depr. Input and Calculation'!O22</f>
        <v>364.20533333333333</v>
      </c>
      <c r="C9" s="316">
        <v>7</v>
      </c>
      <c r="D9" s="230"/>
      <c r="E9" s="230"/>
      <c r="F9" s="230"/>
      <c r="G9" s="230"/>
      <c r="H9" s="230"/>
      <c r="I9" s="262">
        <f t="shared" ref="I9:N9" si="3">$B$9</f>
        <v>364.20533333333333</v>
      </c>
      <c r="J9" s="262">
        <f t="shared" si="3"/>
        <v>364.20533333333333</v>
      </c>
      <c r="K9" s="262">
        <f t="shared" si="3"/>
        <v>364.20533333333333</v>
      </c>
      <c r="L9" s="262">
        <f t="shared" si="3"/>
        <v>364.20533333333333</v>
      </c>
      <c r="M9" s="262">
        <f t="shared" si="3"/>
        <v>364.20533333333333</v>
      </c>
      <c r="N9" s="262">
        <f t="shared" si="3"/>
        <v>364.20533333333333</v>
      </c>
      <c r="O9" s="262">
        <f>$B$9</f>
        <v>364.20533333333333</v>
      </c>
      <c r="P9" s="230">
        <f t="shared" si="1"/>
        <v>2549.4373333333333</v>
      </c>
      <c r="Q9" s="230"/>
      <c r="R9" s="230"/>
    </row>
    <row r="10" spans="1:18">
      <c r="A10" s="194" t="s">
        <v>356</v>
      </c>
      <c r="B10" s="230">
        <f>'Depr. Input and Calculation'!O23</f>
        <v>146.09541666666667</v>
      </c>
      <c r="C10" s="316">
        <v>1</v>
      </c>
      <c r="D10" s="230"/>
      <c r="E10" s="230"/>
      <c r="F10" s="230"/>
      <c r="G10" s="230"/>
      <c r="H10" s="230"/>
      <c r="I10" s="230"/>
      <c r="J10" s="230"/>
      <c r="K10" s="230"/>
      <c r="L10" s="230"/>
      <c r="M10" s="230"/>
      <c r="N10" s="230"/>
      <c r="O10" s="230">
        <f>$B$10</f>
        <v>146.09541666666667</v>
      </c>
      <c r="P10" s="230">
        <f t="shared" si="1"/>
        <v>146.09541666666667</v>
      </c>
      <c r="Q10" s="230"/>
      <c r="R10" s="230"/>
    </row>
    <row r="11" spans="1:18">
      <c r="A11" s="194" t="s">
        <v>388</v>
      </c>
      <c r="B11" s="230">
        <f>'Depr. Input and Calculation'!O52</f>
        <v>4105.1071428571431</v>
      </c>
      <c r="C11" s="316">
        <v>7</v>
      </c>
      <c r="D11" s="230">
        <f>$B$11</f>
        <v>4105.1071428571431</v>
      </c>
      <c r="E11" s="230">
        <f t="shared" ref="E11:J11" si="4">$B$11</f>
        <v>4105.1071428571431</v>
      </c>
      <c r="F11" s="230">
        <f t="shared" si="4"/>
        <v>4105.1071428571431</v>
      </c>
      <c r="G11" s="230">
        <f t="shared" si="4"/>
        <v>4105.1071428571431</v>
      </c>
      <c r="H11" s="230">
        <f t="shared" si="4"/>
        <v>4105.1071428571431</v>
      </c>
      <c r="I11" s="230">
        <f t="shared" si="4"/>
        <v>4105.1071428571431</v>
      </c>
      <c r="J11" s="230">
        <f t="shared" si="4"/>
        <v>4105.1071428571431</v>
      </c>
      <c r="K11" s="230"/>
      <c r="L11" s="230"/>
      <c r="M11" s="230"/>
      <c r="N11" s="230"/>
      <c r="O11" s="230"/>
      <c r="P11" s="230">
        <f t="shared" si="1"/>
        <v>28735.750000000007</v>
      </c>
      <c r="Q11" s="230"/>
      <c r="R11" s="230"/>
    </row>
    <row r="12" spans="1:18">
      <c r="A12" s="194" t="s">
        <v>415</v>
      </c>
      <c r="B12" s="230">
        <f>'Depr. Input and Calculation'!O57</f>
        <v>5170</v>
      </c>
      <c r="C12" s="316">
        <v>1</v>
      </c>
      <c r="D12" s="230"/>
      <c r="E12" s="230"/>
      <c r="F12" s="230"/>
      <c r="G12" s="230"/>
      <c r="H12" s="230"/>
      <c r="I12" s="230"/>
      <c r="J12" s="230"/>
      <c r="K12" s="230"/>
      <c r="L12" s="230"/>
      <c r="M12" s="230"/>
      <c r="N12" s="230"/>
      <c r="O12" s="230">
        <v>5170</v>
      </c>
      <c r="P12" s="230">
        <f t="shared" si="1"/>
        <v>5170</v>
      </c>
      <c r="Q12" s="230"/>
      <c r="R12" s="230"/>
    </row>
    <row r="13" spans="1:18">
      <c r="B13" s="230"/>
      <c r="C13" s="316"/>
      <c r="D13" s="231">
        <f>SUM(D7:D12)</f>
        <v>30523.293416666667</v>
      </c>
      <c r="E13" s="231">
        <f t="shared" ref="E13:O13" si="5">SUM(E7:E12)</f>
        <v>30523.293416666667</v>
      </c>
      <c r="F13" s="231">
        <f t="shared" si="5"/>
        <v>30523.293416666667</v>
      </c>
      <c r="G13" s="231">
        <f t="shared" si="5"/>
        <v>30523.293416666667</v>
      </c>
      <c r="H13" s="231">
        <f t="shared" si="5"/>
        <v>30523.293416666667</v>
      </c>
      <c r="I13" s="231">
        <f t="shared" si="5"/>
        <v>29537.748749999999</v>
      </c>
      <c r="J13" s="231">
        <f t="shared" si="5"/>
        <v>29537.748749999999</v>
      </c>
      <c r="K13" s="231">
        <f t="shared" si="5"/>
        <v>25432.641607142854</v>
      </c>
      <c r="L13" s="231">
        <f t="shared" si="5"/>
        <v>25432.641607142854</v>
      </c>
      <c r="M13" s="231">
        <f t="shared" si="5"/>
        <v>25432.641607142854</v>
      </c>
      <c r="N13" s="231">
        <f t="shared" si="5"/>
        <v>25432.641607142854</v>
      </c>
      <c r="O13" s="231">
        <f t="shared" si="5"/>
        <v>30748.737023809521</v>
      </c>
      <c r="P13" s="231">
        <f>SUM(D13:O13)</f>
        <v>344171.26803571434</v>
      </c>
      <c r="Q13" s="230"/>
      <c r="R13" s="230"/>
    </row>
    <row r="14" spans="1:18">
      <c r="B14" s="230"/>
      <c r="C14" s="316"/>
      <c r="D14" s="230"/>
      <c r="E14" s="230"/>
      <c r="F14" s="230"/>
      <c r="G14" s="230"/>
      <c r="H14" s="230"/>
      <c r="I14" s="230"/>
      <c r="J14" s="230"/>
      <c r="K14" s="230"/>
      <c r="L14" s="230"/>
      <c r="M14" s="230"/>
      <c r="N14" s="230"/>
      <c r="O14" s="230"/>
      <c r="P14" s="230"/>
      <c r="Q14" s="230"/>
      <c r="R14" s="230"/>
    </row>
    <row r="15" spans="1:18">
      <c r="A15" s="325" t="s">
        <v>416</v>
      </c>
      <c r="B15" s="325"/>
      <c r="C15" s="316"/>
      <c r="D15" s="317">
        <v>45383</v>
      </c>
      <c r="E15" s="317">
        <v>45413</v>
      </c>
      <c r="F15" s="317">
        <v>45444</v>
      </c>
      <c r="G15" s="317">
        <v>45474</v>
      </c>
      <c r="H15" s="317">
        <v>45505</v>
      </c>
      <c r="I15" s="317">
        <v>45536</v>
      </c>
      <c r="J15" s="317">
        <v>45566</v>
      </c>
      <c r="K15" s="317">
        <v>45597</v>
      </c>
      <c r="L15" s="317">
        <v>45627</v>
      </c>
      <c r="M15" s="317">
        <v>45658</v>
      </c>
      <c r="N15" s="317">
        <v>45689</v>
      </c>
      <c r="O15" s="317">
        <v>45717</v>
      </c>
      <c r="P15" s="230"/>
      <c r="Q15" s="230"/>
      <c r="R15" s="230"/>
    </row>
    <row r="16" spans="1:18">
      <c r="A16" s="194" t="s">
        <v>414</v>
      </c>
      <c r="B16" s="230">
        <f>'Depr. Input and Calculation'!Z70</f>
        <v>30037.316785714283</v>
      </c>
      <c r="C16" s="316">
        <v>12</v>
      </c>
      <c r="D16" s="230">
        <f>B16</f>
        <v>30037.316785714283</v>
      </c>
      <c r="E16" s="230">
        <f t="shared" ref="E16:O18" si="6">D16</f>
        <v>30037.316785714283</v>
      </c>
      <c r="F16" s="230">
        <f t="shared" si="6"/>
        <v>30037.316785714283</v>
      </c>
      <c r="G16" s="230">
        <f t="shared" si="6"/>
        <v>30037.316785714283</v>
      </c>
      <c r="H16" s="230">
        <f t="shared" si="6"/>
        <v>30037.316785714283</v>
      </c>
      <c r="I16" s="230">
        <f t="shared" si="6"/>
        <v>30037.316785714283</v>
      </c>
      <c r="J16" s="230">
        <f t="shared" si="6"/>
        <v>30037.316785714283</v>
      </c>
      <c r="K16" s="230">
        <f t="shared" si="6"/>
        <v>30037.316785714283</v>
      </c>
      <c r="L16" s="230">
        <f t="shared" si="6"/>
        <v>30037.316785714283</v>
      </c>
      <c r="M16" s="230">
        <f t="shared" si="6"/>
        <v>30037.316785714283</v>
      </c>
      <c r="N16" s="230">
        <f t="shared" si="6"/>
        <v>30037.316785714283</v>
      </c>
      <c r="O16" s="230">
        <f t="shared" si="6"/>
        <v>30037.316785714283</v>
      </c>
      <c r="P16" s="230">
        <f t="shared" ref="P16:P18" si="7">SUM(D16:O16)</f>
        <v>360447.80142857152</v>
      </c>
      <c r="Q16" s="230"/>
      <c r="R16" s="230"/>
    </row>
    <row r="17" spans="1:18">
      <c r="A17" s="194" t="s">
        <v>417</v>
      </c>
      <c r="B17" s="230">
        <f>'Depr. Input and Calculation'!O39</f>
        <v>238.0952380952381</v>
      </c>
      <c r="C17" s="316">
        <v>10</v>
      </c>
      <c r="D17" s="230">
        <f>B17</f>
        <v>238.0952380952381</v>
      </c>
      <c r="E17" s="230">
        <f t="shared" si="6"/>
        <v>238.0952380952381</v>
      </c>
      <c r="F17" s="230">
        <f t="shared" si="6"/>
        <v>238.0952380952381</v>
      </c>
      <c r="G17" s="230">
        <f t="shared" si="6"/>
        <v>238.0952380952381</v>
      </c>
      <c r="H17" s="230">
        <f t="shared" si="6"/>
        <v>238.0952380952381</v>
      </c>
      <c r="I17" s="230">
        <f t="shared" si="6"/>
        <v>238.0952380952381</v>
      </c>
      <c r="J17" s="230">
        <f t="shared" si="6"/>
        <v>238.0952380952381</v>
      </c>
      <c r="K17" s="230">
        <f t="shared" si="6"/>
        <v>238.0952380952381</v>
      </c>
      <c r="L17" s="230">
        <f t="shared" si="6"/>
        <v>238.0952380952381</v>
      </c>
      <c r="M17" s="230">
        <f t="shared" si="6"/>
        <v>238.0952380952381</v>
      </c>
      <c r="N17" s="230"/>
      <c r="O17" s="230"/>
      <c r="P17" s="230">
        <f t="shared" si="7"/>
        <v>2380.9523809523812</v>
      </c>
      <c r="Q17" s="230"/>
      <c r="R17" s="230"/>
    </row>
    <row r="18" spans="1:18">
      <c r="A18" s="194" t="s">
        <v>346</v>
      </c>
      <c r="B18" s="230">
        <f>'Depr. Input and Calculation'!O13</f>
        <v>473.32499999999999</v>
      </c>
      <c r="C18" s="316">
        <v>5</v>
      </c>
      <c r="D18" s="230">
        <f>B18</f>
        <v>473.32499999999999</v>
      </c>
      <c r="E18" s="230">
        <f t="shared" si="6"/>
        <v>473.32499999999999</v>
      </c>
      <c r="F18" s="230">
        <f t="shared" si="6"/>
        <v>473.32499999999999</v>
      </c>
      <c r="G18" s="230">
        <f t="shared" si="6"/>
        <v>473.32499999999999</v>
      </c>
      <c r="H18" s="230">
        <f t="shared" si="6"/>
        <v>473.32499999999999</v>
      </c>
      <c r="I18" s="230"/>
      <c r="J18" s="230"/>
      <c r="K18" s="230"/>
      <c r="L18" s="230"/>
      <c r="M18" s="230"/>
      <c r="N18" s="230"/>
      <c r="O18" s="230"/>
      <c r="P18" s="230">
        <f t="shared" si="7"/>
        <v>2366.625</v>
      </c>
      <c r="Q18" s="230" t="s">
        <v>418</v>
      </c>
      <c r="R18" s="230"/>
    </row>
    <row r="19" spans="1:18">
      <c r="D19" s="263">
        <f>SUM(D16:D18)</f>
        <v>30748.737023809521</v>
      </c>
      <c r="E19" s="263">
        <f t="shared" ref="E19:O19" si="8">SUM(E16:E18)</f>
        <v>30748.737023809521</v>
      </c>
      <c r="F19" s="263">
        <f t="shared" si="8"/>
        <v>30748.737023809521</v>
      </c>
      <c r="G19" s="263">
        <f t="shared" si="8"/>
        <v>30748.737023809521</v>
      </c>
      <c r="H19" s="263">
        <f t="shared" si="8"/>
        <v>30748.737023809521</v>
      </c>
      <c r="I19" s="263">
        <f t="shared" si="8"/>
        <v>30275.41202380952</v>
      </c>
      <c r="J19" s="263">
        <f t="shared" si="8"/>
        <v>30275.41202380952</v>
      </c>
      <c r="K19" s="263">
        <f t="shared" si="8"/>
        <v>30275.41202380952</v>
      </c>
      <c r="L19" s="263">
        <f t="shared" si="8"/>
        <v>30275.41202380952</v>
      </c>
      <c r="M19" s="263">
        <f t="shared" si="8"/>
        <v>30275.41202380952</v>
      </c>
      <c r="N19" s="263">
        <f t="shared" si="8"/>
        <v>30037.316785714283</v>
      </c>
      <c r="O19" s="263">
        <f t="shared" si="8"/>
        <v>30037.316785714283</v>
      </c>
      <c r="P19" s="231">
        <f>SUM(D19:O19)</f>
        <v>365195.37880952377</v>
      </c>
      <c r="Q19" s="230">
        <f>P19-P13</f>
        <v>21024.110773809429</v>
      </c>
      <c r="R19" s="230"/>
    </row>
    <row r="20" spans="1:18">
      <c r="B20" s="230"/>
      <c r="C20" s="230"/>
      <c r="D20" s="230"/>
      <c r="E20" s="230"/>
      <c r="F20" s="230"/>
      <c r="G20" s="230"/>
      <c r="H20" s="230"/>
      <c r="I20" s="230"/>
      <c r="J20" s="230"/>
      <c r="K20" s="230"/>
      <c r="L20" s="230"/>
      <c r="M20" s="230"/>
      <c r="N20" s="230"/>
      <c r="O20" s="230"/>
      <c r="P20" s="230"/>
      <c r="Q20" s="230"/>
      <c r="R20" s="230"/>
    </row>
    <row r="21" spans="1:18">
      <c r="B21" s="230"/>
      <c r="C21" s="230"/>
      <c r="D21" s="230"/>
      <c r="E21" s="230"/>
      <c r="F21" s="230"/>
      <c r="G21" s="230"/>
      <c r="H21" s="230"/>
      <c r="I21" s="230"/>
      <c r="J21" s="230"/>
      <c r="K21" s="230"/>
      <c r="L21" s="230"/>
      <c r="M21" s="230"/>
      <c r="N21" s="230"/>
      <c r="O21" s="230"/>
      <c r="P21" s="230"/>
      <c r="Q21" s="230"/>
      <c r="R21" s="230"/>
    </row>
    <row r="22" spans="1:18">
      <c r="B22" s="230"/>
      <c r="C22" s="230"/>
      <c r="D22" s="230"/>
      <c r="E22" s="230"/>
      <c r="F22" s="230"/>
      <c r="G22" s="230"/>
      <c r="H22" s="230"/>
      <c r="I22" s="230"/>
      <c r="J22" s="230"/>
      <c r="K22" s="230"/>
      <c r="L22" s="230"/>
      <c r="M22" s="230"/>
      <c r="N22" s="230"/>
      <c r="O22" s="230"/>
      <c r="P22" s="230"/>
      <c r="Q22" s="230"/>
      <c r="R22" s="230"/>
    </row>
    <row r="23" spans="1:18">
      <c r="B23" s="230"/>
      <c r="C23" s="230"/>
      <c r="D23" s="230"/>
      <c r="E23" s="230"/>
      <c r="F23" s="230"/>
      <c r="G23" s="230"/>
      <c r="H23" s="230"/>
      <c r="I23" s="230"/>
      <c r="J23" s="230"/>
      <c r="K23" s="230"/>
      <c r="L23" s="230"/>
      <c r="M23" s="230"/>
      <c r="N23" s="230"/>
      <c r="O23" s="230"/>
      <c r="P23" s="230"/>
      <c r="Q23" s="230"/>
      <c r="R23" s="230"/>
    </row>
    <row r="24" spans="1:18">
      <c r="B24" s="230"/>
      <c r="C24" s="230"/>
      <c r="D24" s="230"/>
      <c r="E24" s="230"/>
      <c r="F24" s="230"/>
      <c r="G24" s="230"/>
      <c r="H24" s="230"/>
      <c r="I24" s="230"/>
      <c r="J24" s="230"/>
      <c r="K24" s="230"/>
      <c r="L24" s="230"/>
      <c r="M24" s="230"/>
      <c r="N24" s="230"/>
      <c r="O24" s="230"/>
      <c r="P24" s="230"/>
      <c r="Q24" s="230"/>
      <c r="R24" s="230"/>
    </row>
    <row r="25" spans="1:18">
      <c r="B25" s="230"/>
      <c r="C25" s="230"/>
      <c r="D25" s="230"/>
      <c r="E25" s="230"/>
      <c r="F25" s="230"/>
      <c r="G25" s="230"/>
      <c r="H25" s="230"/>
      <c r="I25" s="230"/>
      <c r="J25" s="230"/>
      <c r="K25" s="230"/>
      <c r="L25" s="230"/>
      <c r="M25" s="230"/>
      <c r="N25" s="230"/>
      <c r="O25" s="230"/>
      <c r="P25" s="230"/>
      <c r="Q25" s="230"/>
      <c r="R25" s="230"/>
    </row>
    <row r="26" spans="1:18">
      <c r="B26" s="230"/>
      <c r="C26" s="230"/>
      <c r="D26" s="230"/>
      <c r="E26" s="230"/>
      <c r="F26" s="230"/>
      <c r="G26" s="230"/>
      <c r="H26" s="230"/>
      <c r="I26" s="230"/>
      <c r="J26" s="230"/>
      <c r="K26" s="230"/>
      <c r="L26" s="230"/>
      <c r="M26" s="230"/>
      <c r="N26" s="230"/>
      <c r="O26" s="230"/>
      <c r="P26" s="230"/>
      <c r="Q26" s="230"/>
      <c r="R26" s="230"/>
    </row>
  </sheetData>
  <mergeCells count="2">
    <mergeCell ref="A15:B15"/>
    <mergeCell ref="A5: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C3:X39"/>
  <sheetViews>
    <sheetView showGridLines="0" topLeftCell="A5" zoomScale="80" zoomScaleNormal="80" workbookViewId="0">
      <selection activeCell="C3" sqref="C3"/>
    </sheetView>
  </sheetViews>
  <sheetFormatPr defaultColWidth="8.875" defaultRowHeight="14.15"/>
  <cols>
    <col min="1" max="16384" width="8.875" style="169"/>
  </cols>
  <sheetData>
    <row r="3" spans="3:24" ht="24.9">
      <c r="C3" s="190" t="s">
        <v>137</v>
      </c>
    </row>
    <row r="4" spans="3:24" ht="25.3">
      <c r="C4" s="191" t="s">
        <v>128</v>
      </c>
    </row>
    <row r="5" spans="3:24" ht="25.3">
      <c r="C5" s="191" t="s">
        <v>129</v>
      </c>
    </row>
    <row r="6" spans="3:24" ht="25.3">
      <c r="C6" s="191"/>
    </row>
    <row r="8" spans="3:24" ht="19.75">
      <c r="C8" s="170" t="s">
        <v>130</v>
      </c>
      <c r="D8" s="168"/>
      <c r="E8" s="168"/>
      <c r="F8" s="168"/>
      <c r="G8" s="168"/>
      <c r="H8" s="168"/>
      <c r="I8" s="168"/>
      <c r="J8" s="168"/>
      <c r="K8" s="168"/>
      <c r="N8" s="168"/>
      <c r="O8" s="170" t="s">
        <v>122</v>
      </c>
      <c r="P8" s="168"/>
      <c r="Q8" s="168"/>
      <c r="R8" s="168"/>
      <c r="S8" s="168"/>
      <c r="T8" s="168"/>
      <c r="U8" s="168"/>
      <c r="V8" s="168"/>
      <c r="W8" s="168"/>
      <c r="X8" s="168"/>
    </row>
    <row r="9" spans="3:24">
      <c r="C9" s="168"/>
      <c r="D9" s="168"/>
      <c r="E9" s="168"/>
      <c r="F9" s="168"/>
      <c r="G9" s="168"/>
      <c r="H9" s="168"/>
      <c r="I9" s="168"/>
      <c r="J9" s="168"/>
      <c r="K9" s="168"/>
      <c r="N9" s="168"/>
      <c r="O9" s="168"/>
      <c r="P9" s="168"/>
      <c r="Q9" s="168"/>
      <c r="R9" s="168"/>
      <c r="S9" s="168"/>
      <c r="T9" s="168"/>
      <c r="U9" s="168"/>
      <c r="V9" s="168"/>
      <c r="W9" s="168"/>
      <c r="X9" s="168"/>
    </row>
    <row r="10" spans="3:24" ht="17.600000000000001">
      <c r="C10" s="171" t="s">
        <v>131</v>
      </c>
      <c r="D10" s="168"/>
      <c r="E10" s="168"/>
      <c r="F10" s="168"/>
      <c r="G10" s="168"/>
      <c r="H10" s="168"/>
      <c r="I10" s="168"/>
      <c r="J10" s="168"/>
      <c r="K10" s="168"/>
      <c r="N10" s="168"/>
      <c r="O10" s="171" t="s">
        <v>123</v>
      </c>
      <c r="P10" s="168"/>
      <c r="Q10" s="168"/>
      <c r="R10" s="168"/>
      <c r="S10" s="168"/>
      <c r="T10" s="168"/>
      <c r="U10" s="168"/>
      <c r="V10" s="168"/>
      <c r="W10" s="168"/>
      <c r="X10" s="168"/>
    </row>
    <row r="11" spans="3:24" ht="17.600000000000001">
      <c r="C11" s="171" t="s">
        <v>132</v>
      </c>
      <c r="D11" s="171"/>
      <c r="E11" s="168"/>
      <c r="F11" s="168"/>
      <c r="G11" s="168"/>
      <c r="H11" s="168"/>
      <c r="I11" s="168"/>
      <c r="J11" s="168"/>
      <c r="K11" s="168"/>
      <c r="N11" s="168"/>
      <c r="O11" s="171" t="s">
        <v>133</v>
      </c>
      <c r="P11" s="168"/>
      <c r="Q11" s="168"/>
      <c r="R11" s="168"/>
      <c r="S11" s="168"/>
      <c r="T11" s="168"/>
      <c r="U11" s="168"/>
      <c r="V11" s="168"/>
      <c r="W11" s="168"/>
      <c r="X11" s="168"/>
    </row>
    <row r="12" spans="3:24" ht="17.600000000000001">
      <c r="C12" s="171" t="s">
        <v>134</v>
      </c>
      <c r="D12" s="168"/>
      <c r="E12" s="168"/>
      <c r="F12" s="168"/>
      <c r="G12" s="168"/>
      <c r="H12" s="168"/>
      <c r="I12" s="168"/>
      <c r="J12" s="168"/>
      <c r="K12" s="168"/>
      <c r="N12" s="168"/>
      <c r="O12" s="168"/>
      <c r="P12" s="168"/>
      <c r="Q12" s="168"/>
      <c r="R12" s="168"/>
      <c r="S12" s="168"/>
      <c r="T12" s="168"/>
      <c r="U12" s="168"/>
      <c r="V12" s="168"/>
      <c r="W12" s="168"/>
      <c r="X12" s="168"/>
    </row>
    <row r="13" spans="3:24" ht="17.600000000000001">
      <c r="C13" s="171" t="s">
        <v>135</v>
      </c>
      <c r="D13" s="168"/>
      <c r="E13" s="168"/>
      <c r="F13" s="168"/>
      <c r="G13" s="168"/>
      <c r="H13" s="168"/>
      <c r="I13" s="168"/>
      <c r="J13" s="168"/>
      <c r="K13" s="168"/>
      <c r="N13" s="168"/>
      <c r="O13" s="168"/>
      <c r="P13" s="168"/>
      <c r="Q13" s="168"/>
      <c r="R13" s="168"/>
      <c r="S13" s="168"/>
      <c r="T13" s="168"/>
      <c r="U13" s="168"/>
      <c r="V13" s="168"/>
      <c r="W13" s="168"/>
      <c r="X13" s="168"/>
    </row>
    <row r="14" spans="3:24">
      <c r="C14" s="168"/>
      <c r="D14" s="168"/>
      <c r="E14" s="168"/>
      <c r="F14" s="168"/>
      <c r="G14" s="168"/>
      <c r="H14" s="168"/>
      <c r="I14" s="168"/>
      <c r="J14" s="168"/>
      <c r="K14" s="168"/>
      <c r="N14" s="168"/>
      <c r="O14" s="168"/>
      <c r="P14" s="168"/>
      <c r="Q14" s="168"/>
      <c r="R14" s="168"/>
      <c r="S14" s="168"/>
      <c r="T14" s="168"/>
      <c r="U14" s="168"/>
      <c r="V14" s="168"/>
      <c r="W14" s="168"/>
      <c r="X14" s="168"/>
    </row>
    <row r="15" spans="3:24">
      <c r="C15" s="168"/>
      <c r="D15" s="168"/>
      <c r="E15" s="168"/>
      <c r="F15" s="168"/>
      <c r="G15" s="168"/>
      <c r="H15" s="168"/>
      <c r="I15" s="168"/>
      <c r="J15" s="168"/>
      <c r="K15" s="168"/>
      <c r="N15" s="168"/>
      <c r="O15" s="168"/>
      <c r="P15" s="168"/>
      <c r="Q15" s="168"/>
      <c r="R15" s="168"/>
      <c r="S15" s="168"/>
      <c r="T15" s="168"/>
      <c r="U15" s="168"/>
      <c r="V15" s="168"/>
      <c r="W15" s="168"/>
      <c r="X15" s="168"/>
    </row>
    <row r="16" spans="3:24">
      <c r="C16" s="168"/>
      <c r="D16" s="168"/>
      <c r="E16" s="168"/>
      <c r="F16" s="168"/>
      <c r="G16" s="168"/>
      <c r="H16" s="168"/>
      <c r="I16" s="168"/>
      <c r="J16" s="168"/>
      <c r="K16" s="168"/>
      <c r="N16" s="168"/>
      <c r="O16" s="168"/>
      <c r="P16" s="168"/>
      <c r="Q16" s="168"/>
      <c r="R16" s="168"/>
      <c r="S16" s="168"/>
      <c r="T16" s="168"/>
      <c r="U16" s="168"/>
      <c r="V16" s="168"/>
      <c r="W16" s="168"/>
      <c r="X16" s="168"/>
    </row>
    <row r="17" spans="3:24">
      <c r="C17" s="168"/>
      <c r="D17" s="168"/>
      <c r="E17" s="168"/>
      <c r="F17" s="168"/>
      <c r="G17" s="168"/>
      <c r="H17" s="168"/>
      <c r="I17" s="168"/>
      <c r="J17" s="168"/>
      <c r="K17" s="168"/>
      <c r="N17" s="168"/>
      <c r="O17" s="168"/>
      <c r="P17" s="168"/>
      <c r="Q17" s="168"/>
      <c r="R17" s="168"/>
      <c r="S17" s="168"/>
      <c r="T17" s="168"/>
      <c r="U17" s="168"/>
      <c r="V17" s="168"/>
      <c r="W17" s="168"/>
      <c r="X17" s="168"/>
    </row>
    <row r="18" spans="3:24">
      <c r="C18" s="168"/>
      <c r="D18" s="168"/>
      <c r="E18" s="168"/>
      <c r="F18" s="168"/>
      <c r="G18" s="168"/>
      <c r="H18" s="168"/>
      <c r="I18" s="168"/>
      <c r="J18" s="168"/>
      <c r="K18" s="168"/>
      <c r="N18" s="168"/>
      <c r="O18" s="168"/>
      <c r="P18" s="168"/>
      <c r="Q18" s="168"/>
      <c r="R18" s="168"/>
      <c r="S18" s="168"/>
      <c r="T18" s="168"/>
      <c r="U18" s="168"/>
      <c r="V18" s="168"/>
      <c r="W18" s="168"/>
      <c r="X18" s="168"/>
    </row>
    <row r="19" spans="3:24">
      <c r="C19" s="168"/>
      <c r="D19" s="168"/>
      <c r="E19" s="168"/>
      <c r="F19" s="168"/>
      <c r="G19" s="168"/>
      <c r="H19" s="168"/>
      <c r="I19" s="168"/>
      <c r="J19" s="168"/>
      <c r="K19" s="168"/>
      <c r="N19" s="168"/>
      <c r="O19" s="168"/>
      <c r="P19" s="168"/>
      <c r="Q19" s="168"/>
      <c r="R19" s="168"/>
      <c r="S19" s="168"/>
      <c r="T19" s="168"/>
      <c r="U19" s="168"/>
      <c r="V19" s="168"/>
      <c r="W19" s="168"/>
      <c r="X19" s="168"/>
    </row>
    <row r="20" spans="3:24">
      <c r="C20" s="168"/>
      <c r="D20" s="168"/>
      <c r="E20" s="168"/>
      <c r="F20" s="168"/>
      <c r="G20" s="168"/>
      <c r="H20" s="168"/>
      <c r="I20" s="168"/>
      <c r="J20" s="168"/>
      <c r="K20" s="168"/>
      <c r="N20" s="168"/>
      <c r="O20" s="168"/>
      <c r="P20" s="168"/>
      <c r="Q20" s="168"/>
      <c r="R20" s="168"/>
      <c r="S20" s="168"/>
      <c r="T20" s="168"/>
      <c r="U20" s="168"/>
      <c r="V20" s="168"/>
      <c r="W20" s="168"/>
      <c r="X20" s="168"/>
    </row>
    <row r="21" spans="3:24">
      <c r="C21" s="168"/>
      <c r="D21" s="168"/>
      <c r="E21" s="168"/>
      <c r="F21" s="168"/>
      <c r="G21" s="168"/>
      <c r="H21" s="168"/>
      <c r="I21" s="168"/>
      <c r="J21" s="168"/>
      <c r="K21" s="168"/>
      <c r="N21" s="168"/>
      <c r="O21" s="168"/>
      <c r="P21" s="168"/>
      <c r="Q21" s="168"/>
      <c r="R21" s="168"/>
      <c r="S21" s="168"/>
      <c r="T21" s="168"/>
      <c r="U21" s="168"/>
      <c r="V21" s="168"/>
      <c r="W21" s="168"/>
      <c r="X21" s="168"/>
    </row>
    <row r="22" spans="3:24">
      <c r="C22" s="168"/>
      <c r="D22" s="168"/>
      <c r="E22" s="168"/>
      <c r="F22" s="168"/>
      <c r="G22" s="168"/>
      <c r="H22" s="168"/>
      <c r="I22" s="168"/>
      <c r="J22" s="168"/>
      <c r="K22" s="168"/>
      <c r="N22" s="168"/>
      <c r="O22" s="168"/>
      <c r="P22" s="168"/>
      <c r="Q22" s="168"/>
      <c r="R22" s="168"/>
      <c r="S22" s="168"/>
      <c r="T22" s="168"/>
      <c r="U22" s="168"/>
      <c r="V22" s="168"/>
      <c r="W22" s="168"/>
      <c r="X22" s="168"/>
    </row>
    <row r="23" spans="3:24">
      <c r="C23" s="168"/>
      <c r="D23" s="168"/>
      <c r="E23" s="168"/>
      <c r="F23" s="168"/>
      <c r="G23" s="168"/>
      <c r="H23" s="168"/>
      <c r="I23" s="168"/>
      <c r="J23" s="168"/>
      <c r="K23" s="168"/>
      <c r="N23" s="168"/>
      <c r="O23" s="168"/>
      <c r="P23" s="168"/>
      <c r="Q23" s="168"/>
      <c r="R23" s="168"/>
      <c r="S23" s="168"/>
      <c r="T23" s="168"/>
      <c r="U23" s="168"/>
      <c r="V23" s="168"/>
      <c r="W23" s="168"/>
      <c r="X23" s="168"/>
    </row>
    <row r="24" spans="3:24">
      <c r="C24" s="168"/>
      <c r="D24" s="168"/>
      <c r="E24" s="168"/>
      <c r="F24" s="168"/>
      <c r="G24" s="168"/>
      <c r="H24" s="168"/>
      <c r="I24" s="168"/>
      <c r="J24" s="168"/>
      <c r="K24" s="168"/>
      <c r="N24" s="168"/>
      <c r="O24" s="168"/>
      <c r="P24" s="168"/>
      <c r="Q24" s="168"/>
      <c r="R24" s="168"/>
      <c r="S24" s="168"/>
      <c r="T24" s="168"/>
      <c r="U24" s="168"/>
      <c r="V24" s="168"/>
      <c r="W24" s="168"/>
      <c r="X24" s="168"/>
    </row>
    <row r="25" spans="3:24">
      <c r="C25" s="168"/>
      <c r="D25" s="168"/>
      <c r="E25" s="168"/>
      <c r="F25" s="168"/>
      <c r="G25" s="168"/>
      <c r="H25" s="168"/>
      <c r="I25" s="168"/>
      <c r="J25" s="168"/>
      <c r="K25" s="168"/>
      <c r="N25" s="168"/>
      <c r="O25" s="168"/>
      <c r="P25" s="168"/>
      <c r="Q25" s="168"/>
      <c r="R25" s="168"/>
      <c r="S25" s="168"/>
      <c r="T25" s="168"/>
      <c r="U25" s="168"/>
      <c r="V25" s="168"/>
      <c r="W25" s="168"/>
      <c r="X25" s="168"/>
    </row>
    <row r="26" spans="3:24">
      <c r="C26" s="168"/>
      <c r="D26" s="168"/>
      <c r="E26" s="168"/>
      <c r="F26" s="168"/>
      <c r="G26" s="168"/>
      <c r="H26" s="168"/>
      <c r="I26" s="168"/>
      <c r="J26" s="168"/>
      <c r="K26" s="168"/>
      <c r="N26" s="168"/>
      <c r="O26" s="168"/>
      <c r="P26" s="168"/>
      <c r="Q26" s="168"/>
      <c r="R26" s="168"/>
      <c r="S26" s="168"/>
      <c r="T26" s="168"/>
      <c r="U26" s="168"/>
      <c r="V26" s="168"/>
      <c r="W26" s="168"/>
      <c r="X26" s="168"/>
    </row>
    <row r="27" spans="3:24">
      <c r="C27" s="168"/>
      <c r="D27" s="168"/>
      <c r="E27" s="168"/>
      <c r="F27" s="168"/>
      <c r="G27" s="168"/>
      <c r="H27" s="168"/>
      <c r="I27" s="168"/>
      <c r="J27" s="168"/>
      <c r="K27" s="168"/>
      <c r="N27" s="168"/>
      <c r="O27" s="168"/>
      <c r="P27" s="168"/>
      <c r="Q27" s="168"/>
      <c r="R27" s="168"/>
      <c r="S27" s="168"/>
      <c r="T27" s="168"/>
      <c r="U27" s="168"/>
      <c r="V27" s="168"/>
      <c r="W27" s="168"/>
      <c r="X27" s="168"/>
    </row>
    <row r="28" spans="3:24">
      <c r="C28" s="168"/>
      <c r="D28" s="168"/>
      <c r="E28" s="168"/>
      <c r="F28" s="168"/>
      <c r="G28" s="168"/>
      <c r="H28" s="168"/>
      <c r="I28" s="168"/>
      <c r="J28" s="168"/>
      <c r="K28" s="168"/>
      <c r="N28" s="168"/>
      <c r="O28" s="168"/>
      <c r="P28" s="168"/>
      <c r="Q28" s="168"/>
      <c r="R28" s="168"/>
      <c r="S28" s="168"/>
      <c r="T28" s="168"/>
      <c r="U28" s="168"/>
      <c r="V28" s="168"/>
      <c r="W28" s="168"/>
      <c r="X28" s="168"/>
    </row>
    <row r="29" spans="3:24">
      <c r="C29" s="168"/>
      <c r="D29" s="168"/>
      <c r="E29" s="168"/>
      <c r="F29" s="168"/>
      <c r="G29" s="168"/>
      <c r="H29" s="168"/>
      <c r="I29" s="168"/>
      <c r="J29" s="168"/>
      <c r="K29" s="168"/>
      <c r="N29" s="168"/>
      <c r="O29" s="168"/>
      <c r="P29" s="168"/>
      <c r="Q29" s="168"/>
      <c r="R29" s="168"/>
      <c r="S29" s="168"/>
      <c r="T29" s="168"/>
      <c r="U29" s="168"/>
      <c r="V29" s="168"/>
      <c r="W29" s="168"/>
      <c r="X29" s="168"/>
    </row>
    <row r="30" spans="3:24">
      <c r="C30" s="168"/>
      <c r="D30" s="168"/>
      <c r="E30" s="168"/>
      <c r="F30" s="168"/>
      <c r="G30" s="168"/>
      <c r="H30" s="168"/>
      <c r="I30" s="168"/>
      <c r="J30" s="168"/>
      <c r="K30" s="168"/>
      <c r="N30" s="168"/>
      <c r="O30" s="168"/>
      <c r="P30" s="168"/>
      <c r="Q30" s="168"/>
      <c r="R30" s="168"/>
      <c r="S30" s="168"/>
      <c r="T30" s="168"/>
      <c r="U30" s="168"/>
      <c r="V30" s="168"/>
      <c r="W30" s="168"/>
      <c r="X30" s="168"/>
    </row>
    <row r="31" spans="3:24">
      <c r="C31" s="168"/>
      <c r="D31" s="168"/>
      <c r="E31" s="168"/>
      <c r="F31" s="168"/>
      <c r="G31" s="168"/>
      <c r="H31" s="168"/>
      <c r="I31" s="168"/>
      <c r="J31" s="168"/>
      <c r="K31" s="168"/>
      <c r="N31" s="168"/>
      <c r="O31" s="168"/>
      <c r="P31" s="168"/>
      <c r="Q31" s="168"/>
      <c r="R31" s="168"/>
      <c r="S31" s="168"/>
      <c r="T31" s="168"/>
      <c r="U31" s="168"/>
      <c r="V31" s="168"/>
      <c r="W31" s="168"/>
      <c r="X31" s="168"/>
    </row>
    <row r="32" spans="3:24">
      <c r="C32" s="168"/>
      <c r="D32" s="168"/>
      <c r="E32" s="168"/>
      <c r="F32" s="168"/>
      <c r="G32" s="168"/>
      <c r="H32" s="168"/>
      <c r="I32" s="168"/>
      <c r="J32" s="168"/>
      <c r="K32" s="168"/>
      <c r="N32" s="168"/>
      <c r="O32" s="168"/>
      <c r="P32" s="168"/>
      <c r="Q32" s="168"/>
      <c r="R32" s="168"/>
      <c r="S32" s="168"/>
      <c r="T32" s="168"/>
      <c r="U32" s="168"/>
      <c r="V32" s="168"/>
      <c r="W32" s="168"/>
      <c r="X32" s="168"/>
    </row>
    <row r="33" spans="3:24">
      <c r="C33" s="168"/>
      <c r="D33" s="168"/>
      <c r="E33" s="168"/>
      <c r="F33" s="168"/>
      <c r="G33" s="168"/>
      <c r="H33" s="168"/>
      <c r="I33" s="168"/>
      <c r="J33" s="168"/>
      <c r="K33" s="168"/>
      <c r="N33" s="168"/>
      <c r="O33" s="168"/>
      <c r="P33" s="168"/>
      <c r="Q33" s="168"/>
      <c r="R33" s="168"/>
      <c r="S33" s="168"/>
      <c r="T33" s="168"/>
      <c r="U33" s="168"/>
      <c r="V33" s="168"/>
      <c r="W33" s="168"/>
      <c r="X33" s="168"/>
    </row>
    <row r="34" spans="3:24">
      <c r="C34" s="168"/>
      <c r="D34" s="168"/>
      <c r="E34" s="168"/>
      <c r="F34" s="168"/>
      <c r="G34" s="168"/>
      <c r="H34" s="168"/>
      <c r="I34" s="168"/>
      <c r="J34" s="168"/>
      <c r="K34" s="168"/>
      <c r="N34" s="168"/>
      <c r="O34" s="168"/>
      <c r="P34" s="168"/>
      <c r="Q34" s="168"/>
      <c r="R34" s="168"/>
      <c r="S34" s="168"/>
      <c r="T34" s="168"/>
      <c r="U34" s="168"/>
      <c r="V34" s="168"/>
      <c r="W34" s="168"/>
      <c r="X34" s="168"/>
    </row>
    <row r="35" spans="3:24">
      <c r="C35" s="168"/>
      <c r="D35" s="168"/>
      <c r="E35" s="168"/>
      <c r="F35" s="168"/>
      <c r="G35" s="168"/>
      <c r="H35" s="168"/>
      <c r="I35" s="168"/>
      <c r="J35" s="168"/>
      <c r="K35" s="168"/>
      <c r="N35" s="168"/>
      <c r="O35" s="168"/>
      <c r="P35" s="168"/>
      <c r="Q35" s="168"/>
      <c r="R35" s="168"/>
      <c r="S35" s="168"/>
      <c r="T35" s="168"/>
      <c r="U35" s="168"/>
      <c r="V35" s="168"/>
      <c r="W35" s="168"/>
      <c r="X35" s="168"/>
    </row>
    <row r="36" spans="3:24">
      <c r="C36" s="168"/>
      <c r="D36" s="168"/>
      <c r="E36" s="168"/>
      <c r="F36" s="168"/>
      <c r="G36" s="168"/>
      <c r="H36" s="168"/>
      <c r="I36" s="168"/>
      <c r="J36" s="168"/>
      <c r="K36" s="168"/>
      <c r="N36" s="168"/>
      <c r="O36" s="168"/>
      <c r="P36" s="168"/>
      <c r="Q36" s="168"/>
      <c r="R36" s="168"/>
      <c r="S36" s="168"/>
      <c r="T36" s="168"/>
      <c r="U36" s="168"/>
      <c r="V36" s="168"/>
      <c r="W36" s="168"/>
      <c r="X36" s="168"/>
    </row>
    <row r="37" spans="3:24">
      <c r="C37" s="168"/>
      <c r="D37" s="168"/>
      <c r="E37" s="168"/>
      <c r="F37" s="168"/>
      <c r="G37" s="168"/>
      <c r="H37" s="168"/>
      <c r="I37" s="168"/>
      <c r="J37" s="168"/>
      <c r="K37" s="168"/>
      <c r="N37" s="168"/>
      <c r="O37" s="168"/>
      <c r="P37" s="168"/>
      <c r="Q37" s="168"/>
      <c r="R37" s="168"/>
      <c r="S37" s="168"/>
      <c r="T37" s="168"/>
      <c r="U37" s="168"/>
      <c r="V37" s="168"/>
      <c r="W37" s="168"/>
      <c r="X37" s="168"/>
    </row>
    <row r="38" spans="3:24">
      <c r="C38" s="168"/>
      <c r="D38" s="168"/>
      <c r="E38" s="168"/>
      <c r="F38" s="168"/>
      <c r="G38" s="168"/>
      <c r="H38" s="168"/>
      <c r="I38" s="168"/>
      <c r="J38" s="168"/>
      <c r="K38" s="168"/>
      <c r="N38" s="168"/>
      <c r="O38" s="168"/>
      <c r="P38" s="168"/>
      <c r="Q38" s="168"/>
      <c r="R38" s="168"/>
      <c r="S38" s="168"/>
      <c r="T38" s="168"/>
      <c r="U38" s="168"/>
      <c r="V38" s="168"/>
      <c r="W38" s="168"/>
      <c r="X38" s="168"/>
    </row>
    <row r="39" spans="3:24">
      <c r="N39" s="168"/>
      <c r="O39" s="168"/>
      <c r="P39" s="168"/>
      <c r="Q39" s="168"/>
      <c r="R39" s="168"/>
      <c r="S39" s="168"/>
      <c r="T39" s="168"/>
      <c r="U39" s="168"/>
      <c r="V39" s="168"/>
      <c r="W39" s="168"/>
      <c r="X39" s="16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75FC0-6092-40BB-9738-5EE8DBFEE41E}">
  <dimension ref="A1:U53"/>
  <sheetViews>
    <sheetView topLeftCell="A4" workbookViewId="0">
      <selection activeCell="H29" sqref="H29"/>
    </sheetView>
  </sheetViews>
  <sheetFormatPr defaultColWidth="7.1875" defaultRowHeight="14.6"/>
  <cols>
    <col min="1" max="1" width="10.0625" style="194" customWidth="1"/>
    <col min="2" max="2" width="4.3125" style="194" customWidth="1"/>
    <col min="3" max="3" width="16.375" style="194" bestFit="1" customWidth="1"/>
    <col min="4" max="4" width="12.9375" style="230" bestFit="1" customWidth="1"/>
    <col min="5" max="6" width="12.3125" style="230" bestFit="1" customWidth="1"/>
    <col min="7" max="7" width="7.1875" style="230"/>
    <col min="8" max="8" width="8.25" style="230" bestFit="1" customWidth="1"/>
    <col min="9" max="9" width="8.625" style="230" customWidth="1"/>
    <col min="10" max="10" width="8.25" style="230" bestFit="1" customWidth="1"/>
    <col min="11" max="11" width="7.1875" style="230"/>
    <col min="12" max="13" width="7.4375" style="194" bestFit="1" customWidth="1"/>
    <col min="14" max="14" width="8.25" style="194" bestFit="1" customWidth="1"/>
    <col min="15" max="16384" width="7.1875" style="194"/>
  </cols>
  <sheetData>
    <row r="1" spans="1:5" s="230" customFormat="1">
      <c r="A1" s="194" t="s">
        <v>139</v>
      </c>
      <c r="B1" s="194"/>
      <c r="C1" s="194"/>
    </row>
    <row r="2" spans="1:5" s="230" customFormat="1">
      <c r="A2" s="194" t="s">
        <v>140</v>
      </c>
      <c r="B2" s="194"/>
      <c r="C2" s="194"/>
    </row>
    <row r="3" spans="1:5" s="230" customFormat="1">
      <c r="A3" s="228">
        <v>45382</v>
      </c>
      <c r="B3" s="194"/>
      <c r="C3" s="194"/>
    </row>
    <row r="4" spans="1:5" s="230" customFormat="1">
      <c r="A4" s="229"/>
      <c r="B4" s="194"/>
      <c r="C4" s="194"/>
    </row>
    <row r="5" spans="1:5" s="230" customFormat="1">
      <c r="A5" s="194"/>
      <c r="B5" s="194" t="s">
        <v>141</v>
      </c>
      <c r="C5" s="194"/>
      <c r="D5" s="230">
        <v>229937.91</v>
      </c>
    </row>
    <row r="6" spans="1:5" s="230" customFormat="1">
      <c r="A6" s="194"/>
      <c r="B6" s="194" t="s">
        <v>142</v>
      </c>
      <c r="C6" s="194"/>
      <c r="D6" s="230">
        <v>449.94</v>
      </c>
    </row>
    <row r="7" spans="1:5" s="230" customFormat="1">
      <c r="A7" s="194"/>
      <c r="B7" s="194" t="s">
        <v>143</v>
      </c>
      <c r="C7" s="194"/>
      <c r="D7" s="230">
        <v>230976.26</v>
      </c>
    </row>
    <row r="8" spans="1:5" s="230" customFormat="1">
      <c r="A8" s="194"/>
      <c r="B8" s="194" t="s">
        <v>144</v>
      </c>
      <c r="C8" s="194"/>
      <c r="D8" s="230">
        <v>15820</v>
      </c>
    </row>
    <row r="9" spans="1:5" s="230" customFormat="1">
      <c r="A9" s="194"/>
      <c r="B9" s="194" t="s">
        <v>145</v>
      </c>
      <c r="C9" s="194"/>
      <c r="D9" s="230">
        <v>24586.32</v>
      </c>
    </row>
    <row r="10" spans="1:5" s="230" customFormat="1">
      <c r="A10" s="194"/>
      <c r="B10" s="194"/>
      <c r="C10" s="194" t="s">
        <v>146</v>
      </c>
      <c r="E10" s="231">
        <f>SUM(D5:D9)</f>
        <v>501770.43</v>
      </c>
    </row>
    <row r="11" spans="1:5" s="230" customFormat="1" ht="24" customHeight="1">
      <c r="A11" s="194"/>
      <c r="B11" s="194" t="s">
        <v>147</v>
      </c>
      <c r="C11" s="194"/>
      <c r="D11" s="230">
        <v>3708070.37</v>
      </c>
    </row>
    <row r="12" spans="1:5" s="230" customFormat="1">
      <c r="A12" s="194"/>
      <c r="B12" s="194" t="s">
        <v>148</v>
      </c>
      <c r="C12" s="194"/>
      <c r="D12" s="230">
        <v>-2103217.71</v>
      </c>
    </row>
    <row r="13" spans="1:5" s="230" customFormat="1">
      <c r="A13" s="194"/>
      <c r="B13" s="194"/>
      <c r="C13" s="194" t="s">
        <v>149</v>
      </c>
      <c r="D13" s="230">
        <f>SUM(D11:D12)</f>
        <v>1604852.6600000001</v>
      </c>
    </row>
    <row r="14" spans="1:5" s="230" customFormat="1" ht="22.3" customHeight="1">
      <c r="A14" s="194"/>
      <c r="B14" s="194" t="s">
        <v>150</v>
      </c>
      <c r="C14" s="194"/>
      <c r="D14" s="230">
        <v>1974563.5</v>
      </c>
    </row>
    <row r="15" spans="1:5" s="230" customFormat="1">
      <c r="A15" s="194"/>
      <c r="B15" s="194" t="s">
        <v>151</v>
      </c>
      <c r="C15" s="194"/>
      <c r="D15" s="230">
        <v>82442.23</v>
      </c>
    </row>
    <row r="16" spans="1:5" s="230" customFormat="1">
      <c r="A16" s="194"/>
      <c r="B16" s="194"/>
      <c r="C16" s="194" t="s">
        <v>152</v>
      </c>
      <c r="E16" s="231">
        <f>D13+D14+D15</f>
        <v>3661858.39</v>
      </c>
    </row>
    <row r="17" spans="2:8" s="230" customFormat="1">
      <c r="B17" s="194" t="s">
        <v>153</v>
      </c>
      <c r="C17" s="194"/>
      <c r="F17" s="232">
        <f>E16+E10</f>
        <v>4163628.8200000003</v>
      </c>
    </row>
    <row r="20" spans="2:8" s="230" customFormat="1">
      <c r="B20" s="194" t="s">
        <v>154</v>
      </c>
      <c r="C20" s="194"/>
      <c r="D20" s="233">
        <v>77532.820000000007</v>
      </c>
    </row>
    <row r="21" spans="2:8" s="230" customFormat="1">
      <c r="B21" s="194" t="s">
        <v>155</v>
      </c>
      <c r="C21" s="194"/>
      <c r="D21" s="233">
        <v>37449.910000000003</v>
      </c>
    </row>
    <row r="22" spans="2:8" s="230" customFormat="1">
      <c r="B22" s="194" t="s">
        <v>156</v>
      </c>
      <c r="C22" s="194"/>
      <c r="D22" s="233">
        <v>500</v>
      </c>
    </row>
    <row r="23" spans="2:8" s="230" customFormat="1">
      <c r="B23" s="194" t="s">
        <v>157</v>
      </c>
      <c r="C23" s="194"/>
      <c r="D23" s="233">
        <v>8241.32</v>
      </c>
    </row>
    <row r="24" spans="2:8" s="230" customFormat="1">
      <c r="B24" s="194"/>
      <c r="C24" s="194" t="s">
        <v>158</v>
      </c>
      <c r="E24" s="231">
        <f>SUM(D20:D23)</f>
        <v>123724.05000000002</v>
      </c>
    </row>
    <row r="26" spans="2:8" s="230" customFormat="1">
      <c r="B26" s="194" t="s">
        <v>159</v>
      </c>
      <c r="C26" s="194"/>
      <c r="D26" s="230">
        <v>1479093.94</v>
      </c>
    </row>
    <row r="27" spans="2:8" s="230" customFormat="1">
      <c r="B27" s="194"/>
      <c r="C27" s="194" t="s">
        <v>160</v>
      </c>
      <c r="E27" s="231">
        <f>SUM(D26)</f>
        <v>1479093.94</v>
      </c>
    </row>
    <row r="28" spans="2:8" s="230" customFormat="1">
      <c r="B28" s="194" t="s">
        <v>161</v>
      </c>
      <c r="C28" s="194"/>
      <c r="E28" s="231">
        <f>SUM(E24:E27)</f>
        <v>1602817.99</v>
      </c>
      <c r="G28" s="314">
        <f>E28/F32</f>
        <v>0.38495698326922423</v>
      </c>
      <c r="H28" s="230" t="s">
        <v>429</v>
      </c>
    </row>
    <row r="30" spans="2:8" s="230" customFormat="1">
      <c r="B30" s="194" t="s">
        <v>162</v>
      </c>
      <c r="C30" s="194"/>
      <c r="D30" s="230">
        <v>2560810.83</v>
      </c>
      <c r="G30" s="234">
        <f>E31/F32</f>
        <v>0.61504301673077566</v>
      </c>
      <c r="H30" s="230" t="s">
        <v>428</v>
      </c>
    </row>
    <row r="31" spans="2:8" s="230" customFormat="1">
      <c r="B31" s="194"/>
      <c r="C31" s="194" t="s">
        <v>163</v>
      </c>
      <c r="E31" s="232">
        <f>SUM(D30)</f>
        <v>2560810.83</v>
      </c>
    </row>
    <row r="32" spans="2:8" s="230" customFormat="1">
      <c r="B32" s="194" t="s">
        <v>164</v>
      </c>
      <c r="C32" s="194"/>
      <c r="F32" s="232">
        <f>SUM(E28:E31)</f>
        <v>4163628.8200000003</v>
      </c>
    </row>
    <row r="34" spans="3:21">
      <c r="L34" s="230"/>
      <c r="M34" s="230"/>
    </row>
    <row r="35" spans="3:21">
      <c r="C35" s="325" t="s">
        <v>165</v>
      </c>
      <c r="D35" s="325"/>
      <c r="L35" s="230"/>
      <c r="M35" s="230"/>
      <c r="N35" s="230"/>
      <c r="O35" s="230"/>
      <c r="P35" s="230"/>
      <c r="Q35" s="230"/>
      <c r="R35" s="230"/>
      <c r="S35" s="230"/>
      <c r="T35" s="230"/>
      <c r="U35" s="230"/>
    </row>
    <row r="36" spans="3:21">
      <c r="C36" s="196" t="s">
        <v>166</v>
      </c>
      <c r="D36" s="230">
        <v>692696.67</v>
      </c>
      <c r="L36" s="230"/>
      <c r="M36" s="230"/>
      <c r="N36" s="230"/>
      <c r="O36" s="230"/>
      <c r="P36" s="230"/>
      <c r="Q36" s="230"/>
      <c r="R36" s="230"/>
      <c r="S36" s="230"/>
      <c r="T36" s="230"/>
      <c r="U36" s="230"/>
    </row>
    <row r="37" spans="3:21">
      <c r="C37" s="196" t="s">
        <v>167</v>
      </c>
      <c r="D37" s="230">
        <v>345107.87</v>
      </c>
      <c r="L37" s="230"/>
      <c r="M37" s="230"/>
      <c r="N37" s="230"/>
      <c r="O37" s="230"/>
      <c r="P37" s="230"/>
      <c r="Q37" s="230"/>
      <c r="R37" s="230"/>
      <c r="S37" s="230"/>
      <c r="T37" s="230"/>
      <c r="U37" s="230"/>
    </row>
    <row r="38" spans="3:21">
      <c r="C38" s="196" t="s">
        <v>168</v>
      </c>
      <c r="D38" s="230">
        <v>197666.39</v>
      </c>
      <c r="L38" s="230"/>
      <c r="M38" s="230"/>
      <c r="N38" s="230"/>
      <c r="O38" s="230"/>
      <c r="P38" s="230"/>
      <c r="Q38" s="230"/>
      <c r="R38" s="230"/>
      <c r="S38" s="230"/>
      <c r="T38" s="230"/>
      <c r="U38" s="230"/>
    </row>
    <row r="39" spans="3:21">
      <c r="C39" s="196" t="s">
        <v>169</v>
      </c>
      <c r="D39" s="230">
        <v>87793.63</v>
      </c>
      <c r="L39" s="230"/>
      <c r="M39" s="230"/>
      <c r="N39" s="230"/>
      <c r="O39" s="230"/>
      <c r="P39" s="230"/>
      <c r="Q39" s="230"/>
      <c r="R39" s="230"/>
      <c r="S39" s="230"/>
      <c r="T39" s="230"/>
      <c r="U39" s="230"/>
    </row>
    <row r="40" spans="3:21">
      <c r="C40" s="196" t="s">
        <v>170</v>
      </c>
      <c r="D40" s="230">
        <v>87426.87</v>
      </c>
      <c r="L40" s="230"/>
      <c r="M40" s="230"/>
      <c r="N40" s="230"/>
      <c r="O40" s="230"/>
      <c r="P40" s="230"/>
      <c r="Q40" s="230"/>
      <c r="R40" s="230"/>
      <c r="S40" s="230"/>
      <c r="T40" s="230"/>
      <c r="U40" s="230"/>
    </row>
    <row r="41" spans="3:21">
      <c r="C41" s="196" t="s">
        <v>171</v>
      </c>
      <c r="D41" s="230">
        <v>58117.21</v>
      </c>
      <c r="J41" s="194"/>
      <c r="K41" s="194"/>
    </row>
    <row r="42" spans="3:21">
      <c r="C42" s="196" t="s">
        <v>172</v>
      </c>
      <c r="D42" s="230">
        <v>10285.299999999999</v>
      </c>
      <c r="J42" s="194"/>
      <c r="K42" s="194"/>
    </row>
    <row r="43" spans="3:21">
      <c r="D43" s="231">
        <f>SUM(D36:D42)</f>
        <v>1479093.9400000002</v>
      </c>
      <c r="J43" s="194"/>
      <c r="K43" s="194"/>
    </row>
    <row r="44" spans="3:21">
      <c r="J44" s="194"/>
      <c r="K44" s="194"/>
    </row>
    <row r="45" spans="3:21">
      <c r="J45" s="194"/>
      <c r="K45" s="194"/>
    </row>
    <row r="46" spans="3:21">
      <c r="J46" s="194"/>
      <c r="K46" s="194"/>
    </row>
    <row r="47" spans="3:21">
      <c r="J47" s="194"/>
      <c r="K47" s="194"/>
    </row>
    <row r="48" spans="3:21">
      <c r="L48" s="230"/>
      <c r="M48" s="230"/>
      <c r="N48" s="230"/>
      <c r="O48" s="230"/>
      <c r="P48" s="230"/>
      <c r="Q48" s="230"/>
      <c r="R48" s="230"/>
      <c r="S48" s="230"/>
      <c r="T48" s="230"/>
      <c r="U48" s="230"/>
    </row>
    <row r="49" spans="12:21">
      <c r="L49" s="230"/>
      <c r="M49" s="230"/>
      <c r="N49" s="230"/>
      <c r="O49" s="230"/>
      <c r="P49" s="230"/>
      <c r="Q49" s="230"/>
      <c r="R49" s="230"/>
      <c r="S49" s="230"/>
      <c r="T49" s="230"/>
      <c r="U49" s="230"/>
    </row>
    <row r="50" spans="12:21">
      <c r="L50" s="230"/>
      <c r="M50" s="230"/>
      <c r="N50" s="230"/>
      <c r="O50" s="230"/>
      <c r="P50" s="230"/>
      <c r="Q50" s="230"/>
      <c r="R50" s="230"/>
      <c r="S50" s="230"/>
      <c r="T50" s="230"/>
      <c r="U50" s="230"/>
    </row>
    <row r="51" spans="12:21">
      <c r="L51" s="230"/>
      <c r="M51" s="230"/>
      <c r="N51" s="230"/>
      <c r="O51" s="230"/>
      <c r="P51" s="230"/>
      <c r="Q51" s="230"/>
      <c r="R51" s="230"/>
      <c r="S51" s="230"/>
      <c r="T51" s="230"/>
      <c r="U51" s="230"/>
    </row>
    <row r="52" spans="12:21">
      <c r="L52" s="230"/>
      <c r="M52" s="230"/>
      <c r="N52" s="230"/>
      <c r="O52" s="230"/>
      <c r="P52" s="230"/>
      <c r="Q52" s="230"/>
      <c r="R52" s="230"/>
      <c r="S52" s="230"/>
      <c r="T52" s="230"/>
      <c r="U52" s="230"/>
    </row>
    <row r="53" spans="12:21">
      <c r="L53" s="230"/>
      <c r="M53" s="230"/>
      <c r="N53" s="230"/>
      <c r="O53" s="230"/>
      <c r="P53" s="230"/>
      <c r="Q53" s="230"/>
      <c r="R53" s="230"/>
      <c r="S53" s="230"/>
      <c r="T53" s="230"/>
      <c r="U53" s="230"/>
    </row>
  </sheetData>
  <mergeCells count="1">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4090-7BEA-4012-A9E3-37A9C2C29F31}">
  <dimension ref="A1:S58"/>
  <sheetViews>
    <sheetView topLeftCell="J1" workbookViewId="0">
      <selection activeCell="Q51" sqref="Q51"/>
    </sheetView>
  </sheetViews>
  <sheetFormatPr defaultColWidth="7.1875" defaultRowHeight="14.6"/>
  <cols>
    <col min="1" max="1" width="22.875" style="194" bestFit="1" customWidth="1"/>
    <col min="2" max="13" width="9.3125" style="194" bestFit="1" customWidth="1"/>
    <col min="14" max="14" width="12.3125" style="194" bestFit="1" customWidth="1"/>
    <col min="15" max="15" width="14.0625" style="194" bestFit="1" customWidth="1"/>
    <col min="16" max="16" width="14.5" style="194" bestFit="1" customWidth="1"/>
    <col min="17" max="17" width="9.625" style="194" bestFit="1" customWidth="1"/>
    <col min="18" max="18" width="20.5625" style="194" bestFit="1" customWidth="1"/>
    <col min="19" max="19" width="19.375" style="194" bestFit="1" customWidth="1"/>
    <col min="20" max="16384" width="7.1875" style="194"/>
  </cols>
  <sheetData>
    <row r="1" spans="1:19">
      <c r="A1" s="194" t="s">
        <v>139</v>
      </c>
    </row>
    <row r="2" spans="1:19">
      <c r="A2" s="194" t="s">
        <v>173</v>
      </c>
      <c r="B2" s="197"/>
      <c r="O2" s="198" t="s">
        <v>174</v>
      </c>
      <c r="P2" s="198" t="s">
        <v>103</v>
      </c>
      <c r="Q2" s="198" t="s">
        <v>175</v>
      </c>
      <c r="R2" s="198" t="s">
        <v>176</v>
      </c>
    </row>
    <row r="3" spans="1:19">
      <c r="A3" s="194" t="s">
        <v>177</v>
      </c>
      <c r="O3" s="235" t="s">
        <v>178</v>
      </c>
      <c r="P3" s="242">
        <v>11600</v>
      </c>
      <c r="Q3" s="242">
        <v>1040</v>
      </c>
      <c r="R3" s="243">
        <f>Q3/P3</f>
        <v>8.9655172413793102E-2</v>
      </c>
    </row>
    <row r="4" spans="1:19">
      <c r="E4" s="236"/>
      <c r="F4" s="236"/>
      <c r="G4" s="236"/>
      <c r="H4" s="236"/>
      <c r="I4" s="236"/>
      <c r="J4" s="236"/>
      <c r="K4" s="236"/>
      <c r="O4" s="235" t="s">
        <v>179</v>
      </c>
      <c r="P4" s="242">
        <v>11800</v>
      </c>
      <c r="Q4" s="242">
        <v>1200</v>
      </c>
      <c r="R4" s="243">
        <f>Q4/P4</f>
        <v>0.10169491525423729</v>
      </c>
    </row>
    <row r="5" spans="1:19">
      <c r="E5" s="236"/>
      <c r="F5" s="236"/>
      <c r="G5" s="236"/>
      <c r="H5" s="236"/>
      <c r="I5" s="236"/>
      <c r="J5" s="236"/>
      <c r="K5" s="236"/>
      <c r="O5" s="235" t="s">
        <v>180</v>
      </c>
      <c r="P5" s="242">
        <v>3000</v>
      </c>
      <c r="Q5" s="242">
        <v>200</v>
      </c>
      <c r="R5" s="243">
        <f>Q5/P5</f>
        <v>6.6666666666666666E-2</v>
      </c>
    </row>
    <row r="6" spans="1:19">
      <c r="E6" s="236"/>
      <c r="F6" s="236"/>
      <c r="G6" s="236"/>
      <c r="H6" s="236"/>
      <c r="I6" s="236"/>
      <c r="J6" s="236"/>
      <c r="K6" s="236"/>
      <c r="O6" s="235" t="s">
        <v>181</v>
      </c>
      <c r="P6" s="242">
        <v>13</v>
      </c>
      <c r="Q6" s="242">
        <v>2</v>
      </c>
      <c r="R6" s="243">
        <f>Q6/P6</f>
        <v>0.15384615384615385</v>
      </c>
    </row>
    <row r="7" spans="1:19">
      <c r="O7" s="235" t="s">
        <v>182</v>
      </c>
      <c r="P7" s="242">
        <v>13000</v>
      </c>
      <c r="Q7" s="242">
        <v>320</v>
      </c>
      <c r="R7" s="243">
        <f>Q7/P7</f>
        <v>2.4615384615384615E-2</v>
      </c>
    </row>
    <row r="9" spans="1:19">
      <c r="B9" s="326" t="s">
        <v>183</v>
      </c>
      <c r="C9" s="326"/>
      <c r="D9" s="326"/>
      <c r="E9" s="326"/>
      <c r="F9" s="326"/>
      <c r="G9" s="326"/>
      <c r="H9" s="326"/>
      <c r="I9" s="326"/>
      <c r="J9" s="326"/>
      <c r="K9" s="326"/>
      <c r="L9" s="326"/>
      <c r="M9" s="326"/>
      <c r="N9" s="326"/>
      <c r="O9" s="327" t="s">
        <v>184</v>
      </c>
      <c r="P9" s="327"/>
      <c r="Q9" s="327"/>
      <c r="R9" s="327"/>
      <c r="S9" s="327"/>
    </row>
    <row r="10" spans="1:19" ht="15" thickBot="1">
      <c r="B10" s="199" t="s">
        <v>185</v>
      </c>
      <c r="C10" s="199" t="s">
        <v>186</v>
      </c>
      <c r="D10" s="199" t="s">
        <v>187</v>
      </c>
      <c r="E10" s="199" t="s">
        <v>188</v>
      </c>
      <c r="F10" s="199" t="s">
        <v>189</v>
      </c>
      <c r="G10" s="199" t="s">
        <v>190</v>
      </c>
      <c r="H10" s="199" t="s">
        <v>191</v>
      </c>
      <c r="I10" s="199" t="s">
        <v>192</v>
      </c>
      <c r="J10" s="199" t="s">
        <v>193</v>
      </c>
      <c r="K10" s="199" t="s">
        <v>194</v>
      </c>
      <c r="L10" s="199" t="s">
        <v>195</v>
      </c>
      <c r="M10" s="199" t="s">
        <v>196</v>
      </c>
      <c r="N10" s="200" t="s">
        <v>197</v>
      </c>
      <c r="O10" s="201" t="s">
        <v>198</v>
      </c>
      <c r="P10" s="202" t="s">
        <v>199</v>
      </c>
      <c r="Q10" s="203" t="s">
        <v>13</v>
      </c>
      <c r="R10" s="202" t="s">
        <v>200</v>
      </c>
      <c r="S10" s="204" t="s">
        <v>201</v>
      </c>
    </row>
    <row r="11" spans="1:19">
      <c r="A11" s="194" t="s">
        <v>202</v>
      </c>
      <c r="B11" s="244">
        <v>18967.310000000001</v>
      </c>
      <c r="C11" s="244">
        <v>9514.61</v>
      </c>
      <c r="D11" s="244">
        <v>10334.799999999999</v>
      </c>
      <c r="E11" s="244">
        <v>23926.22</v>
      </c>
      <c r="F11" s="244">
        <v>12852.63</v>
      </c>
      <c r="G11" s="244">
        <v>9890.42</v>
      </c>
      <c r="H11" s="244">
        <v>20361.29</v>
      </c>
      <c r="I11" s="244">
        <v>6101.66</v>
      </c>
      <c r="J11" s="244">
        <v>5028.6400000000003</v>
      </c>
      <c r="K11" s="244">
        <v>18149.43</v>
      </c>
      <c r="L11" s="244">
        <v>4081.21</v>
      </c>
      <c r="M11" s="244">
        <v>5309.79</v>
      </c>
      <c r="N11" s="245">
        <f>SUM(B11:M11)</f>
        <v>144518.01</v>
      </c>
      <c r="O11" s="246" t="s">
        <v>203</v>
      </c>
      <c r="P11" s="247">
        <f>N11</f>
        <v>144518.01</v>
      </c>
      <c r="Q11" s="248">
        <v>0</v>
      </c>
      <c r="R11" s="247">
        <f>P11+Q11</f>
        <v>144518.01</v>
      </c>
      <c r="S11" s="249"/>
    </row>
    <row r="12" spans="1:19">
      <c r="A12" s="194" t="s">
        <v>204</v>
      </c>
      <c r="B12" s="244"/>
      <c r="C12" s="244"/>
      <c r="D12" s="244"/>
      <c r="E12" s="244"/>
      <c r="F12" s="244"/>
      <c r="G12" s="244"/>
      <c r="H12" s="244"/>
      <c r="I12" s="244"/>
      <c r="J12" s="244"/>
      <c r="K12" s="244"/>
      <c r="L12" s="244"/>
      <c r="M12" s="244"/>
      <c r="N12" s="245">
        <f t="shared" ref="N12:N51" si="0">SUM(B12:M12)</f>
        <v>0</v>
      </c>
      <c r="O12" s="246" t="s">
        <v>203</v>
      </c>
      <c r="P12" s="247">
        <v>0</v>
      </c>
      <c r="Q12" s="248">
        <v>0</v>
      </c>
      <c r="R12" s="247">
        <f>P12+Q12</f>
        <v>0</v>
      </c>
      <c r="S12" s="249"/>
    </row>
    <row r="13" spans="1:19">
      <c r="A13" s="194" t="s">
        <v>205</v>
      </c>
      <c r="B13" s="244">
        <v>287870.55</v>
      </c>
      <c r="C13" s="244">
        <v>294559.84000000003</v>
      </c>
      <c r="D13" s="244">
        <v>288084.21999999997</v>
      </c>
      <c r="E13" s="244">
        <v>286859.39</v>
      </c>
      <c r="F13" s="244">
        <v>369823.54</v>
      </c>
      <c r="G13" s="244">
        <v>283862.57</v>
      </c>
      <c r="H13" s="244">
        <v>305731.94</v>
      </c>
      <c r="I13" s="244">
        <v>299573</v>
      </c>
      <c r="J13" s="244">
        <v>294002.03000000003</v>
      </c>
      <c r="K13" s="244">
        <v>301779.78999999998</v>
      </c>
      <c r="L13" s="244">
        <v>323098.43</v>
      </c>
      <c r="M13" s="244">
        <v>308286.23</v>
      </c>
      <c r="N13" s="245">
        <f t="shared" si="0"/>
        <v>3643531.5300000003</v>
      </c>
      <c r="O13" s="246" t="s">
        <v>203</v>
      </c>
      <c r="P13" s="247">
        <v>0</v>
      </c>
      <c r="Q13" s="248">
        <v>0</v>
      </c>
      <c r="R13" s="247">
        <f>P13+Q13</f>
        <v>0</v>
      </c>
      <c r="S13" s="249">
        <f>N13</f>
        <v>3643531.5300000003</v>
      </c>
    </row>
    <row r="14" spans="1:19">
      <c r="A14" s="194" t="s">
        <v>206</v>
      </c>
      <c r="B14" s="244"/>
      <c r="C14" s="244"/>
      <c r="D14" s="244"/>
      <c r="E14" s="244"/>
      <c r="F14" s="244"/>
      <c r="G14" s="244"/>
      <c r="H14" s="244">
        <v>18599</v>
      </c>
      <c r="I14" s="244">
        <v>10571</v>
      </c>
      <c r="J14" s="244"/>
      <c r="K14" s="244">
        <v>3405.15</v>
      </c>
      <c r="L14" s="244"/>
      <c r="M14" s="244"/>
      <c r="N14" s="245">
        <f t="shared" si="0"/>
        <v>32575.15</v>
      </c>
      <c r="O14" s="246" t="s">
        <v>203</v>
      </c>
      <c r="P14" s="247">
        <v>0</v>
      </c>
      <c r="Q14" s="248">
        <v>0</v>
      </c>
      <c r="R14" s="247">
        <f>P14+Q14</f>
        <v>0</v>
      </c>
      <c r="S14" s="249">
        <f>N14</f>
        <v>32575.15</v>
      </c>
    </row>
    <row r="15" spans="1:19">
      <c r="A15" s="194" t="s">
        <v>207</v>
      </c>
      <c r="B15" s="244">
        <v>22.79</v>
      </c>
      <c r="C15" s="244">
        <v>1936.56</v>
      </c>
      <c r="D15" s="244">
        <v>520.62</v>
      </c>
      <c r="E15" s="244">
        <v>379.99</v>
      </c>
      <c r="F15" s="244">
        <v>383.85</v>
      </c>
      <c r="G15" s="244">
        <v>374.03</v>
      </c>
      <c r="H15" s="244">
        <v>408.74</v>
      </c>
      <c r="I15" s="244">
        <v>384.92</v>
      </c>
      <c r="J15" s="244">
        <v>566.29999999999995</v>
      </c>
      <c r="K15" s="244">
        <v>359.66</v>
      </c>
      <c r="L15" s="244">
        <v>407.68</v>
      </c>
      <c r="M15" s="244">
        <v>8.9600000000000009</v>
      </c>
      <c r="N15" s="245">
        <f t="shared" si="0"/>
        <v>5754.1</v>
      </c>
      <c r="O15" s="246" t="s">
        <v>203</v>
      </c>
      <c r="P15" s="247">
        <v>0</v>
      </c>
      <c r="Q15" s="248">
        <v>0</v>
      </c>
      <c r="R15" s="247">
        <f>P15+Q15</f>
        <v>0</v>
      </c>
      <c r="S15" s="249">
        <f>N15</f>
        <v>5754.1</v>
      </c>
    </row>
    <row r="16" spans="1:19">
      <c r="A16" s="194" t="s">
        <v>208</v>
      </c>
      <c r="B16" s="250">
        <f t="shared" ref="B16:M16" si="1">SUM(B11:B15)</f>
        <v>306860.64999999997</v>
      </c>
      <c r="C16" s="250">
        <f t="shared" si="1"/>
        <v>306011.01</v>
      </c>
      <c r="D16" s="250">
        <f t="shared" si="1"/>
        <v>298939.63999999996</v>
      </c>
      <c r="E16" s="250">
        <f t="shared" si="1"/>
        <v>311165.59999999998</v>
      </c>
      <c r="F16" s="250">
        <f t="shared" si="1"/>
        <v>383060.01999999996</v>
      </c>
      <c r="G16" s="250">
        <f t="shared" si="1"/>
        <v>294127.02</v>
      </c>
      <c r="H16" s="250">
        <f t="shared" si="1"/>
        <v>345100.97</v>
      </c>
      <c r="I16" s="250">
        <f t="shared" si="1"/>
        <v>316630.57999999996</v>
      </c>
      <c r="J16" s="250">
        <f t="shared" si="1"/>
        <v>299596.97000000003</v>
      </c>
      <c r="K16" s="250">
        <f t="shared" si="1"/>
        <v>323694.02999999997</v>
      </c>
      <c r="L16" s="250">
        <f t="shared" si="1"/>
        <v>327587.32</v>
      </c>
      <c r="M16" s="250">
        <f t="shared" si="1"/>
        <v>313604.98</v>
      </c>
      <c r="N16" s="251">
        <f t="shared" si="0"/>
        <v>3826378.79</v>
      </c>
      <c r="O16" s="252"/>
      <c r="P16" s="253">
        <f>SUM(P11:P15)</f>
        <v>144518.01</v>
      </c>
      <c r="Q16" s="254">
        <f>SUM(Q11:Q15)</f>
        <v>0</v>
      </c>
      <c r="R16" s="253">
        <f>SUM(R11:R15)</f>
        <v>144518.01</v>
      </c>
      <c r="S16" s="255">
        <f>SUM(S11:S15)</f>
        <v>3681860.7800000003</v>
      </c>
    </row>
    <row r="17" spans="1:19">
      <c r="B17" s="244"/>
      <c r="C17" s="244"/>
      <c r="D17" s="244"/>
      <c r="E17" s="244"/>
      <c r="F17" s="244"/>
      <c r="G17" s="244"/>
      <c r="H17" s="244"/>
      <c r="I17" s="244"/>
      <c r="J17" s="244"/>
      <c r="K17" s="244"/>
      <c r="L17" s="244"/>
      <c r="M17" s="244"/>
      <c r="N17" s="245"/>
      <c r="O17" s="246"/>
      <c r="P17" s="247"/>
      <c r="Q17" s="248"/>
      <c r="R17" s="247"/>
      <c r="S17" s="249"/>
    </row>
    <row r="18" spans="1:19">
      <c r="A18" s="194" t="s">
        <v>209</v>
      </c>
      <c r="B18" s="244">
        <v>375</v>
      </c>
      <c r="C18" s="244"/>
      <c r="D18" s="244"/>
      <c r="E18" s="244"/>
      <c r="F18" s="244"/>
      <c r="G18" s="244">
        <v>250</v>
      </c>
      <c r="H18" s="244"/>
      <c r="I18" s="244"/>
      <c r="J18" s="244">
        <v>75</v>
      </c>
      <c r="K18" s="244">
        <v>2916.1</v>
      </c>
      <c r="L18" s="244">
        <v>233.99</v>
      </c>
      <c r="M18" s="244">
        <v>340.26</v>
      </c>
      <c r="N18" s="245">
        <f t="shared" si="0"/>
        <v>4190.3500000000004</v>
      </c>
      <c r="O18" s="246" t="s">
        <v>178</v>
      </c>
      <c r="P18" s="247">
        <f>N18*R3</f>
        <v>375.68655172413798</v>
      </c>
      <c r="Q18" s="248">
        <v>0</v>
      </c>
      <c r="R18" s="247">
        <f t="shared" ref="R18:R42" si="2">P18+Q18</f>
        <v>375.68655172413798</v>
      </c>
      <c r="S18" s="249">
        <f t="shared" ref="S18:S42" si="3">N18-P18</f>
        <v>3814.6634482758623</v>
      </c>
    </row>
    <row r="19" spans="1:19">
      <c r="A19" s="194" t="s">
        <v>210</v>
      </c>
      <c r="B19" s="244"/>
      <c r="C19" s="244"/>
      <c r="D19" s="244"/>
      <c r="E19" s="244"/>
      <c r="F19" s="244"/>
      <c r="G19" s="244"/>
      <c r="H19" s="244"/>
      <c r="I19" s="244"/>
      <c r="J19" s="244"/>
      <c r="K19" s="244">
        <v>2688.25</v>
      </c>
      <c r="L19" s="244">
        <v>600</v>
      </c>
      <c r="M19" s="244">
        <v>7462.18</v>
      </c>
      <c r="N19" s="245">
        <f t="shared" si="0"/>
        <v>10750.43</v>
      </c>
      <c r="O19" s="246" t="s">
        <v>179</v>
      </c>
      <c r="P19" s="247">
        <f>N19*R4</f>
        <v>1093.2640677966103</v>
      </c>
      <c r="Q19" s="248">
        <v>0</v>
      </c>
      <c r="R19" s="247">
        <f t="shared" si="2"/>
        <v>1093.2640677966103</v>
      </c>
      <c r="S19" s="249">
        <f t="shared" si="3"/>
        <v>9657.1659322033902</v>
      </c>
    </row>
    <row r="20" spans="1:19">
      <c r="A20" s="194" t="s">
        <v>211</v>
      </c>
      <c r="B20" s="244">
        <v>60.97</v>
      </c>
      <c r="C20" s="244">
        <v>260.85000000000002</v>
      </c>
      <c r="D20" s="244">
        <v>67.87</v>
      </c>
      <c r="E20" s="244">
        <v>58.58</v>
      </c>
      <c r="F20" s="244">
        <v>281.97000000000003</v>
      </c>
      <c r="G20" s="244">
        <v>102.15</v>
      </c>
      <c r="H20" s="244">
        <v>66.19</v>
      </c>
      <c r="I20" s="244">
        <v>34.659999999999997</v>
      </c>
      <c r="J20" s="244">
        <v>46.4</v>
      </c>
      <c r="K20" s="244">
        <v>104.91</v>
      </c>
      <c r="L20" s="244">
        <v>68.98</v>
      </c>
      <c r="M20" s="244">
        <v>73.72</v>
      </c>
      <c r="N20" s="245">
        <f t="shared" si="0"/>
        <v>1227.25</v>
      </c>
      <c r="O20" s="246" t="s">
        <v>182</v>
      </c>
      <c r="P20" s="247">
        <f>N20*R7</f>
        <v>30.209230769230768</v>
      </c>
      <c r="Q20" s="248">
        <v>0</v>
      </c>
      <c r="R20" s="247">
        <f t="shared" si="2"/>
        <v>30.209230769230768</v>
      </c>
      <c r="S20" s="249">
        <f t="shared" si="3"/>
        <v>1197.0407692307692</v>
      </c>
    </row>
    <row r="21" spans="1:19">
      <c r="A21" s="194" t="s">
        <v>212</v>
      </c>
      <c r="B21" s="244"/>
      <c r="C21" s="244">
        <v>2844</v>
      </c>
      <c r="D21" s="244"/>
      <c r="E21" s="244"/>
      <c r="F21" s="244"/>
      <c r="G21" s="244"/>
      <c r="H21" s="244"/>
      <c r="I21" s="244"/>
      <c r="J21" s="244"/>
      <c r="K21" s="244"/>
      <c r="L21" s="244"/>
      <c r="M21" s="244"/>
      <c r="N21" s="245">
        <f t="shared" si="0"/>
        <v>2844</v>
      </c>
      <c r="O21" s="246" t="s">
        <v>203</v>
      </c>
      <c r="P21" s="247">
        <v>0</v>
      </c>
      <c r="Q21" s="248">
        <v>0</v>
      </c>
      <c r="R21" s="247">
        <f t="shared" si="2"/>
        <v>0</v>
      </c>
      <c r="S21" s="249">
        <f t="shared" si="3"/>
        <v>2844</v>
      </c>
    </row>
    <row r="22" spans="1:19">
      <c r="A22" s="194" t="s">
        <v>213</v>
      </c>
      <c r="B22" s="244">
        <v>337</v>
      </c>
      <c r="C22" s="244"/>
      <c r="D22" s="244">
        <v>128</v>
      </c>
      <c r="E22" s="244"/>
      <c r="F22" s="244"/>
      <c r="G22" s="244"/>
      <c r="H22" s="244"/>
      <c r="I22" s="244">
        <v>128</v>
      </c>
      <c r="J22" s="244"/>
      <c r="K22" s="244"/>
      <c r="L22" s="244"/>
      <c r="M22" s="244">
        <v>133</v>
      </c>
      <c r="N22" s="245">
        <f t="shared" si="0"/>
        <v>726</v>
      </c>
      <c r="O22" s="246" t="s">
        <v>181</v>
      </c>
      <c r="P22" s="247">
        <f>N22*R6</f>
        <v>111.69230769230769</v>
      </c>
      <c r="Q22" s="248">
        <v>0</v>
      </c>
      <c r="R22" s="247">
        <f t="shared" si="2"/>
        <v>111.69230769230769</v>
      </c>
      <c r="S22" s="249">
        <f t="shared" si="3"/>
        <v>614.30769230769226</v>
      </c>
    </row>
    <row r="23" spans="1:19">
      <c r="A23" s="194" t="s">
        <v>214</v>
      </c>
      <c r="B23" s="244">
        <v>257.33</v>
      </c>
      <c r="C23" s="244">
        <v>257.33</v>
      </c>
      <c r="D23" s="244">
        <v>259.45999999999998</v>
      </c>
      <c r="E23" s="244">
        <v>259.08999999999997</v>
      </c>
      <c r="F23" s="244">
        <v>259.08999999999997</v>
      </c>
      <c r="G23" s="244">
        <v>259.13</v>
      </c>
      <c r="H23" s="244">
        <v>259.13</v>
      </c>
      <c r="I23" s="244">
        <v>314.2</v>
      </c>
      <c r="J23" s="244">
        <v>310.60000000000002</v>
      </c>
      <c r="K23" s="244">
        <v>417.68</v>
      </c>
      <c r="L23" s="244"/>
      <c r="M23" s="244"/>
      <c r="N23" s="245">
        <f t="shared" si="0"/>
        <v>2853.0399999999995</v>
      </c>
      <c r="O23" s="246" t="s">
        <v>181</v>
      </c>
      <c r="P23" s="247">
        <f>N23*R6</f>
        <v>438.92923076923074</v>
      </c>
      <c r="Q23" s="248">
        <v>0</v>
      </c>
      <c r="R23" s="247">
        <f t="shared" si="2"/>
        <v>438.92923076923074</v>
      </c>
      <c r="S23" s="249">
        <f t="shared" si="3"/>
        <v>2414.1107692307687</v>
      </c>
    </row>
    <row r="24" spans="1:19">
      <c r="A24" s="194" t="s">
        <v>215</v>
      </c>
      <c r="B24" s="244">
        <f>'Monthly Dep Exp'!D13</f>
        <v>30523.293416666667</v>
      </c>
      <c r="C24" s="244">
        <f>'Monthly Dep Exp'!E13</f>
        <v>30523.293416666667</v>
      </c>
      <c r="D24" s="244">
        <f>'Monthly Dep Exp'!F13</f>
        <v>30523.293416666667</v>
      </c>
      <c r="E24" s="244">
        <f>'Monthly Dep Exp'!G13</f>
        <v>30523.293416666667</v>
      </c>
      <c r="F24" s="244">
        <f>'Monthly Dep Exp'!H13</f>
        <v>30523.293416666667</v>
      </c>
      <c r="G24" s="244">
        <f>'Monthly Dep Exp'!I13</f>
        <v>29537.748749999999</v>
      </c>
      <c r="H24" s="244">
        <f>'Monthly Dep Exp'!J13</f>
        <v>29537.748749999999</v>
      </c>
      <c r="I24" s="244">
        <f>'Monthly Dep Exp'!K13</f>
        <v>25432.641607142854</v>
      </c>
      <c r="J24" s="244">
        <f>'Monthly Dep Exp'!L13</f>
        <v>25432.641607142854</v>
      </c>
      <c r="K24" s="244">
        <f>'Monthly Dep Exp'!M13</f>
        <v>25432.641607142854</v>
      </c>
      <c r="L24" s="244">
        <f>'Monthly Dep Exp'!N13</f>
        <v>25432.641607142854</v>
      </c>
      <c r="M24" s="244">
        <f>'Monthly Dep Exp'!O13</f>
        <v>30748.737023809521</v>
      </c>
      <c r="N24" s="245">
        <f t="shared" si="0"/>
        <v>344171.26803571434</v>
      </c>
      <c r="O24" s="246" t="s">
        <v>203</v>
      </c>
      <c r="P24" s="247">
        <v>33010</v>
      </c>
      <c r="Q24" s="248">
        <f>'Restating Matrix'!S20</f>
        <v>6706.1361985119001</v>
      </c>
      <c r="R24" s="247">
        <f t="shared" si="2"/>
        <v>39716.1361985119</v>
      </c>
      <c r="S24" s="249">
        <f t="shared" si="3"/>
        <v>311161.26803571434</v>
      </c>
    </row>
    <row r="25" spans="1:19">
      <c r="A25" s="194" t="s">
        <v>216</v>
      </c>
      <c r="B25" s="244">
        <v>41363.379999999997</v>
      </c>
      <c r="C25" s="244">
        <v>37104.300000000003</v>
      </c>
      <c r="D25" s="244">
        <v>52168.37</v>
      </c>
      <c r="E25" s="244">
        <v>44177.37</v>
      </c>
      <c r="F25" s="244">
        <v>53132.79</v>
      </c>
      <c r="G25" s="244">
        <v>46880.99</v>
      </c>
      <c r="H25" s="244">
        <v>46172.9</v>
      </c>
      <c r="I25" s="244">
        <v>41423.919999999998</v>
      </c>
      <c r="J25" s="244">
        <v>41629.06</v>
      </c>
      <c r="K25" s="244">
        <v>37585.94</v>
      </c>
      <c r="L25" s="244">
        <v>74425.919999999998</v>
      </c>
      <c r="M25" s="244">
        <v>36308.400000000001</v>
      </c>
      <c r="N25" s="245">
        <f t="shared" si="0"/>
        <v>552373.34</v>
      </c>
      <c r="O25" s="246" t="s">
        <v>203</v>
      </c>
      <c r="P25" s="247">
        <v>54604</v>
      </c>
      <c r="Q25" s="248">
        <v>0</v>
      </c>
      <c r="R25" s="247">
        <f t="shared" si="2"/>
        <v>54604</v>
      </c>
      <c r="S25" s="249">
        <f t="shared" si="3"/>
        <v>497769.33999999997</v>
      </c>
    </row>
    <row r="26" spans="1:19">
      <c r="A26" s="194" t="s">
        <v>217</v>
      </c>
      <c r="B26" s="244">
        <v>68437.490000000005</v>
      </c>
      <c r="C26" s="244">
        <v>55558.22</v>
      </c>
      <c r="D26" s="244">
        <v>68763.41</v>
      </c>
      <c r="E26" s="244">
        <v>66883.7</v>
      </c>
      <c r="F26" s="244">
        <v>58536.63</v>
      </c>
      <c r="G26" s="244">
        <v>75999.600000000006</v>
      </c>
      <c r="H26" s="244">
        <v>59948.77</v>
      </c>
      <c r="I26" s="244">
        <v>66506.84</v>
      </c>
      <c r="J26" s="244">
        <v>62215.4</v>
      </c>
      <c r="K26" s="244">
        <v>62245.409999999996</v>
      </c>
      <c r="L26" s="244">
        <v>57865.440000000002</v>
      </c>
      <c r="M26" s="244">
        <v>69805.81</v>
      </c>
      <c r="N26" s="245">
        <f t="shared" si="0"/>
        <v>772766.7200000002</v>
      </c>
      <c r="O26" s="246" t="s">
        <v>203</v>
      </c>
      <c r="P26" s="247">
        <v>0</v>
      </c>
      <c r="Q26" s="248">
        <v>0</v>
      </c>
      <c r="R26" s="247">
        <f t="shared" si="2"/>
        <v>0</v>
      </c>
      <c r="S26" s="249">
        <f t="shared" si="3"/>
        <v>772766.7200000002</v>
      </c>
    </row>
    <row r="27" spans="1:19">
      <c r="A27" s="194" t="s">
        <v>218</v>
      </c>
      <c r="B27" s="244"/>
      <c r="C27" s="244"/>
      <c r="D27" s="244">
        <v>148</v>
      </c>
      <c r="E27" s="244"/>
      <c r="F27" s="244"/>
      <c r="G27" s="244"/>
      <c r="H27" s="244"/>
      <c r="I27" s="244"/>
      <c r="J27" s="244">
        <v>385</v>
      </c>
      <c r="K27" s="244">
        <v>441</v>
      </c>
      <c r="L27" s="244"/>
      <c r="M27" s="244"/>
      <c r="N27" s="245">
        <f t="shared" si="0"/>
        <v>974</v>
      </c>
      <c r="O27" s="246" t="s">
        <v>181</v>
      </c>
      <c r="P27" s="247">
        <f>N27*R6</f>
        <v>149.84615384615387</v>
      </c>
      <c r="Q27" s="248">
        <v>0</v>
      </c>
      <c r="R27" s="247">
        <f t="shared" si="2"/>
        <v>149.84615384615387</v>
      </c>
      <c r="S27" s="249">
        <f t="shared" si="3"/>
        <v>824.15384615384619</v>
      </c>
    </row>
    <row r="28" spans="1:19">
      <c r="A28" s="194" t="s">
        <v>219</v>
      </c>
      <c r="B28" s="244">
        <v>350.22</v>
      </c>
      <c r="C28" s="244">
        <v>1284.6500000000001</v>
      </c>
      <c r="D28" s="244">
        <v>1002.55</v>
      </c>
      <c r="E28" s="244">
        <v>304.11</v>
      </c>
      <c r="F28" s="244">
        <v>1036.68</v>
      </c>
      <c r="G28" s="244">
        <v>715.81</v>
      </c>
      <c r="H28" s="244">
        <v>509.18</v>
      </c>
      <c r="I28" s="244">
        <v>1184.6500000000001</v>
      </c>
      <c r="J28" s="244">
        <v>1088.27</v>
      </c>
      <c r="K28" s="244">
        <v>716.73</v>
      </c>
      <c r="L28" s="244">
        <v>618.75</v>
      </c>
      <c r="M28" s="244">
        <v>69.91</v>
      </c>
      <c r="N28" s="245">
        <f t="shared" si="0"/>
        <v>8881.51</v>
      </c>
      <c r="O28" s="246" t="s">
        <v>182</v>
      </c>
      <c r="P28" s="247">
        <f>N28*$R$7</f>
        <v>218.62178461538463</v>
      </c>
      <c r="Q28" s="248">
        <v>0</v>
      </c>
      <c r="R28" s="247">
        <f t="shared" si="2"/>
        <v>218.62178461538463</v>
      </c>
      <c r="S28" s="249">
        <f t="shared" si="3"/>
        <v>8662.8882153846153</v>
      </c>
    </row>
    <row r="29" spans="1:19">
      <c r="A29" s="194" t="s">
        <v>220</v>
      </c>
      <c r="B29" s="244">
        <v>18616.2</v>
      </c>
      <c r="C29" s="244">
        <v>16243.7</v>
      </c>
      <c r="D29" s="244">
        <v>19266.21</v>
      </c>
      <c r="E29" s="244">
        <v>17060.89</v>
      </c>
      <c r="F29" s="244">
        <v>17155.39</v>
      </c>
      <c r="G29" s="244">
        <v>21206.239999999998</v>
      </c>
      <c r="H29" s="244">
        <v>19131.71</v>
      </c>
      <c r="I29" s="244">
        <v>21498.15</v>
      </c>
      <c r="J29" s="244">
        <v>17490.39</v>
      </c>
      <c r="K29" s="244">
        <v>37158.600000000006</v>
      </c>
      <c r="L29" s="244">
        <v>14914.340000000002</v>
      </c>
      <c r="M29" s="244">
        <v>14300.35</v>
      </c>
      <c r="N29" s="245">
        <f t="shared" si="0"/>
        <v>234042.17</v>
      </c>
      <c r="O29" s="246" t="s">
        <v>178</v>
      </c>
      <c r="P29" s="247">
        <f>N29*R3</f>
        <v>20983.091103448278</v>
      </c>
      <c r="Q29" s="248">
        <v>0</v>
      </c>
      <c r="R29" s="247">
        <f t="shared" si="2"/>
        <v>20983.091103448278</v>
      </c>
      <c r="S29" s="249">
        <f t="shared" si="3"/>
        <v>213059.07889655174</v>
      </c>
    </row>
    <row r="30" spans="1:19">
      <c r="A30" s="194" t="s">
        <v>221</v>
      </c>
      <c r="B30" s="244">
        <v>14681.099999999999</v>
      </c>
      <c r="C30" s="244">
        <v>14661.099999999999</v>
      </c>
      <c r="D30" s="244">
        <v>17353.099999999999</v>
      </c>
      <c r="E30" s="244">
        <v>15753.900000000001</v>
      </c>
      <c r="F30" s="244">
        <v>15717.900000000001</v>
      </c>
      <c r="G30" s="244">
        <v>16689.95</v>
      </c>
      <c r="H30" s="244">
        <v>8480.7900000000009</v>
      </c>
      <c r="I30" s="244">
        <v>15874.5</v>
      </c>
      <c r="J30" s="244">
        <v>18852.45</v>
      </c>
      <c r="K30" s="244">
        <v>16893.305</v>
      </c>
      <c r="L30" s="244">
        <v>16284.865</v>
      </c>
      <c r="M30" s="244">
        <v>17495.21</v>
      </c>
      <c r="N30" s="245">
        <f t="shared" si="0"/>
        <v>188738.16999999998</v>
      </c>
      <c r="O30" s="246" t="s">
        <v>181</v>
      </c>
      <c r="P30" s="247">
        <f t="shared" ref="P30:P36" si="4">N30*$R$7</f>
        <v>4645.8626461538461</v>
      </c>
      <c r="Q30" s="248">
        <v>0</v>
      </c>
      <c r="R30" s="247">
        <f t="shared" si="2"/>
        <v>4645.8626461538461</v>
      </c>
      <c r="S30" s="249">
        <f t="shared" si="3"/>
        <v>184092.30735384615</v>
      </c>
    </row>
    <row r="31" spans="1:19">
      <c r="A31" s="194" t="s">
        <v>222</v>
      </c>
      <c r="B31" s="244">
        <v>759.96</v>
      </c>
      <c r="C31" s="244">
        <v>611.78</v>
      </c>
      <c r="D31" s="244">
        <v>633.45000000000005</v>
      </c>
      <c r="E31" s="244">
        <v>804.94</v>
      </c>
      <c r="F31" s="244">
        <v>613.4</v>
      </c>
      <c r="G31" s="244">
        <v>770.26</v>
      </c>
      <c r="H31" s="244">
        <v>608.25</v>
      </c>
      <c r="I31" s="244">
        <v>608.25</v>
      </c>
      <c r="J31" s="244">
        <v>828.03</v>
      </c>
      <c r="K31" s="244">
        <v>1353.85</v>
      </c>
      <c r="L31" s="244">
        <v>856.31</v>
      </c>
      <c r="M31" s="244">
        <v>667.85</v>
      </c>
      <c r="N31" s="245">
        <f t="shared" si="0"/>
        <v>9116.33</v>
      </c>
      <c r="O31" s="246" t="s">
        <v>181</v>
      </c>
      <c r="P31" s="247">
        <f t="shared" si="4"/>
        <v>224.40196923076923</v>
      </c>
      <c r="Q31" s="248">
        <v>0</v>
      </c>
      <c r="R31" s="247">
        <f t="shared" si="2"/>
        <v>224.40196923076923</v>
      </c>
      <c r="S31" s="249">
        <f t="shared" si="3"/>
        <v>8891.9280307692316</v>
      </c>
    </row>
    <row r="32" spans="1:19">
      <c r="A32" s="194" t="s">
        <v>223</v>
      </c>
      <c r="B32" s="244"/>
      <c r="C32" s="244"/>
      <c r="D32" s="244"/>
      <c r="E32" s="244"/>
      <c r="F32" s="244"/>
      <c r="G32" s="244"/>
      <c r="H32" s="244">
        <v>2900</v>
      </c>
      <c r="I32" s="244"/>
      <c r="J32" s="244"/>
      <c r="K32" s="244"/>
      <c r="L32" s="244"/>
      <c r="M32" s="244"/>
      <c r="N32" s="245">
        <f t="shared" si="0"/>
        <v>2900</v>
      </c>
      <c r="O32" s="246" t="s">
        <v>182</v>
      </c>
      <c r="P32" s="247">
        <f t="shared" si="4"/>
        <v>71.384615384615387</v>
      </c>
      <c r="Q32" s="248">
        <v>0</v>
      </c>
      <c r="R32" s="247">
        <f t="shared" si="2"/>
        <v>71.384615384615387</v>
      </c>
      <c r="S32" s="249">
        <f t="shared" si="3"/>
        <v>2828.6153846153848</v>
      </c>
    </row>
    <row r="33" spans="1:19">
      <c r="A33" s="194" t="s">
        <v>224</v>
      </c>
      <c r="B33" s="244">
        <v>664.81999999999994</v>
      </c>
      <c r="C33" s="244">
        <v>2933.2700000000004</v>
      </c>
      <c r="D33" s="244">
        <v>1009.96</v>
      </c>
      <c r="E33" s="244">
        <v>2259.73</v>
      </c>
      <c r="F33" s="244">
        <v>594.12</v>
      </c>
      <c r="G33" s="244">
        <v>1250.75</v>
      </c>
      <c r="H33" s="244">
        <v>1226.29</v>
      </c>
      <c r="I33" s="244">
        <v>772.8</v>
      </c>
      <c r="J33" s="244">
        <v>1555.12</v>
      </c>
      <c r="K33" s="244">
        <v>1060</v>
      </c>
      <c r="L33" s="244">
        <v>2494.2800000000002</v>
      </c>
      <c r="M33" s="244">
        <v>4464.51</v>
      </c>
      <c r="N33" s="245">
        <f t="shared" si="0"/>
        <v>20285.650000000001</v>
      </c>
      <c r="O33" s="246" t="s">
        <v>182</v>
      </c>
      <c r="P33" s="247">
        <f t="shared" si="4"/>
        <v>499.33907692307696</v>
      </c>
      <c r="Q33" s="248">
        <v>0</v>
      </c>
      <c r="R33" s="247">
        <f t="shared" si="2"/>
        <v>499.33907692307696</v>
      </c>
      <c r="S33" s="249">
        <f t="shared" si="3"/>
        <v>19786.310923076926</v>
      </c>
    </row>
    <row r="34" spans="1:19">
      <c r="A34" s="194" t="s">
        <v>225</v>
      </c>
      <c r="B34" s="244">
        <v>61979.19</v>
      </c>
      <c r="C34" s="244">
        <v>68504.17</v>
      </c>
      <c r="D34" s="244">
        <v>68019.33</v>
      </c>
      <c r="E34" s="244">
        <v>65630.399999999994</v>
      </c>
      <c r="F34" s="244">
        <v>72735.11</v>
      </c>
      <c r="G34" s="244">
        <v>63700.04</v>
      </c>
      <c r="H34" s="244">
        <v>64157.27</v>
      </c>
      <c r="I34" s="244">
        <v>64038.05</v>
      </c>
      <c r="J34" s="244">
        <v>80875.37</v>
      </c>
      <c r="K34" s="244">
        <v>69282.539999999994</v>
      </c>
      <c r="L34" s="244">
        <v>63067.15</v>
      </c>
      <c r="M34" s="244">
        <v>65445.77</v>
      </c>
      <c r="N34" s="245">
        <f t="shared" si="0"/>
        <v>807434.39</v>
      </c>
      <c r="O34" s="246" t="s">
        <v>181</v>
      </c>
      <c r="P34" s="247">
        <f t="shared" si="4"/>
        <v>19875.308061538461</v>
      </c>
      <c r="Q34" s="248">
        <v>0</v>
      </c>
      <c r="R34" s="247">
        <f t="shared" si="2"/>
        <v>19875.308061538461</v>
      </c>
      <c r="S34" s="249">
        <f t="shared" si="3"/>
        <v>787559.08193846152</v>
      </c>
    </row>
    <row r="35" spans="1:19">
      <c r="A35" s="194" t="s">
        <v>226</v>
      </c>
      <c r="B35" s="244">
        <v>201.23</v>
      </c>
      <c r="C35" s="244">
        <v>29</v>
      </c>
      <c r="D35" s="244">
        <v>32</v>
      </c>
      <c r="E35" s="244">
        <v>245.23</v>
      </c>
      <c r="F35" s="244">
        <v>35</v>
      </c>
      <c r="G35" s="244">
        <v>36</v>
      </c>
      <c r="H35" s="244">
        <v>201.23</v>
      </c>
      <c r="I35" s="244">
        <v>40</v>
      </c>
      <c r="J35" s="244">
        <v>43</v>
      </c>
      <c r="K35" s="244">
        <v>258</v>
      </c>
      <c r="L35" s="244">
        <v>61.5</v>
      </c>
      <c r="M35" s="244">
        <v>386.26</v>
      </c>
      <c r="N35" s="245">
        <f t="shared" si="0"/>
        <v>1568.45</v>
      </c>
      <c r="O35" s="246" t="s">
        <v>182</v>
      </c>
      <c r="P35" s="247">
        <f t="shared" si="4"/>
        <v>38.608000000000004</v>
      </c>
      <c r="Q35" s="248">
        <v>0</v>
      </c>
      <c r="R35" s="247">
        <f t="shared" si="2"/>
        <v>38.608000000000004</v>
      </c>
      <c r="S35" s="249">
        <f t="shared" si="3"/>
        <v>1529.8420000000001</v>
      </c>
    </row>
    <row r="36" spans="1:19">
      <c r="A36" s="194" t="s">
        <v>227</v>
      </c>
      <c r="B36" s="244">
        <v>1200</v>
      </c>
      <c r="C36" s="244">
        <v>1200</v>
      </c>
      <c r="D36" s="244">
        <v>1200</v>
      </c>
      <c r="E36" s="244">
        <v>1200</v>
      </c>
      <c r="F36" s="244">
        <v>1200</v>
      </c>
      <c r="G36" s="244">
        <v>1200</v>
      </c>
      <c r="H36" s="244">
        <v>1200</v>
      </c>
      <c r="I36" s="244">
        <v>2800</v>
      </c>
      <c r="J36" s="244">
        <v>1400</v>
      </c>
      <c r="K36" s="244">
        <v>1400</v>
      </c>
      <c r="L36" s="244">
        <v>1400</v>
      </c>
      <c r="M36" s="244">
        <v>1400</v>
      </c>
      <c r="N36" s="245">
        <f t="shared" si="0"/>
        <v>16800</v>
      </c>
      <c r="O36" s="246" t="s">
        <v>182</v>
      </c>
      <c r="P36" s="247">
        <f t="shared" si="4"/>
        <v>413.53846153846155</v>
      </c>
      <c r="Q36" s="248">
        <v>0</v>
      </c>
      <c r="R36" s="247">
        <f t="shared" si="2"/>
        <v>413.53846153846155</v>
      </c>
      <c r="S36" s="249">
        <f t="shared" si="3"/>
        <v>16386.461538461539</v>
      </c>
    </row>
    <row r="37" spans="1:19">
      <c r="A37" s="194" t="s">
        <v>228</v>
      </c>
      <c r="B37" s="244">
        <v>27184</v>
      </c>
      <c r="C37" s="244">
        <v>14118.21</v>
      </c>
      <c r="D37" s="244">
        <v>17947.22</v>
      </c>
      <c r="E37" s="244">
        <v>12347.52</v>
      </c>
      <c r="F37" s="244">
        <v>15101.82</v>
      </c>
      <c r="G37" s="244">
        <v>14803.930000000004</v>
      </c>
      <c r="H37" s="244">
        <v>21825.62</v>
      </c>
      <c r="I37" s="244">
        <v>51316.54</v>
      </c>
      <c r="J37" s="244">
        <v>20619.849999999999</v>
      </c>
      <c r="K37" s="244">
        <v>33344.829999999994</v>
      </c>
      <c r="L37" s="244">
        <v>11756.57</v>
      </c>
      <c r="M37" s="244">
        <v>14578.27</v>
      </c>
      <c r="N37" s="245">
        <f t="shared" si="0"/>
        <v>254944.37999999998</v>
      </c>
      <c r="O37" s="246" t="s">
        <v>178</v>
      </c>
      <c r="P37" s="247">
        <f>N37*R3</f>
        <v>22857.082344827584</v>
      </c>
      <c r="Q37" s="248">
        <v>0</v>
      </c>
      <c r="R37" s="247">
        <f t="shared" si="2"/>
        <v>22857.082344827584</v>
      </c>
      <c r="S37" s="249">
        <f t="shared" si="3"/>
        <v>232087.29765517238</v>
      </c>
    </row>
    <row r="38" spans="1:19">
      <c r="A38" s="194" t="s">
        <v>229</v>
      </c>
      <c r="B38" s="244">
        <v>626.77000000000044</v>
      </c>
      <c r="C38" s="244">
        <v>3932.6</v>
      </c>
      <c r="D38" s="244">
        <v>1086.67</v>
      </c>
      <c r="E38" s="244">
        <v>1834.1200000000017</v>
      </c>
      <c r="F38" s="244">
        <v>879.49</v>
      </c>
      <c r="G38" s="244">
        <v>8279.9</v>
      </c>
      <c r="H38" s="244">
        <v>1878.8400000000001</v>
      </c>
      <c r="I38" s="244">
        <v>2939.9</v>
      </c>
      <c r="J38" s="244">
        <v>15224.27</v>
      </c>
      <c r="K38" s="244">
        <v>4787.5600000000004</v>
      </c>
      <c r="L38" s="244">
        <v>675.11</v>
      </c>
      <c r="M38" s="244">
        <v>1446.8</v>
      </c>
      <c r="N38" s="245">
        <f t="shared" si="0"/>
        <v>43592.030000000006</v>
      </c>
      <c r="O38" s="246" t="s">
        <v>178</v>
      </c>
      <c r="P38" s="247">
        <f>N38*R3</f>
        <v>3908.2509655172421</v>
      </c>
      <c r="Q38" s="248">
        <v>0</v>
      </c>
      <c r="R38" s="247">
        <f t="shared" si="2"/>
        <v>3908.2509655172421</v>
      </c>
      <c r="S38" s="249">
        <f t="shared" si="3"/>
        <v>39683.779034482766</v>
      </c>
    </row>
    <row r="39" spans="1:19">
      <c r="A39" s="194" t="s">
        <v>230</v>
      </c>
      <c r="B39" s="244">
        <v>0</v>
      </c>
      <c r="C39" s="244">
        <v>1390.2</v>
      </c>
      <c r="D39" s="244">
        <v>842.75</v>
      </c>
      <c r="E39" s="244">
        <v>0</v>
      </c>
      <c r="F39" s="244">
        <v>0</v>
      </c>
      <c r="G39" s="244">
        <v>1059.33</v>
      </c>
      <c r="H39" s="244">
        <v>45</v>
      </c>
      <c r="I39" s="244">
        <v>6207.86</v>
      </c>
      <c r="J39" s="244">
        <v>0</v>
      </c>
      <c r="K39" s="244">
        <v>3030</v>
      </c>
      <c r="L39" s="244">
        <v>395</v>
      </c>
      <c r="M39" s="244">
        <v>58.95</v>
      </c>
      <c r="N39" s="245">
        <f t="shared" si="0"/>
        <v>13029.09</v>
      </c>
      <c r="O39" s="246" t="s">
        <v>182</v>
      </c>
      <c r="P39" s="247">
        <f>N39*R7</f>
        <v>320.71606153846153</v>
      </c>
      <c r="Q39" s="248">
        <v>0</v>
      </c>
      <c r="R39" s="247">
        <f t="shared" si="2"/>
        <v>320.71606153846153</v>
      </c>
      <c r="S39" s="249">
        <f t="shared" si="3"/>
        <v>12708.373938461538</v>
      </c>
    </row>
    <row r="40" spans="1:19">
      <c r="A40" s="194" t="s">
        <v>231</v>
      </c>
      <c r="B40" s="244"/>
      <c r="C40" s="244">
        <v>1748.46</v>
      </c>
      <c r="D40" s="244">
        <v>5551.24</v>
      </c>
      <c r="E40" s="244"/>
      <c r="F40" s="244"/>
      <c r="G40" s="244"/>
      <c r="H40" s="244"/>
      <c r="I40" s="244">
        <v>213.83</v>
      </c>
      <c r="J40" s="244"/>
      <c r="K40" s="244"/>
      <c r="L40" s="244">
        <v>64.98</v>
      </c>
      <c r="M40" s="244">
        <v>279.3</v>
      </c>
      <c r="N40" s="245">
        <f t="shared" si="0"/>
        <v>7857.8099999999995</v>
      </c>
      <c r="O40" s="246" t="s">
        <v>181</v>
      </c>
      <c r="P40" s="247">
        <f>N40*R6</f>
        <v>1208.8938461538462</v>
      </c>
      <c r="Q40" s="248">
        <v>0</v>
      </c>
      <c r="R40" s="247">
        <f t="shared" si="2"/>
        <v>1208.8938461538462</v>
      </c>
      <c r="S40" s="249">
        <f t="shared" si="3"/>
        <v>6648.9161538461531</v>
      </c>
    </row>
    <row r="41" spans="1:19">
      <c r="A41" s="194" t="s">
        <v>232</v>
      </c>
      <c r="B41" s="244">
        <v>1781.59</v>
      </c>
      <c r="C41" s="244">
        <v>1443.52</v>
      </c>
      <c r="D41" s="244">
        <v>847.5</v>
      </c>
      <c r="E41" s="244">
        <v>740.37</v>
      </c>
      <c r="F41" s="244">
        <v>817.32</v>
      </c>
      <c r="G41" s="244">
        <v>791.29</v>
      </c>
      <c r="H41" s="244">
        <v>760.1</v>
      </c>
      <c r="I41" s="244">
        <v>770.33</v>
      </c>
      <c r="J41" s="244">
        <v>1641.8</v>
      </c>
      <c r="K41" s="244">
        <v>3642.64</v>
      </c>
      <c r="L41" s="244">
        <v>1779.2</v>
      </c>
      <c r="M41" s="244">
        <v>1614.43</v>
      </c>
      <c r="N41" s="245">
        <f t="shared" si="0"/>
        <v>16630.09</v>
      </c>
      <c r="O41" s="246" t="s">
        <v>182</v>
      </c>
      <c r="P41" s="247">
        <f>N41*R7</f>
        <v>409.35606153846152</v>
      </c>
      <c r="Q41" s="248">
        <v>0</v>
      </c>
      <c r="R41" s="247">
        <f t="shared" si="2"/>
        <v>409.35606153846152</v>
      </c>
      <c r="S41" s="249">
        <f t="shared" si="3"/>
        <v>16220.733938461539</v>
      </c>
    </row>
    <row r="42" spans="1:19">
      <c r="A42" s="194" t="s">
        <v>233</v>
      </c>
      <c r="B42" s="244"/>
      <c r="C42" s="244"/>
      <c r="D42" s="244">
        <v>2484.75</v>
      </c>
      <c r="E42" s="244"/>
      <c r="F42" s="244"/>
      <c r="G42" s="244">
        <v>1747.43</v>
      </c>
      <c r="H42" s="244"/>
      <c r="I42" s="244">
        <v>1895.98</v>
      </c>
      <c r="J42" s="244">
        <v>1166.0899999999999</v>
      </c>
      <c r="K42" s="244">
        <v>100</v>
      </c>
      <c r="L42" s="244"/>
      <c r="M42" s="244"/>
      <c r="N42" s="245">
        <f t="shared" si="0"/>
        <v>7394.25</v>
      </c>
      <c r="O42" s="246" t="s">
        <v>182</v>
      </c>
      <c r="P42" s="247">
        <f>N42*R7</f>
        <v>182.0123076923077</v>
      </c>
      <c r="Q42" s="248">
        <v>0</v>
      </c>
      <c r="R42" s="247">
        <f t="shared" si="2"/>
        <v>182.0123076923077</v>
      </c>
      <c r="S42" s="249">
        <f t="shared" si="3"/>
        <v>7212.2376923076927</v>
      </c>
    </row>
    <row r="43" spans="1:19">
      <c r="A43" s="194" t="s">
        <v>234</v>
      </c>
      <c r="B43" s="250">
        <f>SUM(B18:B42)</f>
        <v>269399.54341666674</v>
      </c>
      <c r="C43" s="250">
        <f t="shared" ref="C43:M43" si="5">SUM(C18:C42)</f>
        <v>254648.65341666667</v>
      </c>
      <c r="D43" s="250">
        <f t="shared" si="5"/>
        <v>289335.13341666659</v>
      </c>
      <c r="E43" s="250">
        <f t="shared" si="5"/>
        <v>260083.24341666666</v>
      </c>
      <c r="F43" s="250">
        <f t="shared" si="5"/>
        <v>268620.00341666664</v>
      </c>
      <c r="G43" s="250">
        <f t="shared" si="5"/>
        <v>285280.54875000002</v>
      </c>
      <c r="H43" s="250">
        <f t="shared" si="5"/>
        <v>258909.01874999999</v>
      </c>
      <c r="I43" s="250">
        <f t="shared" si="5"/>
        <v>304001.10160714283</v>
      </c>
      <c r="J43" s="250">
        <f t="shared" si="5"/>
        <v>290878.7416071429</v>
      </c>
      <c r="K43" s="250">
        <f t="shared" si="5"/>
        <v>304859.9866071429</v>
      </c>
      <c r="L43" s="250">
        <f t="shared" si="5"/>
        <v>272995.02660714282</v>
      </c>
      <c r="M43" s="250">
        <f t="shared" si="5"/>
        <v>267079.7170238095</v>
      </c>
      <c r="N43" s="251">
        <f>SUM(B43:M43)</f>
        <v>3326090.7180357142</v>
      </c>
      <c r="O43" s="252"/>
      <c r="P43" s="253">
        <f>SUM(P18:P42)</f>
        <v>165670.09484869847</v>
      </c>
      <c r="Q43" s="254">
        <f>SUM(Q18:Q42)</f>
        <v>6706.1361985119001</v>
      </c>
      <c r="R43" s="253">
        <f>SUM(R18:R42)</f>
        <v>172376.23104721037</v>
      </c>
      <c r="S43" s="255">
        <f>SUM(S18:S42)</f>
        <v>3160420.6231870167</v>
      </c>
    </row>
    <row r="44" spans="1:19">
      <c r="B44" s="244"/>
      <c r="C44" s="244"/>
      <c r="D44" s="244"/>
      <c r="E44" s="244"/>
      <c r="F44" s="244"/>
      <c r="G44" s="244"/>
      <c r="H44" s="244"/>
      <c r="I44" s="244"/>
      <c r="J44" s="244"/>
      <c r="K44" s="244"/>
      <c r="L44" s="244"/>
      <c r="M44" s="244"/>
      <c r="N44" s="245"/>
      <c r="O44" s="246"/>
      <c r="P44" s="247"/>
      <c r="Q44" s="248"/>
      <c r="R44" s="247"/>
      <c r="S44" s="249"/>
    </row>
    <row r="45" spans="1:19">
      <c r="A45" s="194" t="s">
        <v>235</v>
      </c>
      <c r="B45" s="244">
        <v>135</v>
      </c>
      <c r="C45" s="244"/>
      <c r="D45" s="244">
        <v>459.99</v>
      </c>
      <c r="E45" s="244">
        <v>125</v>
      </c>
      <c r="F45" s="244"/>
      <c r="G45" s="244">
        <v>500</v>
      </c>
      <c r="H45" s="244">
        <v>135</v>
      </c>
      <c r="I45" s="244"/>
      <c r="J45" s="244">
        <v>40</v>
      </c>
      <c r="K45" s="244">
        <v>300</v>
      </c>
      <c r="L45" s="244">
        <v>250</v>
      </c>
      <c r="M45" s="244">
        <v>850</v>
      </c>
      <c r="N45" s="245">
        <f t="shared" si="0"/>
        <v>2794.99</v>
      </c>
      <c r="O45" s="246" t="s">
        <v>182</v>
      </c>
      <c r="P45" s="247">
        <f>N45*R7</f>
        <v>68.799753846153834</v>
      </c>
      <c r="Q45" s="248">
        <v>0</v>
      </c>
      <c r="R45" s="247">
        <f>P45+Q45</f>
        <v>68.799753846153834</v>
      </c>
      <c r="S45" s="249">
        <f>N45-P45</f>
        <v>2726.1902461538461</v>
      </c>
    </row>
    <row r="46" spans="1:19">
      <c r="A46" s="194" t="s">
        <v>35</v>
      </c>
      <c r="B46" s="244">
        <f>'Interest Expense'!$H$16</f>
        <v>5707.3841666666667</v>
      </c>
      <c r="C46" s="244">
        <f>'Interest Expense'!$H$16</f>
        <v>5707.3841666666667</v>
      </c>
      <c r="D46" s="244">
        <f>'Interest Expense'!$H$16</f>
        <v>5707.3841666666667</v>
      </c>
      <c r="E46" s="244">
        <f>'Interest Expense'!$H$16</f>
        <v>5707.3841666666667</v>
      </c>
      <c r="F46" s="244">
        <f>'Interest Expense'!$H$16</f>
        <v>5707.3841666666667</v>
      </c>
      <c r="G46" s="244">
        <f>'Interest Expense'!$H$16</f>
        <v>5707.3841666666667</v>
      </c>
      <c r="H46" s="244">
        <f>'Interest Expense'!$H$16+1</f>
        <v>5708.3841666666667</v>
      </c>
      <c r="I46" s="244">
        <f>'Interest Expense'!$H$16</f>
        <v>5707.3841666666667</v>
      </c>
      <c r="J46" s="244">
        <f>'Interest Expense'!$H$16</f>
        <v>5707.3841666666667</v>
      </c>
      <c r="K46" s="244">
        <f>'Interest Expense'!J16</f>
        <v>5018.0400000000009</v>
      </c>
      <c r="L46" s="244">
        <f>'Interest Expense'!K16</f>
        <v>4787.33</v>
      </c>
      <c r="M46" s="244">
        <f>'Interest Expense'!L16</f>
        <v>8683.4699999999993</v>
      </c>
      <c r="N46" s="245">
        <f t="shared" si="0"/>
        <v>69856.297500000001</v>
      </c>
      <c r="O46" s="246" t="s">
        <v>203</v>
      </c>
      <c r="P46" s="247">
        <f>'Interest Expense'!O16</f>
        <v>6271.482750000001</v>
      </c>
      <c r="Q46" s="248">
        <f>'Restating Matrix'!S42</f>
        <v>3142.4112499999992</v>
      </c>
      <c r="R46" s="247">
        <f>P46+Q46</f>
        <v>9413.8940000000002</v>
      </c>
      <c r="S46" s="249">
        <f>N46-P46</f>
        <v>63584.814749999998</v>
      </c>
    </row>
    <row r="47" spans="1:19">
      <c r="B47" s="244"/>
      <c r="C47" s="244"/>
      <c r="D47" s="244"/>
      <c r="E47" s="244"/>
      <c r="F47" s="244"/>
      <c r="G47" s="244"/>
      <c r="H47" s="244"/>
      <c r="I47" s="244"/>
      <c r="J47" s="244"/>
      <c r="K47" s="244"/>
      <c r="L47" s="244"/>
      <c r="M47" s="244"/>
      <c r="N47" s="245">
        <f t="shared" si="0"/>
        <v>0</v>
      </c>
      <c r="O47" s="246"/>
      <c r="P47" s="247"/>
      <c r="Q47" s="248">
        <v>0</v>
      </c>
      <c r="R47" s="247">
        <f>P47+Q47</f>
        <v>0</v>
      </c>
      <c r="S47" s="249">
        <f>N47-P47</f>
        <v>0</v>
      </c>
    </row>
    <row r="48" spans="1:19">
      <c r="B48" s="244"/>
      <c r="C48" s="244"/>
      <c r="D48" s="244"/>
      <c r="E48" s="244"/>
      <c r="F48" s="244"/>
      <c r="G48" s="244"/>
      <c r="H48" s="244"/>
      <c r="I48" s="244"/>
      <c r="J48" s="244"/>
      <c r="K48" s="244"/>
      <c r="L48" s="244"/>
      <c r="M48" s="244"/>
      <c r="N48" s="245">
        <f t="shared" si="0"/>
        <v>0</v>
      </c>
      <c r="O48" s="246"/>
      <c r="P48" s="247"/>
      <c r="Q48" s="248">
        <v>0</v>
      </c>
      <c r="R48" s="247">
        <f>P48+Q48</f>
        <v>0</v>
      </c>
      <c r="S48" s="249">
        <f>N48-P48</f>
        <v>0</v>
      </c>
    </row>
    <row r="49" spans="1:19">
      <c r="A49" s="194" t="s">
        <v>236</v>
      </c>
      <c r="B49" s="250">
        <f>SUM(B45:B48)</f>
        <v>5842.3841666666667</v>
      </c>
      <c r="C49" s="250">
        <f t="shared" ref="C49:L49" si="6">SUM(C45:C48)</f>
        <v>5707.3841666666667</v>
      </c>
      <c r="D49" s="250">
        <f t="shared" si="6"/>
        <v>6167.3741666666665</v>
      </c>
      <c r="E49" s="250">
        <f t="shared" si="6"/>
        <v>5832.3841666666667</v>
      </c>
      <c r="F49" s="250">
        <f t="shared" si="6"/>
        <v>5707.3841666666667</v>
      </c>
      <c r="G49" s="250">
        <f t="shared" si="6"/>
        <v>6207.3841666666667</v>
      </c>
      <c r="H49" s="250">
        <f t="shared" si="6"/>
        <v>5843.3841666666667</v>
      </c>
      <c r="I49" s="250">
        <f t="shared" si="6"/>
        <v>5707.3841666666667</v>
      </c>
      <c r="J49" s="250">
        <f t="shared" si="6"/>
        <v>5747.3841666666667</v>
      </c>
      <c r="K49" s="250">
        <f t="shared" si="6"/>
        <v>5318.0400000000009</v>
      </c>
      <c r="L49" s="250">
        <f t="shared" si="6"/>
        <v>5037.33</v>
      </c>
      <c r="M49" s="250">
        <f>SUM(M45:M48)</f>
        <v>9533.4699999999993</v>
      </c>
      <c r="N49" s="251">
        <f t="shared" si="0"/>
        <v>72651.287500000006</v>
      </c>
      <c r="O49" s="252"/>
      <c r="P49" s="253">
        <f>SUM(P45:P48)</f>
        <v>6340.2825038461551</v>
      </c>
      <c r="Q49" s="254">
        <f t="shared" ref="Q49:S49" si="7">SUM(Q45:Q48)</f>
        <v>3142.4112499999992</v>
      </c>
      <c r="R49" s="253">
        <f t="shared" si="7"/>
        <v>9482.6937538461534</v>
      </c>
      <c r="S49" s="255">
        <f t="shared" si="7"/>
        <v>66311.004996153846</v>
      </c>
    </row>
    <row r="50" spans="1:19">
      <c r="B50" s="244"/>
      <c r="C50" s="244"/>
      <c r="D50" s="244"/>
      <c r="E50" s="244"/>
      <c r="F50" s="244"/>
      <c r="G50" s="244"/>
      <c r="H50" s="244"/>
      <c r="I50" s="244"/>
      <c r="J50" s="244"/>
      <c r="K50" s="244"/>
      <c r="L50" s="244"/>
      <c r="M50" s="244"/>
      <c r="N50" s="245"/>
      <c r="O50" s="246"/>
      <c r="P50" s="247"/>
      <c r="Q50" s="248"/>
      <c r="R50" s="247"/>
      <c r="S50" s="249"/>
    </row>
    <row r="51" spans="1:19">
      <c r="A51" s="194" t="s">
        <v>237</v>
      </c>
      <c r="B51" s="244">
        <v>5257.06</v>
      </c>
      <c r="C51" s="244">
        <v>5663.41</v>
      </c>
      <c r="D51" s="244">
        <v>5562.72</v>
      </c>
      <c r="E51" s="244">
        <v>6076</v>
      </c>
      <c r="F51" s="244">
        <v>4984</v>
      </c>
      <c r="G51" s="244">
        <v>3689.89</v>
      </c>
      <c r="H51" s="244">
        <v>6900.36</v>
      </c>
      <c r="I51" s="244">
        <v>7150.69</v>
      </c>
      <c r="J51" s="244">
        <v>4967.7299999999996</v>
      </c>
      <c r="K51" s="244">
        <v>6204.29</v>
      </c>
      <c r="L51" s="244">
        <v>2061.15</v>
      </c>
      <c r="M51" s="244">
        <v>9103.01</v>
      </c>
      <c r="N51" s="245">
        <f t="shared" si="0"/>
        <v>67620.31</v>
      </c>
      <c r="O51" s="246" t="s">
        <v>203</v>
      </c>
      <c r="P51" s="247">
        <v>2529.0700000000002</v>
      </c>
      <c r="Q51" s="248">
        <v>0</v>
      </c>
      <c r="R51" s="247">
        <f>P51+Q51</f>
        <v>2529.0700000000002</v>
      </c>
      <c r="S51" s="249">
        <f>N51-P51</f>
        <v>65091.24</v>
      </c>
    </row>
    <row r="52" spans="1:19">
      <c r="B52" s="244"/>
      <c r="C52" s="244"/>
      <c r="D52" s="244"/>
      <c r="E52" s="244"/>
      <c r="F52" s="244"/>
      <c r="G52" s="244"/>
      <c r="H52" s="244"/>
      <c r="I52" s="244"/>
      <c r="J52" s="244"/>
      <c r="K52" s="244"/>
      <c r="L52" s="244"/>
      <c r="M52" s="244"/>
      <c r="N52" s="245"/>
      <c r="O52" s="246"/>
      <c r="P52" s="247"/>
      <c r="Q52" s="248"/>
      <c r="R52" s="247"/>
      <c r="S52" s="249"/>
    </row>
    <row r="53" spans="1:19">
      <c r="A53" s="194" t="s">
        <v>238</v>
      </c>
      <c r="B53" s="250">
        <f>SUM(B43,B49,B51)</f>
        <v>280498.98758333339</v>
      </c>
      <c r="C53" s="250">
        <f t="shared" ref="C53:M53" si="8">SUM(C43,C49,C51)</f>
        <v>266019.4475833333</v>
      </c>
      <c r="D53" s="250">
        <f t="shared" si="8"/>
        <v>301065.22758333321</v>
      </c>
      <c r="E53" s="250">
        <f t="shared" si="8"/>
        <v>271991.62758333335</v>
      </c>
      <c r="F53" s="250">
        <f t="shared" si="8"/>
        <v>279311.3875833333</v>
      </c>
      <c r="G53" s="250">
        <f t="shared" si="8"/>
        <v>295177.82291666669</v>
      </c>
      <c r="H53" s="250">
        <f t="shared" si="8"/>
        <v>271652.76291666663</v>
      </c>
      <c r="I53" s="250">
        <f t="shared" si="8"/>
        <v>316859.17577380949</v>
      </c>
      <c r="J53" s="250">
        <f t="shared" si="8"/>
        <v>301593.85577380954</v>
      </c>
      <c r="K53" s="250">
        <f t="shared" si="8"/>
        <v>316382.31660714286</v>
      </c>
      <c r="L53" s="250">
        <f t="shared" si="8"/>
        <v>280093.50660714286</v>
      </c>
      <c r="M53" s="250">
        <f t="shared" si="8"/>
        <v>285716.19702380948</v>
      </c>
      <c r="N53" s="251">
        <f>SUM(B53:M53)</f>
        <v>3466362.3155357139</v>
      </c>
      <c r="O53" s="252"/>
      <c r="P53" s="253">
        <f>P43+P49+P51</f>
        <v>174539.44735254464</v>
      </c>
      <c r="Q53" s="254">
        <f t="shared" ref="Q53:S53" si="9">Q43+Q49+Q51</f>
        <v>9848.5474485118993</v>
      </c>
      <c r="R53" s="253">
        <f t="shared" si="9"/>
        <v>184387.99480105654</v>
      </c>
      <c r="S53" s="255">
        <f t="shared" si="9"/>
        <v>3291822.8681831709</v>
      </c>
    </row>
    <row r="54" spans="1:19">
      <c r="B54" s="244"/>
      <c r="C54" s="244"/>
      <c r="D54" s="244"/>
      <c r="E54" s="244"/>
      <c r="F54" s="244"/>
      <c r="G54" s="244"/>
      <c r="H54" s="244"/>
      <c r="I54" s="244"/>
      <c r="J54" s="244"/>
      <c r="K54" s="244"/>
      <c r="L54" s="244"/>
      <c r="M54" s="244"/>
      <c r="N54" s="245"/>
      <c r="O54" s="246"/>
      <c r="P54" s="247"/>
      <c r="Q54" s="248"/>
      <c r="R54" s="247"/>
      <c r="S54" s="249"/>
    </row>
    <row r="55" spans="1:19" ht="15" thickBot="1">
      <c r="A55" s="194" t="s">
        <v>239</v>
      </c>
      <c r="B55" s="256">
        <f>B16-B53</f>
        <v>26361.662416666572</v>
      </c>
      <c r="C55" s="256">
        <f t="shared" ref="C55:M55" si="10">C16-C53</f>
        <v>39991.562416666711</v>
      </c>
      <c r="D55" s="256">
        <f t="shared" si="10"/>
        <v>-2125.5875833332539</v>
      </c>
      <c r="E55" s="256">
        <f t="shared" si="10"/>
        <v>39173.972416666627</v>
      </c>
      <c r="F55" s="256">
        <f t="shared" si="10"/>
        <v>103748.63241666666</v>
      </c>
      <c r="G55" s="256">
        <f t="shared" si="10"/>
        <v>-1050.8029166666674</v>
      </c>
      <c r="H55" s="256">
        <f t="shared" si="10"/>
        <v>73448.207083333342</v>
      </c>
      <c r="I55" s="256">
        <f t="shared" si="10"/>
        <v>-228.59577380953124</v>
      </c>
      <c r="J55" s="256">
        <f t="shared" si="10"/>
        <v>-1996.8857738095103</v>
      </c>
      <c r="K55" s="256">
        <f t="shared" si="10"/>
        <v>7311.7133928571129</v>
      </c>
      <c r="L55" s="256">
        <f t="shared" si="10"/>
        <v>47493.813392857148</v>
      </c>
      <c r="M55" s="256">
        <f t="shared" si="10"/>
        <v>27888.782976190501</v>
      </c>
      <c r="N55" s="257">
        <f>SUM(B55:M55)</f>
        <v>360016.47446428571</v>
      </c>
      <c r="O55" s="258"/>
      <c r="P55" s="259">
        <f>P16-P53</f>
        <v>-30021.437352544628</v>
      </c>
      <c r="Q55" s="260">
        <f t="shared" ref="Q55:S55" si="11">Q16-Q53</f>
        <v>-9848.5474485118993</v>
      </c>
      <c r="R55" s="259">
        <f t="shared" si="11"/>
        <v>-39869.984801056533</v>
      </c>
      <c r="S55" s="259">
        <f t="shared" si="11"/>
        <v>390037.91181682935</v>
      </c>
    </row>
    <row r="56" spans="1:19">
      <c r="B56" s="237"/>
      <c r="C56" s="237"/>
      <c r="D56" s="237"/>
      <c r="E56" s="237"/>
      <c r="F56" s="237"/>
      <c r="G56" s="237"/>
      <c r="H56" s="237"/>
      <c r="I56" s="237"/>
      <c r="J56" s="237"/>
      <c r="K56" s="237"/>
      <c r="L56" s="237"/>
      <c r="M56" s="237"/>
      <c r="N56" s="238"/>
      <c r="O56" s="235"/>
      <c r="P56" s="239"/>
      <c r="Q56" s="240"/>
      <c r="R56" s="239"/>
      <c r="S56" s="241"/>
    </row>
    <row r="57" spans="1:19">
      <c r="B57" s="237"/>
      <c r="C57" s="237"/>
      <c r="D57" s="237"/>
      <c r="E57" s="237"/>
      <c r="F57" s="237"/>
      <c r="G57" s="237"/>
      <c r="H57" s="237"/>
      <c r="I57" s="237"/>
      <c r="J57" s="237"/>
      <c r="K57" s="237"/>
      <c r="L57" s="237"/>
      <c r="M57" s="237"/>
      <c r="N57" s="238"/>
      <c r="O57" s="235"/>
      <c r="P57" s="239"/>
      <c r="Q57" s="240"/>
      <c r="R57" s="239"/>
      <c r="S57" s="241"/>
    </row>
    <row r="58" spans="1:19">
      <c r="B58" s="237"/>
      <c r="C58" s="237"/>
      <c r="D58" s="237"/>
      <c r="E58" s="237"/>
      <c r="F58" s="237"/>
      <c r="G58" s="237"/>
      <c r="H58" s="237"/>
      <c r="I58" s="237"/>
      <c r="J58" s="237"/>
      <c r="K58" s="237"/>
      <c r="L58" s="237"/>
      <c r="M58" s="237"/>
      <c r="N58" s="238"/>
      <c r="O58" s="235"/>
      <c r="P58" s="239"/>
      <c r="Q58" s="240"/>
      <c r="R58" s="239"/>
      <c r="S58" s="241"/>
    </row>
  </sheetData>
  <mergeCells count="2">
    <mergeCell ref="B9:N9"/>
    <mergeCell ref="O9:S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7845-653A-434A-B194-BBF30AB7EE3E}">
  <dimension ref="A1:V38"/>
  <sheetViews>
    <sheetView topLeftCell="A7" workbookViewId="0">
      <selection activeCell="A2" sqref="A2"/>
    </sheetView>
  </sheetViews>
  <sheetFormatPr defaultRowHeight="14.6"/>
  <cols>
    <col min="1" max="2" width="9" style="194"/>
    <col min="3" max="3" width="18.9375" style="194" customWidth="1"/>
    <col min="4" max="4" width="10.875" style="194" bestFit="1" customWidth="1"/>
    <col min="5" max="5" width="8.6875" style="194" bestFit="1" customWidth="1"/>
    <col min="6" max="6" width="8.375" style="194" bestFit="1" customWidth="1"/>
    <col min="7" max="7" width="8.6875" style="194" bestFit="1" customWidth="1"/>
    <col min="8" max="8" width="8.75" style="194" bestFit="1" customWidth="1"/>
    <col min="9" max="9" width="8.375" style="194" customWidth="1"/>
    <col min="10" max="10" width="8.75" style="194" bestFit="1" customWidth="1"/>
    <col min="11" max="12" width="9.0625" style="194" bestFit="1" customWidth="1"/>
    <col min="13" max="13" width="8.6875" style="194" bestFit="1" customWidth="1"/>
    <col min="14" max="14" width="8.3125" style="194" bestFit="1" customWidth="1"/>
    <col min="15" max="15" width="9.9375" style="194" bestFit="1" customWidth="1"/>
    <col min="16" max="16" width="1.8125" style="194" customWidth="1"/>
    <col min="17" max="17" width="9.125" style="194" bestFit="1" customWidth="1"/>
    <col min="18" max="18" width="9.0625" style="194" bestFit="1" customWidth="1"/>
    <col min="19" max="19" width="2.4375" style="194" customWidth="1"/>
    <col min="20" max="20" width="9.125" style="194" bestFit="1" customWidth="1"/>
    <col min="21" max="22" width="9.0625" style="194" bestFit="1" customWidth="1"/>
    <col min="23" max="16384" width="9" style="194"/>
  </cols>
  <sheetData>
    <row r="1" spans="1:22">
      <c r="A1" s="194" t="s">
        <v>240</v>
      </c>
    </row>
    <row r="2" spans="1:22">
      <c r="A2" s="194" t="s">
        <v>241</v>
      </c>
    </row>
    <row r="5" spans="1:22">
      <c r="G5" s="261"/>
      <c r="H5" s="261"/>
      <c r="I5" s="261"/>
      <c r="J5" s="261"/>
      <c r="K5" s="261"/>
      <c r="L5" s="261"/>
      <c r="M5" s="261"/>
      <c r="N5" s="261"/>
      <c r="O5" s="261" t="s">
        <v>103</v>
      </c>
      <c r="Q5" s="328" t="s">
        <v>242</v>
      </c>
      <c r="R5" s="328"/>
      <c r="T5" s="328" t="s">
        <v>243</v>
      </c>
      <c r="U5" s="328"/>
      <c r="V5" s="328"/>
    </row>
    <row r="6" spans="1:22">
      <c r="D6" s="264" t="s">
        <v>244</v>
      </c>
      <c r="E6" s="230"/>
      <c r="F6" s="230"/>
      <c r="G6" s="264" t="s">
        <v>245</v>
      </c>
      <c r="H6" s="264" t="s">
        <v>246</v>
      </c>
      <c r="I6" s="264" t="s">
        <v>247</v>
      </c>
      <c r="J6" s="264"/>
      <c r="K6" s="261"/>
      <c r="L6" s="261"/>
      <c r="M6" s="261"/>
      <c r="N6" s="261" t="s">
        <v>248</v>
      </c>
      <c r="O6" s="264" t="s">
        <v>249</v>
      </c>
      <c r="Q6" s="261" t="s">
        <v>250</v>
      </c>
      <c r="R6" s="261" t="s">
        <v>49</v>
      </c>
      <c r="T6" s="261" t="s">
        <v>175</v>
      </c>
      <c r="U6" s="261" t="s">
        <v>250</v>
      </c>
      <c r="V6" s="261" t="s">
        <v>49</v>
      </c>
    </row>
    <row r="7" spans="1:22" ht="17.149999999999999">
      <c r="D7" s="205">
        <v>45382</v>
      </c>
      <c r="E7" s="230"/>
      <c r="F7" s="230"/>
      <c r="G7" s="206" t="s">
        <v>251</v>
      </c>
      <c r="H7" s="206" t="s">
        <v>252</v>
      </c>
      <c r="I7" s="206" t="s">
        <v>253</v>
      </c>
      <c r="J7" s="206" t="s">
        <v>254</v>
      </c>
      <c r="K7" s="206" t="s">
        <v>255</v>
      </c>
      <c r="L7" s="206" t="s">
        <v>256</v>
      </c>
      <c r="M7" s="206" t="s">
        <v>103</v>
      </c>
      <c r="N7" s="206" t="s">
        <v>257</v>
      </c>
      <c r="O7" s="206" t="s">
        <v>245</v>
      </c>
      <c r="Q7" s="206" t="s">
        <v>48</v>
      </c>
      <c r="R7" s="206" t="s">
        <v>258</v>
      </c>
      <c r="T7" s="195" t="s">
        <v>259</v>
      </c>
      <c r="U7" s="206" t="s">
        <v>48</v>
      </c>
      <c r="V7" s="206" t="s">
        <v>258</v>
      </c>
    </row>
    <row r="8" spans="1:22">
      <c r="C8" s="196" t="s">
        <v>166</v>
      </c>
      <c r="D8" s="230">
        <v>692696.67</v>
      </c>
      <c r="E8" s="230"/>
      <c r="F8" s="230"/>
      <c r="G8" s="230">
        <v>41464.5</v>
      </c>
      <c r="H8" s="230">
        <f>G8/12</f>
        <v>3455.375</v>
      </c>
      <c r="I8" s="230">
        <f>H8*9</f>
        <v>31098.375</v>
      </c>
      <c r="J8" s="230">
        <v>3070.04</v>
      </c>
      <c r="K8" s="230">
        <v>3010.51</v>
      </c>
      <c r="L8" s="230">
        <v>2950.74</v>
      </c>
      <c r="M8" s="230">
        <f t="shared" ref="M8:M15" si="0">SUM(I8:L8)</f>
        <v>40129.665000000001</v>
      </c>
      <c r="N8" s="243">
        <v>0.1</v>
      </c>
      <c r="O8" s="262">
        <f t="shared" ref="O8:O15" si="1">N8*M8</f>
        <v>4012.9665000000005</v>
      </c>
      <c r="Q8" s="265">
        <v>0.05</v>
      </c>
      <c r="R8" s="266">
        <f t="shared" ref="R8:R14" si="2">Q8*D8/$D$15</f>
        <v>2.3416250018575557E-2</v>
      </c>
      <c r="T8" s="262">
        <f t="shared" ref="T8:T14" si="3">N8*D8</f>
        <v>69269.667000000001</v>
      </c>
      <c r="U8" s="265">
        <v>0.05</v>
      </c>
      <c r="V8" s="266">
        <f>U8*T8/$T$16</f>
        <v>1.952321256026775E-2</v>
      </c>
    </row>
    <row r="9" spans="1:22">
      <c r="C9" s="196" t="s">
        <v>167</v>
      </c>
      <c r="D9" s="230">
        <v>345107.87</v>
      </c>
      <c r="E9" s="230"/>
      <c r="F9" s="230"/>
      <c r="G9" s="230"/>
      <c r="H9" s="230"/>
      <c r="I9" s="230"/>
      <c r="J9" s="230"/>
      <c r="K9" s="230"/>
      <c r="L9" s="230">
        <f>2033.88+2075</f>
        <v>4108.88</v>
      </c>
      <c r="M9" s="230">
        <f t="shared" si="0"/>
        <v>4108.88</v>
      </c>
      <c r="N9" s="243">
        <v>0.25</v>
      </c>
      <c r="O9" s="262">
        <f t="shared" si="1"/>
        <v>1027.22</v>
      </c>
      <c r="Q9" s="265">
        <v>6.973E-2</v>
      </c>
      <c r="R9" s="266">
        <f t="shared" si="2"/>
        <v>1.6269670995406823E-2</v>
      </c>
      <c r="T9" s="262">
        <f t="shared" si="3"/>
        <v>86276.967499999999</v>
      </c>
      <c r="U9" s="265">
        <v>6.973E-2</v>
      </c>
      <c r="V9" s="266">
        <f t="shared" ref="V9:V14" si="4">U9*T9/$T$16</f>
        <v>3.3911946284842467E-2</v>
      </c>
    </row>
    <row r="10" spans="1:22">
      <c r="C10" s="196" t="s">
        <v>168</v>
      </c>
      <c r="D10" s="230">
        <v>197666.39</v>
      </c>
      <c r="E10" s="230"/>
      <c r="F10" s="230"/>
      <c r="G10" s="230">
        <v>8773.14</v>
      </c>
      <c r="H10" s="230">
        <f>G10/12</f>
        <v>731.09499999999991</v>
      </c>
      <c r="I10" s="230">
        <f>H10*9</f>
        <v>6579.8549999999996</v>
      </c>
      <c r="J10" s="230">
        <v>730.37</v>
      </c>
      <c r="K10" s="230">
        <v>730.37</v>
      </c>
      <c r="L10" s="230">
        <v>679.01</v>
      </c>
      <c r="M10" s="230">
        <f t="shared" si="0"/>
        <v>8719.6049999999996</v>
      </c>
      <c r="N10" s="243">
        <v>0</v>
      </c>
      <c r="O10" s="262">
        <f t="shared" si="1"/>
        <v>0</v>
      </c>
      <c r="Q10" s="265">
        <v>4.2500000000000003E-2</v>
      </c>
      <c r="R10" s="266">
        <f t="shared" si="2"/>
        <v>5.6797079264620616E-3</v>
      </c>
      <c r="T10" s="262">
        <f t="shared" si="3"/>
        <v>0</v>
      </c>
      <c r="U10" s="265">
        <v>4.2500000000000003E-2</v>
      </c>
      <c r="V10" s="266">
        <f t="shared" si="4"/>
        <v>0</v>
      </c>
    </row>
    <row r="11" spans="1:22">
      <c r="C11" s="196" t="s">
        <v>169</v>
      </c>
      <c r="D11" s="230">
        <v>87793.63</v>
      </c>
      <c r="E11" s="230"/>
      <c r="F11" s="230"/>
      <c r="G11" s="230">
        <v>7125.38</v>
      </c>
      <c r="H11" s="230">
        <f t="shared" ref="H11:H15" si="5">G11/12</f>
        <v>593.78166666666664</v>
      </c>
      <c r="I11" s="230">
        <f t="shared" ref="I11:I15" si="6">H11*9</f>
        <v>5344.0349999999999</v>
      </c>
      <c r="J11" s="230">
        <v>425.18</v>
      </c>
      <c r="K11" s="230">
        <v>396.99</v>
      </c>
      <c r="L11" s="230">
        <v>344.91</v>
      </c>
      <c r="M11" s="230">
        <f t="shared" si="0"/>
        <v>6511.1149999999998</v>
      </c>
      <c r="N11" s="243">
        <v>0</v>
      </c>
      <c r="O11" s="262">
        <f t="shared" si="1"/>
        <v>0</v>
      </c>
      <c r="Q11" s="265">
        <v>4.4999999999999998E-2</v>
      </c>
      <c r="R11" s="266">
        <f t="shared" si="2"/>
        <v>2.6710361276985556E-3</v>
      </c>
      <c r="T11" s="262">
        <f t="shared" si="3"/>
        <v>0</v>
      </c>
      <c r="U11" s="265">
        <v>4.4999999999999998E-2</v>
      </c>
      <c r="V11" s="266">
        <f t="shared" si="4"/>
        <v>0</v>
      </c>
    </row>
    <row r="12" spans="1:22">
      <c r="C12" s="196" t="s">
        <v>170</v>
      </c>
      <c r="D12" s="230">
        <v>87426.87</v>
      </c>
      <c r="E12" s="230"/>
      <c r="F12" s="230"/>
      <c r="G12" s="230">
        <v>5156.78</v>
      </c>
      <c r="H12" s="230">
        <f t="shared" si="5"/>
        <v>429.73166666666663</v>
      </c>
      <c r="I12" s="230">
        <f t="shared" si="6"/>
        <v>3867.5849999999996</v>
      </c>
      <c r="J12" s="230">
        <v>370.6</v>
      </c>
      <c r="K12" s="230">
        <v>360.06</v>
      </c>
      <c r="L12" s="230">
        <v>326.94</v>
      </c>
      <c r="M12" s="230">
        <f t="shared" si="0"/>
        <v>4925.1849999999995</v>
      </c>
      <c r="N12" s="243">
        <v>0.25</v>
      </c>
      <c r="O12" s="262">
        <f t="shared" si="1"/>
        <v>1231.2962499999999</v>
      </c>
      <c r="Q12" s="265">
        <v>4.4999999999999998E-2</v>
      </c>
      <c r="R12" s="266">
        <f t="shared" si="2"/>
        <v>2.6598778100598527E-3</v>
      </c>
      <c r="T12" s="262">
        <f t="shared" si="3"/>
        <v>21856.717499999999</v>
      </c>
      <c r="U12" s="265">
        <v>4.4999999999999998E-2</v>
      </c>
      <c r="V12" s="266">
        <f t="shared" si="4"/>
        <v>5.5441584187202958E-3</v>
      </c>
    </row>
    <row r="13" spans="1:22">
      <c r="C13" s="196" t="s">
        <v>171</v>
      </c>
      <c r="D13" s="230">
        <v>58117.21</v>
      </c>
      <c r="E13" s="230"/>
      <c r="F13" s="230"/>
      <c r="G13" s="230">
        <v>3851.95</v>
      </c>
      <c r="H13" s="230">
        <f t="shared" si="5"/>
        <v>320.99583333333334</v>
      </c>
      <c r="I13" s="230">
        <f t="shared" si="6"/>
        <v>2888.9625000000001</v>
      </c>
      <c r="J13" s="230">
        <v>250.96</v>
      </c>
      <c r="K13" s="230">
        <v>239.99</v>
      </c>
      <c r="L13" s="230">
        <v>228.99</v>
      </c>
      <c r="M13" s="230">
        <f t="shared" si="0"/>
        <v>3608.9025000000001</v>
      </c>
      <c r="N13" s="243">
        <v>0</v>
      </c>
      <c r="O13" s="262">
        <f t="shared" si="1"/>
        <v>0</v>
      </c>
      <c r="Q13" s="265">
        <v>4.4999999999999998E-2</v>
      </c>
      <c r="R13" s="266">
        <f t="shared" si="2"/>
        <v>1.7681598032914662E-3</v>
      </c>
      <c r="T13" s="262">
        <f t="shared" si="3"/>
        <v>0</v>
      </c>
      <c r="U13" s="265">
        <v>4.4999999999999998E-2</v>
      </c>
      <c r="V13" s="266">
        <f t="shared" si="4"/>
        <v>0</v>
      </c>
    </row>
    <row r="14" spans="1:22">
      <c r="C14" s="196" t="s">
        <v>172</v>
      </c>
      <c r="D14" s="230">
        <v>10285.299999999999</v>
      </c>
      <c r="E14" s="230"/>
      <c r="F14" s="230"/>
      <c r="G14" s="230">
        <v>1070.47</v>
      </c>
      <c r="H14" s="230">
        <f t="shared" si="5"/>
        <v>89.205833333333331</v>
      </c>
      <c r="I14" s="230">
        <f t="shared" si="6"/>
        <v>802.85249999999996</v>
      </c>
      <c r="J14" s="230">
        <v>54.79</v>
      </c>
      <c r="K14" s="230">
        <v>49.41</v>
      </c>
      <c r="L14" s="230">
        <v>44</v>
      </c>
      <c r="M14" s="230">
        <f t="shared" si="0"/>
        <v>951.0524999999999</v>
      </c>
      <c r="N14" s="243">
        <v>0</v>
      </c>
      <c r="O14" s="262">
        <f t="shared" si="1"/>
        <v>0</v>
      </c>
      <c r="Q14" s="265">
        <v>4.4999999999999998E-2</v>
      </c>
      <c r="R14" s="266">
        <f t="shared" si="2"/>
        <v>3.1292028686156332E-4</v>
      </c>
      <c r="T14" s="262">
        <f t="shared" si="3"/>
        <v>0</v>
      </c>
      <c r="U14" s="265">
        <v>4.4999999999999998E-2</v>
      </c>
      <c r="V14" s="266">
        <f t="shared" si="4"/>
        <v>0</v>
      </c>
    </row>
    <row r="15" spans="1:22">
      <c r="D15" s="231">
        <f>SUM(D8:D14)</f>
        <v>1479093.9400000002</v>
      </c>
      <c r="E15" s="230"/>
      <c r="F15" s="230" t="s">
        <v>260</v>
      </c>
      <c r="G15" s="230">
        <f>939.42+106.97</f>
        <v>1046.3899999999999</v>
      </c>
      <c r="H15" s="230">
        <f t="shared" si="5"/>
        <v>87.199166666666656</v>
      </c>
      <c r="I15" s="230">
        <f t="shared" si="6"/>
        <v>784.7924999999999</v>
      </c>
      <c r="J15" s="230">
        <v>116.1</v>
      </c>
      <c r="K15" s="230">
        <v>0</v>
      </c>
      <c r="L15" s="230">
        <v>0</v>
      </c>
      <c r="M15" s="230">
        <f t="shared" si="0"/>
        <v>900.89249999999993</v>
      </c>
      <c r="N15" s="243">
        <v>0</v>
      </c>
      <c r="O15" s="262">
        <f t="shared" si="1"/>
        <v>0</v>
      </c>
    </row>
    <row r="16" spans="1:22">
      <c r="E16" s="230"/>
      <c r="G16" s="231">
        <f>SUM(G8:G15)</f>
        <v>68488.61</v>
      </c>
      <c r="H16" s="231">
        <f>SUM(H8:H15)</f>
        <v>5707.3841666666667</v>
      </c>
      <c r="I16" s="230"/>
      <c r="J16" s="231">
        <f>SUM(J8:J15)</f>
        <v>5018.0400000000009</v>
      </c>
      <c r="K16" s="231">
        <f>SUM(K8:K15)</f>
        <v>4787.33</v>
      </c>
      <c r="L16" s="231">
        <f>SUM(L8:L15)</f>
        <v>8683.4699999999993</v>
      </c>
      <c r="M16" s="231">
        <f>SUM(M8:M15)</f>
        <v>69855.297500000001</v>
      </c>
      <c r="O16" s="231">
        <f>SUM(O8:O15)</f>
        <v>6271.482750000001</v>
      </c>
      <c r="R16" s="267">
        <f>SUM(R8:R15)</f>
        <v>5.2777622968355878E-2</v>
      </c>
      <c r="T16" s="263">
        <f>SUM(T8:T15)</f>
        <v>177403.35199999998</v>
      </c>
      <c r="V16" s="267">
        <f>SUM(V8:V15)</f>
        <v>5.8979317263830509E-2</v>
      </c>
    </row>
    <row r="17" spans="2:13">
      <c r="D17" s="230"/>
      <c r="E17" s="230"/>
      <c r="F17" s="230"/>
      <c r="H17" s="207" t="s">
        <v>261</v>
      </c>
    </row>
    <row r="19" spans="2:13">
      <c r="D19" s="325" t="s">
        <v>262</v>
      </c>
      <c r="E19" s="325"/>
      <c r="F19" s="325"/>
      <c r="M19" s="262"/>
    </row>
    <row r="20" spans="2:13">
      <c r="B20" s="194" t="s">
        <v>263</v>
      </c>
      <c r="D20" s="261"/>
      <c r="E20" s="261" t="s">
        <v>264</v>
      </c>
      <c r="F20" s="261"/>
      <c r="M20" s="262"/>
    </row>
    <row r="21" spans="2:13">
      <c r="D21" s="195" t="s">
        <v>265</v>
      </c>
      <c r="E21" s="195" t="s">
        <v>266</v>
      </c>
      <c r="F21" s="261" t="s">
        <v>267</v>
      </c>
      <c r="M21" s="262"/>
    </row>
    <row r="22" spans="2:13">
      <c r="C22" s="196" t="s">
        <v>268</v>
      </c>
      <c r="D22" s="231">
        <v>22141.149999999998</v>
      </c>
      <c r="E22" s="231">
        <v>30654.69</v>
      </c>
      <c r="F22" s="231">
        <v>3252.5499999999993</v>
      </c>
      <c r="G22" s="230"/>
      <c r="J22" s="230"/>
      <c r="K22" s="230"/>
      <c r="L22" s="230"/>
    </row>
    <row r="23" spans="2:13" ht="17.149999999999999">
      <c r="C23" s="196" t="s">
        <v>269</v>
      </c>
      <c r="D23" s="243">
        <v>0.25</v>
      </c>
      <c r="E23" s="243">
        <v>0.1</v>
      </c>
      <c r="F23" s="243">
        <v>0.25</v>
      </c>
      <c r="G23" s="206" t="s">
        <v>87</v>
      </c>
      <c r="J23" s="230"/>
      <c r="K23" s="230"/>
      <c r="L23" s="230"/>
    </row>
    <row r="24" spans="2:13">
      <c r="D24" s="230">
        <f>D22*D23</f>
        <v>5535.2874999999995</v>
      </c>
      <c r="E24" s="230">
        <f t="shared" ref="E24:F24" si="7">E22*E23</f>
        <v>3065.4690000000001</v>
      </c>
      <c r="F24" s="230">
        <f t="shared" si="7"/>
        <v>813.13749999999982</v>
      </c>
      <c r="G24" s="230">
        <f>SUM(D24:F24)</f>
        <v>9413.8940000000002</v>
      </c>
      <c r="H24" s="208" t="s">
        <v>270</v>
      </c>
      <c r="J24" s="230"/>
      <c r="K24" s="230"/>
      <c r="L24" s="230"/>
    </row>
    <row r="25" spans="2:13">
      <c r="F25" s="230"/>
      <c r="G25" s="230"/>
      <c r="H25" s="230"/>
      <c r="I25" s="230"/>
      <c r="J25" s="230"/>
      <c r="K25" s="230"/>
      <c r="L25" s="230"/>
    </row>
    <row r="26" spans="2:13">
      <c r="C26" s="196" t="s">
        <v>271</v>
      </c>
      <c r="D26" s="262">
        <f>O16</f>
        <v>6271.482750000001</v>
      </c>
      <c r="F26" s="230"/>
      <c r="G26" s="230"/>
      <c r="H26" s="230"/>
      <c r="I26" s="230"/>
      <c r="J26" s="230"/>
      <c r="K26" s="230"/>
      <c r="L26" s="230"/>
    </row>
    <row r="27" spans="2:13">
      <c r="C27" s="196" t="s">
        <v>272</v>
      </c>
      <c r="D27" s="262">
        <f>G24</f>
        <v>9413.8940000000002</v>
      </c>
      <c r="F27" s="230"/>
      <c r="G27" s="230"/>
      <c r="H27" s="230"/>
      <c r="I27" s="230"/>
      <c r="J27" s="230"/>
      <c r="K27" s="230"/>
      <c r="L27" s="230"/>
    </row>
    <row r="28" spans="2:13">
      <c r="C28" s="196" t="s">
        <v>273</v>
      </c>
      <c r="D28" s="263">
        <f>D27-D26</f>
        <v>3142.4112499999992</v>
      </c>
      <c r="E28" s="194" t="s">
        <v>274</v>
      </c>
      <c r="F28" s="230"/>
      <c r="G28" s="230"/>
      <c r="H28" s="230"/>
      <c r="I28" s="230"/>
      <c r="J28" s="230"/>
      <c r="K28" s="230"/>
      <c r="L28" s="230"/>
    </row>
    <row r="29" spans="2:13">
      <c r="F29" s="230"/>
      <c r="G29" s="230"/>
      <c r="H29" s="230"/>
      <c r="I29" s="230"/>
      <c r="J29" s="230"/>
      <c r="K29" s="230"/>
      <c r="L29" s="230"/>
    </row>
    <row r="31" spans="2:13">
      <c r="B31" s="207" t="s">
        <v>261</v>
      </c>
    </row>
    <row r="38" spans="2:2">
      <c r="B38" s="207" t="s">
        <v>270</v>
      </c>
    </row>
  </sheetData>
  <mergeCells count="3">
    <mergeCell ref="Q5:R5"/>
    <mergeCell ref="T5:V5"/>
    <mergeCell ref="D19:F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BD5-8D16-4C90-AE47-0DB63F439354}">
  <dimension ref="A1:D23"/>
  <sheetViews>
    <sheetView workbookViewId="0">
      <selection activeCell="A2" sqref="A2"/>
    </sheetView>
  </sheetViews>
  <sheetFormatPr defaultColWidth="9.25" defaultRowHeight="14.6"/>
  <cols>
    <col min="1" max="2" width="9.25" style="194"/>
    <col min="3" max="3" width="18.875" style="194" bestFit="1" customWidth="1"/>
    <col min="4" max="16384" width="9.25" style="194"/>
  </cols>
  <sheetData>
    <row r="1" spans="1:4">
      <c r="A1" s="194" t="s">
        <v>240</v>
      </c>
    </row>
    <row r="2" spans="1:4">
      <c r="A2" s="194" t="s">
        <v>275</v>
      </c>
    </row>
    <row r="9" spans="1:4">
      <c r="B9" s="329" t="s">
        <v>276</v>
      </c>
      <c r="C9" s="329"/>
      <c r="D9" s="329"/>
    </row>
    <row r="10" spans="1:4">
      <c r="B10" s="194" t="s">
        <v>277</v>
      </c>
      <c r="C10" s="194" t="s">
        <v>278</v>
      </c>
      <c r="D10" s="194" t="s">
        <v>47</v>
      </c>
    </row>
    <row r="11" spans="1:4" ht="15" customHeight="1">
      <c r="B11" s="268" t="s">
        <v>279</v>
      </c>
      <c r="C11" s="194" t="s">
        <v>280</v>
      </c>
      <c r="D11" s="209">
        <v>50000</v>
      </c>
    </row>
    <row r="12" spans="1:4" ht="15" customHeight="1">
      <c r="B12" s="268" t="s">
        <v>281</v>
      </c>
      <c r="C12" s="194" t="s">
        <v>282</v>
      </c>
      <c r="D12" s="209">
        <v>-50000</v>
      </c>
    </row>
    <row r="13" spans="1:4" ht="15" customHeight="1">
      <c r="B13" s="269">
        <v>44984</v>
      </c>
      <c r="C13" s="194" t="s">
        <v>283</v>
      </c>
      <c r="D13" s="209">
        <v>1618.73</v>
      </c>
    </row>
    <row r="14" spans="1:4" ht="15" customHeight="1">
      <c r="B14" s="268" t="s">
        <v>284</v>
      </c>
      <c r="C14" s="194" t="s">
        <v>283</v>
      </c>
      <c r="D14" s="209">
        <v>455.24</v>
      </c>
    </row>
    <row r="15" spans="1:4" ht="15" customHeight="1">
      <c r="B15" s="268" t="s">
        <v>284</v>
      </c>
      <c r="C15" s="194" t="s">
        <v>283</v>
      </c>
      <c r="D15" s="209">
        <v>499.26</v>
      </c>
    </row>
    <row r="16" spans="1:4" ht="15" customHeight="1">
      <c r="B16" s="268" t="s">
        <v>284</v>
      </c>
      <c r="C16" s="194" t="s">
        <v>283</v>
      </c>
      <c r="D16" s="209">
        <v>19929.400000000001</v>
      </c>
    </row>
    <row r="17" spans="2:4" ht="15" customHeight="1">
      <c r="B17" s="269">
        <v>45378</v>
      </c>
      <c r="C17" s="194" t="s">
        <v>283</v>
      </c>
      <c r="D17" s="209">
        <v>1618.73</v>
      </c>
    </row>
    <row r="18" spans="2:4" ht="15" customHeight="1">
      <c r="B18" s="268" t="s">
        <v>285</v>
      </c>
      <c r="C18" s="194" t="s">
        <v>283</v>
      </c>
      <c r="D18" s="209">
        <v>212.82</v>
      </c>
    </row>
    <row r="19" spans="2:4" ht="15" customHeight="1">
      <c r="B19" s="268" t="s">
        <v>285</v>
      </c>
      <c r="C19" s="194" t="s">
        <v>283</v>
      </c>
      <c r="D19" s="209">
        <v>252.14</v>
      </c>
    </row>
    <row r="20" spans="2:4" ht="15" customHeight="1">
      <c r="D20" s="231">
        <f>SUM(D11:D19)</f>
        <v>24586.32</v>
      </c>
    </row>
    <row r="22" spans="2:4">
      <c r="B22" s="329" t="s">
        <v>286</v>
      </c>
      <c r="C22" s="329"/>
      <c r="D22" s="329"/>
    </row>
    <row r="23" spans="2:4">
      <c r="B23" s="229">
        <v>45017</v>
      </c>
      <c r="C23" s="194" t="s">
        <v>287</v>
      </c>
      <c r="D23" s="230">
        <v>8241.32</v>
      </c>
    </row>
  </sheetData>
  <mergeCells count="2">
    <mergeCell ref="B9:D9"/>
    <mergeCell ref="B22: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A1C8-054E-47B1-A73A-BC8DEEDA6041}">
  <dimension ref="A1:E7"/>
  <sheetViews>
    <sheetView workbookViewId="0">
      <selection activeCell="A2" sqref="A2"/>
    </sheetView>
  </sheetViews>
  <sheetFormatPr defaultRowHeight="14.6"/>
  <cols>
    <col min="1" max="1" width="9" style="194"/>
    <col min="2" max="2" width="11.1875" style="194" customWidth="1"/>
    <col min="3" max="3" width="13.0625" style="194" customWidth="1"/>
    <col min="4" max="4" width="14.8125" style="194" customWidth="1"/>
    <col min="5" max="5" width="8.9375" style="194" bestFit="1" customWidth="1"/>
    <col min="6" max="16384" width="9" style="194"/>
  </cols>
  <sheetData>
    <row r="1" spans="1:5">
      <c r="A1" s="194" t="s">
        <v>139</v>
      </c>
    </row>
    <row r="2" spans="1:5">
      <c r="A2" s="194" t="s">
        <v>288</v>
      </c>
    </row>
    <row r="4" spans="1:5">
      <c r="B4" s="195" t="s">
        <v>289</v>
      </c>
      <c r="C4" s="195" t="s">
        <v>290</v>
      </c>
      <c r="D4" s="195" t="s">
        <v>291</v>
      </c>
      <c r="E4" s="195" t="s">
        <v>292</v>
      </c>
    </row>
    <row r="5" spans="1:5">
      <c r="B5" s="194" t="s">
        <v>293</v>
      </c>
      <c r="C5" s="194" t="s">
        <v>294</v>
      </c>
      <c r="D5" s="194" t="s">
        <v>295</v>
      </c>
      <c r="E5" s="230">
        <v>200</v>
      </c>
    </row>
    <row r="6" spans="1:5">
      <c r="B6" s="194" t="s">
        <v>296</v>
      </c>
      <c r="C6" s="194" t="s">
        <v>297</v>
      </c>
      <c r="D6" s="194" t="s">
        <v>295</v>
      </c>
      <c r="E6" s="230">
        <v>1200</v>
      </c>
    </row>
    <row r="7" spans="1:5">
      <c r="E7" s="2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9074-3647-41F7-89E9-E85EFDC1C23F}">
  <dimension ref="A1:T50"/>
  <sheetViews>
    <sheetView workbookViewId="0">
      <selection activeCell="B49" sqref="B49"/>
    </sheetView>
  </sheetViews>
  <sheetFormatPr defaultColWidth="7.1875" defaultRowHeight="14.6"/>
  <cols>
    <col min="1" max="1" width="7.1875" style="194"/>
    <col min="2" max="2" width="23.8125" style="194" bestFit="1" customWidth="1"/>
    <col min="3" max="3" width="1.0625" style="194" hidden="1" customWidth="1"/>
    <col min="4" max="8" width="11.5" style="194" hidden="1" customWidth="1"/>
    <col min="9" max="9" width="1.0625" style="194" hidden="1" customWidth="1"/>
    <col min="10" max="10" width="9.0625" style="194" hidden="1" customWidth="1"/>
    <col min="11" max="11" width="1.0625" style="194" hidden="1" customWidth="1"/>
    <col min="12" max="12" width="2.375" style="210" customWidth="1"/>
    <col min="13" max="13" width="9.5" style="194" bestFit="1" customWidth="1"/>
    <col min="14" max="15" width="9.3125" style="194" bestFit="1" customWidth="1"/>
    <col min="16" max="16" width="11.25" style="194" bestFit="1" customWidth="1"/>
    <col min="17" max="17" width="9.3125" style="194" bestFit="1" customWidth="1"/>
    <col min="18" max="18" width="1.0625" style="194" customWidth="1"/>
    <col min="19" max="19" width="11.25" style="194" bestFit="1" customWidth="1"/>
    <col min="20" max="16384" width="7.1875" style="194"/>
  </cols>
  <sheetData>
    <row r="1" spans="1:20">
      <c r="A1" s="194" t="s">
        <v>139</v>
      </c>
    </row>
    <row r="2" spans="1:20">
      <c r="A2" s="194" t="s">
        <v>298</v>
      </c>
    </row>
    <row r="6" spans="1:20">
      <c r="D6" s="194" t="s">
        <v>299</v>
      </c>
      <c r="E6" s="194" t="s">
        <v>300</v>
      </c>
      <c r="F6" s="194" t="s">
        <v>301</v>
      </c>
      <c r="G6" s="194" t="s">
        <v>302</v>
      </c>
      <c r="H6" s="194" t="s">
        <v>303</v>
      </c>
      <c r="M6" s="194" t="s">
        <v>304</v>
      </c>
      <c r="N6" s="194" t="s">
        <v>305</v>
      </c>
      <c r="O6" s="194" t="s">
        <v>306</v>
      </c>
      <c r="P6" s="194" t="s">
        <v>307</v>
      </c>
      <c r="Q6" s="194" t="s">
        <v>308</v>
      </c>
    </row>
    <row r="7" spans="1:20">
      <c r="B7" s="194" t="str">
        <f>'Income Statement'!A11</f>
        <v>Regulated Collection</v>
      </c>
      <c r="D7" s="230"/>
      <c r="E7" s="230"/>
      <c r="F7" s="230"/>
      <c r="G7" s="230"/>
      <c r="H7" s="230"/>
      <c r="I7" s="230"/>
      <c r="J7" s="230">
        <f>SUM(C7:I7)</f>
        <v>0</v>
      </c>
      <c r="K7" s="230"/>
      <c r="L7" s="211"/>
      <c r="M7" s="230"/>
      <c r="N7" s="230"/>
      <c r="O7" s="230"/>
      <c r="P7" s="230"/>
      <c r="Q7" s="230"/>
      <c r="R7" s="230"/>
      <c r="S7" s="230">
        <f>SUM(L7:R7)</f>
        <v>0</v>
      </c>
      <c r="T7" s="230"/>
    </row>
    <row r="8" spans="1:20">
      <c r="B8" s="194" t="str">
        <f>'Income Statement'!A12</f>
        <v>Regulated Rolloff</v>
      </c>
      <c r="D8" s="230"/>
      <c r="E8" s="230"/>
      <c r="F8" s="230"/>
      <c r="G8" s="230"/>
      <c r="H8" s="230"/>
      <c r="I8" s="230"/>
      <c r="J8" s="230">
        <f>SUM(C8:I8)</f>
        <v>0</v>
      </c>
      <c r="K8" s="230"/>
      <c r="L8" s="211"/>
      <c r="M8" s="230"/>
      <c r="N8" s="230"/>
      <c r="O8" s="230"/>
      <c r="P8" s="230"/>
      <c r="Q8" s="230"/>
      <c r="R8" s="230"/>
      <c r="S8" s="230">
        <f t="shared" ref="S8:S12" si="0">SUM(L8:R8)</f>
        <v>0</v>
      </c>
      <c r="T8" s="230"/>
    </row>
    <row r="9" spans="1:20">
      <c r="B9" s="194" t="str">
        <f>'Income Statement'!A13</f>
        <v>Non-regulated Collection &amp; Rolloff</v>
      </c>
      <c r="D9" s="230"/>
      <c r="E9" s="230"/>
      <c r="F9" s="230"/>
      <c r="G9" s="230"/>
      <c r="H9" s="230"/>
      <c r="I9" s="230"/>
      <c r="J9" s="230"/>
      <c r="K9" s="230"/>
      <c r="L9" s="211"/>
      <c r="M9" s="230"/>
      <c r="N9" s="230"/>
      <c r="O9" s="230"/>
      <c r="P9" s="230"/>
      <c r="Q9" s="230"/>
      <c r="R9" s="230"/>
      <c r="S9" s="230"/>
      <c r="T9" s="230"/>
    </row>
    <row r="10" spans="1:20">
      <c r="B10" s="194" t="str">
        <f>'Income Statement'!A14</f>
        <v>Non-regulated Cardboard</v>
      </c>
      <c r="D10" s="230"/>
      <c r="E10" s="230"/>
      <c r="F10" s="230"/>
      <c r="G10" s="230"/>
      <c r="H10" s="230"/>
      <c r="I10" s="230"/>
      <c r="J10" s="230"/>
      <c r="K10" s="230"/>
      <c r="L10" s="211"/>
      <c r="M10" s="230"/>
      <c r="N10" s="230"/>
      <c r="O10" s="230"/>
      <c r="P10" s="230"/>
      <c r="Q10" s="230"/>
      <c r="R10" s="230"/>
      <c r="S10" s="230"/>
      <c r="T10" s="230"/>
    </row>
    <row r="11" spans="1:20">
      <c r="B11" s="194" t="str">
        <f>'Income Statement'!A15</f>
        <v>Interest Earned</v>
      </c>
      <c r="D11" s="230"/>
      <c r="E11" s="230"/>
      <c r="F11" s="230"/>
      <c r="G11" s="230"/>
      <c r="H11" s="230"/>
      <c r="I11" s="230"/>
      <c r="J11" s="230"/>
      <c r="K11" s="230"/>
      <c r="L11" s="211"/>
      <c r="M11" s="230"/>
      <c r="N11" s="230"/>
      <c r="O11" s="230"/>
      <c r="P11" s="230"/>
      <c r="Q11" s="230"/>
      <c r="R11" s="230"/>
      <c r="S11" s="230"/>
      <c r="T11" s="230"/>
    </row>
    <row r="12" spans="1:20">
      <c r="B12" s="270"/>
      <c r="C12" s="270"/>
      <c r="D12" s="231"/>
      <c r="E12" s="231"/>
      <c r="F12" s="231"/>
      <c r="G12" s="231"/>
      <c r="H12" s="231"/>
      <c r="I12" s="231"/>
      <c r="J12" s="231">
        <f>SUM(C12:I12)</f>
        <v>0</v>
      </c>
      <c r="K12" s="230"/>
      <c r="L12" s="212"/>
      <c r="M12" s="231"/>
      <c r="N12" s="231"/>
      <c r="O12" s="231"/>
      <c r="P12" s="231"/>
      <c r="Q12" s="231"/>
      <c r="R12" s="231"/>
      <c r="S12" s="231">
        <f t="shared" si="0"/>
        <v>0</v>
      </c>
      <c r="T12" s="230"/>
    </row>
    <row r="13" spans="1:20">
      <c r="D13" s="233"/>
      <c r="E13" s="233"/>
      <c r="F13" s="233"/>
      <c r="G13" s="233"/>
      <c r="H13" s="233"/>
      <c r="I13" s="233"/>
      <c r="J13" s="233"/>
      <c r="K13" s="230"/>
      <c r="L13" s="213"/>
      <c r="M13" s="233"/>
      <c r="N13" s="233"/>
      <c r="O13" s="233"/>
      <c r="P13" s="233"/>
      <c r="Q13" s="233"/>
      <c r="R13" s="233"/>
      <c r="S13" s="233"/>
      <c r="T13" s="230"/>
    </row>
    <row r="14" spans="1:20">
      <c r="B14" s="194" t="str">
        <f>'Income Statement'!A18</f>
        <v>Advertising</v>
      </c>
      <c r="D14" s="230"/>
      <c r="F14" s="230"/>
      <c r="G14" s="230"/>
      <c r="H14" s="230"/>
      <c r="I14" s="230"/>
      <c r="J14" s="230"/>
      <c r="K14" s="230"/>
      <c r="L14" s="211"/>
      <c r="M14" s="230"/>
      <c r="N14" s="230"/>
      <c r="O14" s="230"/>
      <c r="P14" s="230"/>
      <c r="Q14" s="230"/>
      <c r="R14" s="230"/>
      <c r="S14" s="230"/>
      <c r="T14" s="230"/>
    </row>
    <row r="15" spans="1:20">
      <c r="B15" s="194" t="str">
        <f>'Income Statement'!A19</f>
        <v>Bad Debt</v>
      </c>
      <c r="D15" s="230"/>
      <c r="F15" s="230"/>
      <c r="G15" s="230"/>
      <c r="H15" s="230"/>
      <c r="I15" s="230"/>
      <c r="J15" s="230">
        <f>SUM(C15:I15)</f>
        <v>0</v>
      </c>
      <c r="K15" s="230"/>
      <c r="L15" s="211"/>
      <c r="M15" s="230"/>
      <c r="N15" s="230"/>
      <c r="O15" s="230"/>
      <c r="P15" s="230"/>
      <c r="Q15" s="230"/>
      <c r="R15" s="230"/>
      <c r="S15" s="230">
        <f t="shared" ref="S15:S38" si="1">SUM(L15:R15)</f>
        <v>0</v>
      </c>
      <c r="T15" s="230"/>
    </row>
    <row r="16" spans="1:20">
      <c r="B16" s="194" t="str">
        <f>'Income Statement'!A20</f>
        <v>Bank Charges</v>
      </c>
      <c r="D16" s="230"/>
      <c r="F16" s="230"/>
      <c r="G16" s="230"/>
      <c r="H16" s="230"/>
      <c r="I16" s="230"/>
      <c r="J16" s="230">
        <f t="shared" ref="J16:J39" si="2">SUM(C16:I16)</f>
        <v>0</v>
      </c>
      <c r="K16" s="230"/>
      <c r="L16" s="211"/>
      <c r="M16" s="230"/>
      <c r="N16" s="230"/>
      <c r="O16" s="230"/>
      <c r="P16" s="230"/>
      <c r="Q16" s="230"/>
      <c r="R16" s="230"/>
      <c r="S16" s="230">
        <f t="shared" si="1"/>
        <v>0</v>
      </c>
      <c r="T16" s="230"/>
    </row>
    <row r="17" spans="2:20">
      <c r="B17" s="194" t="str">
        <f>'Income Statement'!A21</f>
        <v>Cardboard Shipping</v>
      </c>
      <c r="D17" s="230"/>
      <c r="F17" s="230"/>
      <c r="G17" s="230"/>
      <c r="H17" s="230"/>
      <c r="I17" s="230"/>
      <c r="J17" s="230">
        <f t="shared" si="2"/>
        <v>0</v>
      </c>
      <c r="K17" s="230"/>
      <c r="L17" s="211"/>
      <c r="M17" s="271"/>
      <c r="N17" s="271"/>
      <c r="O17" s="230"/>
      <c r="P17" s="230"/>
      <c r="Q17" s="230"/>
      <c r="R17" s="230"/>
      <c r="S17" s="230">
        <f t="shared" si="1"/>
        <v>0</v>
      </c>
      <c r="T17" s="230"/>
    </row>
    <row r="18" spans="2:20">
      <c r="B18" s="194" t="str">
        <f>'Income Statement'!A22</f>
        <v>CDL Physicals</v>
      </c>
      <c r="D18" s="230"/>
      <c r="F18" s="230"/>
      <c r="G18" s="230"/>
      <c r="H18" s="230"/>
      <c r="I18" s="230"/>
      <c r="J18" s="230">
        <f t="shared" si="2"/>
        <v>0</v>
      </c>
      <c r="K18" s="230"/>
      <c r="L18" s="211"/>
      <c r="M18" s="271"/>
      <c r="N18" s="271"/>
      <c r="O18" s="230"/>
      <c r="P18" s="230"/>
      <c r="Q18" s="230"/>
      <c r="R18" s="230"/>
      <c r="S18" s="230">
        <f t="shared" si="1"/>
        <v>0</v>
      </c>
      <c r="T18" s="230"/>
    </row>
    <row r="19" spans="2:20">
      <c r="B19" s="194" t="str">
        <f>'Income Statement'!A23</f>
        <v>Cell Phones</v>
      </c>
      <c r="D19" s="230"/>
      <c r="F19" s="230"/>
      <c r="G19" s="230"/>
      <c r="H19" s="230"/>
      <c r="I19" s="230"/>
      <c r="J19" s="230">
        <f t="shared" si="2"/>
        <v>0</v>
      </c>
      <c r="K19" s="230"/>
      <c r="L19" s="211"/>
      <c r="M19" s="271"/>
      <c r="N19" s="271"/>
      <c r="O19" s="230"/>
      <c r="P19" s="230"/>
      <c r="Q19" s="230"/>
      <c r="R19" s="230"/>
      <c r="S19" s="230">
        <f t="shared" si="1"/>
        <v>0</v>
      </c>
      <c r="T19" s="230"/>
    </row>
    <row r="20" spans="2:20">
      <c r="B20" s="194" t="str">
        <f>'Income Statement'!A24</f>
        <v>Depreciation</v>
      </c>
      <c r="D20" s="230"/>
      <c r="F20" s="230"/>
      <c r="G20" s="230"/>
      <c r="H20" s="230"/>
      <c r="I20" s="230"/>
      <c r="J20" s="230">
        <f t="shared" si="2"/>
        <v>0</v>
      </c>
      <c r="K20" s="230"/>
      <c r="L20" s="211" t="s">
        <v>261</v>
      </c>
      <c r="M20" s="271"/>
      <c r="N20" s="271">
        <f>'Depr. Input and Calculation'!U75</f>
        <v>6706.1361985119001</v>
      </c>
      <c r="O20" s="230"/>
      <c r="P20" s="230"/>
      <c r="Q20" s="230"/>
      <c r="R20" s="230"/>
      <c r="S20" s="230">
        <f t="shared" si="1"/>
        <v>6706.1361985119001</v>
      </c>
      <c r="T20" s="230"/>
    </row>
    <row r="21" spans="2:20">
      <c r="B21" s="194" t="str">
        <f>'Income Statement'!A25</f>
        <v>Delano Transfer Station</v>
      </c>
      <c r="D21" s="230"/>
      <c r="F21" s="230"/>
      <c r="G21" s="230"/>
      <c r="H21" s="230"/>
      <c r="I21" s="230"/>
      <c r="J21" s="230">
        <f t="shared" si="2"/>
        <v>0</v>
      </c>
      <c r="K21" s="230"/>
      <c r="L21" s="211"/>
      <c r="M21" s="271"/>
      <c r="N21" s="271"/>
      <c r="O21" s="230"/>
      <c r="P21" s="230"/>
      <c r="Q21" s="230"/>
      <c r="R21" s="230"/>
      <c r="S21" s="230">
        <f t="shared" si="1"/>
        <v>0</v>
      </c>
      <c r="T21" s="230"/>
    </row>
    <row r="22" spans="2:20">
      <c r="B22" s="194" t="str">
        <f>'Income Statement'!A26</f>
        <v>Okanogan County Landfill</v>
      </c>
      <c r="D22" s="230"/>
      <c r="F22" s="230"/>
      <c r="G22" s="230"/>
      <c r="H22" s="230"/>
      <c r="I22" s="230"/>
      <c r="J22" s="230">
        <f t="shared" si="2"/>
        <v>0</v>
      </c>
      <c r="K22" s="230"/>
      <c r="L22" s="211"/>
      <c r="M22" s="271"/>
      <c r="N22" s="271"/>
      <c r="O22" s="230"/>
      <c r="P22" s="230"/>
      <c r="Q22" s="230"/>
      <c r="R22" s="230"/>
      <c r="S22" s="230">
        <f t="shared" si="1"/>
        <v>0</v>
      </c>
      <c r="T22" s="230"/>
    </row>
    <row r="23" spans="2:20">
      <c r="B23" s="194" t="str">
        <f>'Income Statement'!A27</f>
        <v>Drug Testing</v>
      </c>
      <c r="D23" s="230"/>
      <c r="F23" s="230"/>
      <c r="G23" s="230"/>
      <c r="H23" s="230"/>
      <c r="I23" s="230"/>
      <c r="J23" s="230">
        <f t="shared" si="2"/>
        <v>0</v>
      </c>
      <c r="K23" s="230"/>
      <c r="L23" s="211"/>
      <c r="M23" s="271"/>
      <c r="N23" s="271"/>
      <c r="O23" s="230"/>
      <c r="P23" s="230"/>
      <c r="Q23" s="230"/>
      <c r="R23" s="230"/>
      <c r="S23" s="230">
        <f t="shared" si="1"/>
        <v>0</v>
      </c>
      <c r="T23" s="230"/>
    </row>
    <row r="24" spans="2:20">
      <c r="B24" s="194" t="str">
        <f>'Income Statement'!A28</f>
        <v>Dues &amp; Subscriptions</v>
      </c>
      <c r="D24" s="230"/>
      <c r="F24" s="230"/>
      <c r="G24" s="230"/>
      <c r="H24" s="230"/>
      <c r="I24" s="230"/>
      <c r="J24" s="230">
        <f t="shared" si="2"/>
        <v>0</v>
      </c>
      <c r="K24" s="230"/>
      <c r="L24" s="211"/>
      <c r="M24" s="271"/>
      <c r="N24" s="271"/>
      <c r="O24" s="230"/>
      <c r="P24" s="230"/>
      <c r="Q24" s="230"/>
      <c r="R24" s="230"/>
      <c r="S24" s="230">
        <f t="shared" si="1"/>
        <v>0</v>
      </c>
      <c r="T24" s="230"/>
    </row>
    <row r="25" spans="2:20">
      <c r="B25" s="194" t="str">
        <f>'Income Statement'!A29</f>
        <v>Fuel</v>
      </c>
      <c r="D25" s="230"/>
      <c r="F25" s="230"/>
      <c r="G25" s="230"/>
      <c r="H25" s="230"/>
      <c r="I25" s="230"/>
      <c r="J25" s="230">
        <f t="shared" si="2"/>
        <v>0</v>
      </c>
      <c r="K25" s="230"/>
      <c r="L25" s="211"/>
      <c r="M25" s="271"/>
      <c r="N25" s="271"/>
      <c r="O25" s="230"/>
      <c r="P25" s="230"/>
      <c r="Q25" s="230"/>
      <c r="R25" s="230"/>
      <c r="S25" s="230">
        <f t="shared" si="1"/>
        <v>0</v>
      </c>
      <c r="T25" s="230"/>
    </row>
    <row r="26" spans="2:20">
      <c r="B26" s="194" t="str">
        <f>'Income Statement'!A30</f>
        <v>Insurance</v>
      </c>
      <c r="D26" s="230"/>
      <c r="F26" s="230"/>
      <c r="G26" s="230"/>
      <c r="H26" s="230"/>
      <c r="I26" s="230"/>
      <c r="J26" s="230">
        <f t="shared" si="2"/>
        <v>0</v>
      </c>
      <c r="K26" s="230"/>
      <c r="L26" s="211"/>
      <c r="M26" s="271"/>
      <c r="N26" s="271"/>
      <c r="O26" s="230"/>
      <c r="P26" s="230"/>
      <c r="Q26" s="230"/>
      <c r="R26" s="230"/>
      <c r="S26" s="230">
        <f t="shared" si="1"/>
        <v>0</v>
      </c>
      <c r="T26" s="230"/>
    </row>
    <row r="27" spans="2:20">
      <c r="B27" s="194" t="str">
        <f>'Income Statement'!A31</f>
        <v>Laundry</v>
      </c>
      <c r="D27" s="230"/>
      <c r="F27" s="230"/>
      <c r="G27" s="230"/>
      <c r="H27" s="230"/>
      <c r="I27" s="230"/>
      <c r="J27" s="230">
        <f t="shared" si="2"/>
        <v>0</v>
      </c>
      <c r="K27" s="230"/>
      <c r="L27" s="211"/>
      <c r="M27" s="271"/>
      <c r="N27" s="271"/>
      <c r="O27" s="230"/>
      <c r="P27" s="230"/>
      <c r="Q27" s="230"/>
      <c r="R27" s="230"/>
      <c r="S27" s="230">
        <f t="shared" si="1"/>
        <v>0</v>
      </c>
      <c r="T27" s="230"/>
    </row>
    <row r="28" spans="2:20">
      <c r="B28" s="194" t="str">
        <f>'Income Statement'!A32</f>
        <v>Legal/Accounting</v>
      </c>
      <c r="D28" s="230"/>
      <c r="F28" s="230"/>
      <c r="G28" s="230"/>
      <c r="H28" s="230"/>
      <c r="I28" s="230"/>
      <c r="J28" s="230">
        <f t="shared" si="2"/>
        <v>0</v>
      </c>
      <c r="K28" s="230"/>
      <c r="L28" s="211"/>
      <c r="M28" s="271"/>
      <c r="N28" s="271"/>
      <c r="O28" s="230"/>
      <c r="P28" s="230"/>
      <c r="Q28" s="230"/>
      <c r="R28" s="230"/>
      <c r="S28" s="230">
        <f t="shared" si="1"/>
        <v>0</v>
      </c>
      <c r="T28" s="230"/>
    </row>
    <row r="29" spans="2:20">
      <c r="B29" s="194" t="str">
        <f>'Income Statement'!A33</f>
        <v>Office Expense</v>
      </c>
      <c r="D29" s="230"/>
      <c r="F29" s="230"/>
      <c r="G29" s="230"/>
      <c r="H29" s="230"/>
      <c r="I29" s="230"/>
      <c r="J29" s="230">
        <f t="shared" si="2"/>
        <v>0</v>
      </c>
      <c r="K29" s="230"/>
      <c r="L29" s="211"/>
      <c r="M29" s="271"/>
      <c r="N29" s="271"/>
      <c r="O29" s="230"/>
      <c r="P29" s="230"/>
      <c r="Q29" s="230"/>
      <c r="R29" s="230"/>
      <c r="S29" s="230">
        <f t="shared" si="1"/>
        <v>0</v>
      </c>
      <c r="T29" s="230"/>
    </row>
    <row r="30" spans="2:20">
      <c r="B30" s="194" t="str">
        <f>'Income Statement'!A34</f>
        <v>Payroll &amp; Payroll Tax</v>
      </c>
      <c r="D30" s="230"/>
      <c r="F30" s="230"/>
      <c r="G30" s="230"/>
      <c r="H30" s="230"/>
      <c r="I30" s="230"/>
      <c r="J30" s="230">
        <f t="shared" si="2"/>
        <v>0</v>
      </c>
      <c r="K30" s="230"/>
      <c r="L30" s="211"/>
      <c r="M30" s="271"/>
      <c r="N30" s="271"/>
      <c r="O30" s="230"/>
      <c r="P30" s="230"/>
      <c r="Q30" s="230"/>
      <c r="R30" s="230"/>
      <c r="S30" s="230">
        <f t="shared" si="1"/>
        <v>0</v>
      </c>
      <c r="T30" s="230"/>
    </row>
    <row r="31" spans="2:20">
      <c r="B31" s="194" t="str">
        <f>'Income Statement'!A35</f>
        <v>Postage</v>
      </c>
      <c r="D31" s="230"/>
      <c r="F31" s="230"/>
      <c r="G31" s="230"/>
      <c r="H31" s="230"/>
      <c r="I31" s="230"/>
      <c r="J31" s="230">
        <f t="shared" si="2"/>
        <v>0</v>
      </c>
      <c r="K31" s="230"/>
      <c r="L31" s="211"/>
      <c r="M31" s="271"/>
      <c r="N31" s="271"/>
      <c r="O31" s="230"/>
      <c r="P31" s="230"/>
      <c r="Q31" s="230"/>
      <c r="R31" s="230"/>
      <c r="S31" s="230">
        <f t="shared" si="1"/>
        <v>0</v>
      </c>
      <c r="T31" s="230"/>
    </row>
    <row r="32" spans="2:20">
      <c r="B32" s="194" t="str">
        <f>'Income Statement'!A36</f>
        <v>Rent</v>
      </c>
      <c r="D32" s="230"/>
      <c r="F32" s="230"/>
      <c r="G32" s="230"/>
      <c r="H32" s="230"/>
      <c r="I32" s="230"/>
      <c r="J32" s="230">
        <f t="shared" si="2"/>
        <v>0</v>
      </c>
      <c r="K32" s="230"/>
      <c r="L32" s="211"/>
      <c r="M32" s="271"/>
      <c r="N32" s="271"/>
      <c r="O32" s="230"/>
      <c r="P32" s="230"/>
      <c r="Q32" s="230"/>
      <c r="R32" s="230"/>
      <c r="S32" s="230">
        <f t="shared" si="1"/>
        <v>0</v>
      </c>
      <c r="T32" s="230"/>
    </row>
    <row r="33" spans="1:20">
      <c r="B33" s="194" t="str">
        <f>'Income Statement'!A37</f>
        <v>Repair &amp; Maintenance</v>
      </c>
      <c r="D33" s="230"/>
      <c r="F33" s="230"/>
      <c r="G33" s="230"/>
      <c r="H33" s="230"/>
      <c r="I33" s="230"/>
      <c r="J33" s="230">
        <f t="shared" si="2"/>
        <v>0</v>
      </c>
      <c r="K33" s="230"/>
      <c r="L33" s="211"/>
      <c r="M33" s="271"/>
      <c r="N33" s="271"/>
      <c r="O33" s="230"/>
      <c r="P33" s="230"/>
      <c r="Q33" s="230"/>
      <c r="R33" s="230"/>
      <c r="S33" s="230">
        <f t="shared" si="1"/>
        <v>0</v>
      </c>
      <c r="T33" s="230"/>
    </row>
    <row r="34" spans="1:20">
      <c r="B34" s="194" t="str">
        <f>'Income Statement'!A38</f>
        <v>Supplies</v>
      </c>
      <c r="D34" s="230"/>
      <c r="F34" s="230"/>
      <c r="G34" s="230"/>
      <c r="H34" s="230"/>
      <c r="I34" s="230"/>
      <c r="J34" s="230">
        <f t="shared" si="2"/>
        <v>0</v>
      </c>
      <c r="K34" s="230"/>
      <c r="L34" s="211"/>
      <c r="M34" s="271"/>
      <c r="N34" s="271"/>
      <c r="O34" s="230"/>
      <c r="P34" s="230"/>
      <c r="Q34" s="230"/>
      <c r="R34" s="230"/>
      <c r="S34" s="230">
        <f t="shared" si="1"/>
        <v>0</v>
      </c>
      <c r="T34" s="230"/>
    </row>
    <row r="35" spans="1:20">
      <c r="B35" s="194" t="str">
        <f>'Income Statement'!A39</f>
        <v>Tax &amp; License</v>
      </c>
      <c r="D35" s="230"/>
      <c r="F35" s="230"/>
      <c r="G35" s="230"/>
      <c r="H35" s="230"/>
      <c r="I35" s="230"/>
      <c r="J35" s="230">
        <f t="shared" si="2"/>
        <v>0</v>
      </c>
      <c r="K35" s="230"/>
      <c r="L35" s="211"/>
      <c r="M35" s="271"/>
      <c r="N35" s="271"/>
      <c r="O35" s="230"/>
      <c r="P35" s="230"/>
      <c r="Q35" s="230"/>
      <c r="R35" s="230"/>
      <c r="S35" s="230">
        <f t="shared" si="1"/>
        <v>0</v>
      </c>
      <c r="T35" s="230"/>
    </row>
    <row r="36" spans="1:20">
      <c r="B36" s="194" t="str">
        <f>'Income Statement'!A40</f>
        <v>Travel &amp; Meals</v>
      </c>
      <c r="D36" s="230"/>
      <c r="F36" s="230"/>
      <c r="G36" s="230"/>
      <c r="H36" s="230"/>
      <c r="I36" s="230"/>
      <c r="J36" s="230">
        <f t="shared" si="2"/>
        <v>0</v>
      </c>
      <c r="K36" s="230"/>
      <c r="L36" s="211"/>
      <c r="M36" s="271"/>
      <c r="N36" s="271"/>
      <c r="O36" s="230"/>
      <c r="P36" s="230"/>
      <c r="Q36" s="230"/>
      <c r="R36" s="230"/>
      <c r="S36" s="230">
        <f t="shared" si="1"/>
        <v>0</v>
      </c>
      <c r="T36" s="230"/>
    </row>
    <row r="37" spans="1:20">
      <c r="B37" s="194" t="str">
        <f>'Income Statement'!A41</f>
        <v>Utilities</v>
      </c>
      <c r="D37" s="230"/>
      <c r="F37" s="230"/>
      <c r="G37" s="230"/>
      <c r="H37" s="230"/>
      <c r="I37" s="230"/>
      <c r="J37" s="230">
        <f t="shared" si="2"/>
        <v>0</v>
      </c>
      <c r="K37" s="230"/>
      <c r="L37" s="211"/>
      <c r="M37" s="271"/>
      <c r="N37" s="271"/>
      <c r="O37" s="230"/>
      <c r="P37" s="230"/>
      <c r="Q37" s="230"/>
      <c r="R37" s="230"/>
      <c r="S37" s="230">
        <f t="shared" si="1"/>
        <v>0</v>
      </c>
      <c r="T37" s="230"/>
    </row>
    <row r="38" spans="1:20">
      <c r="B38" s="194" t="str">
        <f>'Income Statement'!A42</f>
        <v>Miscellaneous</v>
      </c>
      <c r="D38" s="230"/>
      <c r="F38" s="230"/>
      <c r="G38" s="230"/>
      <c r="H38" s="230"/>
      <c r="I38" s="230"/>
      <c r="J38" s="230">
        <f t="shared" si="2"/>
        <v>0</v>
      </c>
      <c r="K38" s="230"/>
      <c r="L38" s="211"/>
      <c r="M38" s="271"/>
      <c r="N38" s="271"/>
      <c r="O38" s="230"/>
      <c r="P38" s="230"/>
      <c r="Q38" s="230"/>
      <c r="R38" s="230"/>
      <c r="S38" s="230">
        <f t="shared" si="1"/>
        <v>0</v>
      </c>
      <c r="T38" s="230"/>
    </row>
    <row r="39" spans="1:20">
      <c r="B39" s="270"/>
      <c r="C39" s="270"/>
      <c r="D39" s="231"/>
      <c r="E39" s="231"/>
      <c r="F39" s="231"/>
      <c r="G39" s="231"/>
      <c r="H39" s="231"/>
      <c r="I39" s="231"/>
      <c r="J39" s="231">
        <f t="shared" si="2"/>
        <v>0</v>
      </c>
      <c r="K39" s="230"/>
      <c r="L39" s="212"/>
      <c r="M39" s="231"/>
      <c r="N39" s="231"/>
      <c r="O39" s="231"/>
      <c r="P39" s="231"/>
      <c r="Q39" s="231"/>
      <c r="R39" s="231"/>
      <c r="S39" s="231">
        <f>SUM(L39:R39)</f>
        <v>0</v>
      </c>
      <c r="T39" s="230"/>
    </row>
    <row r="40" spans="1:20">
      <c r="D40" s="230"/>
      <c r="E40" s="230"/>
      <c r="F40" s="230"/>
      <c r="G40" s="230"/>
      <c r="H40" s="230"/>
      <c r="I40" s="230"/>
      <c r="J40" s="230"/>
      <c r="K40" s="230"/>
      <c r="L40" s="211"/>
      <c r="M40" s="230"/>
      <c r="N40" s="230"/>
      <c r="O40" s="230"/>
      <c r="P40" s="230"/>
      <c r="Q40" s="230"/>
      <c r="R40" s="230"/>
      <c r="S40" s="230"/>
      <c r="T40" s="230"/>
    </row>
    <row r="41" spans="1:20">
      <c r="B41" s="194" t="str">
        <f>'Income Statement'!A45</f>
        <v>Charitable Donations</v>
      </c>
      <c r="D41" s="230"/>
      <c r="E41" s="230"/>
      <c r="F41" s="230"/>
      <c r="G41" s="230"/>
      <c r="H41" s="230"/>
      <c r="I41" s="230"/>
      <c r="J41" s="230">
        <f>SUM(C41:I41)</f>
        <v>0</v>
      </c>
      <c r="K41" s="230"/>
      <c r="L41" s="211"/>
      <c r="M41" s="230"/>
      <c r="N41" s="230"/>
      <c r="O41" s="230"/>
      <c r="P41" s="230"/>
      <c r="Q41" s="230"/>
      <c r="R41" s="230"/>
      <c r="S41" s="230">
        <f t="shared" ref="S41:S44" si="3">SUM(L41:R41)</f>
        <v>0</v>
      </c>
      <c r="T41" s="230"/>
    </row>
    <row r="42" spans="1:20">
      <c r="B42" s="194" t="str">
        <f>'Income Statement'!A46</f>
        <v>Interest Expense</v>
      </c>
      <c r="D42" s="230"/>
      <c r="E42" s="230"/>
      <c r="F42" s="230"/>
      <c r="G42" s="230"/>
      <c r="H42" s="230"/>
      <c r="I42" s="230"/>
      <c r="J42" s="230">
        <f>SUM(C42:I42)</f>
        <v>0</v>
      </c>
      <c r="K42" s="230"/>
      <c r="L42" s="211" t="s">
        <v>270</v>
      </c>
      <c r="M42" s="230">
        <f>'Interest Expense'!D28</f>
        <v>3142.4112499999992</v>
      </c>
      <c r="N42" s="230"/>
      <c r="O42" s="230"/>
      <c r="P42" s="230"/>
      <c r="Q42" s="230"/>
      <c r="R42" s="230"/>
      <c r="S42" s="230">
        <f t="shared" si="3"/>
        <v>3142.4112499999992</v>
      </c>
      <c r="T42" s="230"/>
    </row>
    <row r="43" spans="1:20">
      <c r="D43" s="230"/>
      <c r="E43" s="230"/>
      <c r="F43" s="230"/>
      <c r="G43" s="230"/>
      <c r="H43" s="230"/>
      <c r="I43" s="230"/>
      <c r="J43" s="230"/>
      <c r="K43" s="230"/>
      <c r="L43" s="211"/>
      <c r="M43" s="230"/>
      <c r="N43" s="230"/>
      <c r="O43" s="230"/>
      <c r="P43" s="230"/>
      <c r="Q43" s="230"/>
      <c r="R43" s="230"/>
      <c r="S43" s="230"/>
      <c r="T43" s="230"/>
    </row>
    <row r="44" spans="1:20">
      <c r="B44" s="270"/>
      <c r="C44" s="270"/>
      <c r="D44" s="231"/>
      <c r="E44" s="231"/>
      <c r="F44" s="231"/>
      <c r="G44" s="231"/>
      <c r="H44" s="231"/>
      <c r="I44" s="231"/>
      <c r="J44" s="231">
        <f>SUM(C44:I44)</f>
        <v>0</v>
      </c>
      <c r="K44" s="230"/>
      <c r="L44" s="212"/>
      <c r="M44" s="231"/>
      <c r="N44" s="231"/>
      <c r="O44" s="231"/>
      <c r="P44" s="231"/>
      <c r="Q44" s="231"/>
      <c r="R44" s="231"/>
      <c r="S44" s="231">
        <f t="shared" si="3"/>
        <v>0</v>
      </c>
      <c r="T44" s="230"/>
    </row>
    <row r="45" spans="1:20">
      <c r="D45" s="230"/>
      <c r="E45" s="230"/>
      <c r="F45" s="230"/>
      <c r="G45" s="230"/>
      <c r="H45" s="230"/>
      <c r="I45" s="230"/>
      <c r="J45" s="230"/>
      <c r="K45" s="230"/>
      <c r="L45" s="211"/>
      <c r="M45" s="230"/>
      <c r="N45" s="230"/>
      <c r="O45" s="230"/>
      <c r="P45" s="230"/>
      <c r="Q45" s="230"/>
      <c r="R45" s="230"/>
      <c r="S45" s="230"/>
      <c r="T45" s="230"/>
    </row>
    <row r="46" spans="1:20">
      <c r="B46" s="194" t="str">
        <f>'Income Statement'!A51</f>
        <v>Taxes - B&amp;O</v>
      </c>
      <c r="D46" s="230"/>
      <c r="E46" s="230"/>
      <c r="F46" s="230"/>
      <c r="G46" s="230"/>
      <c r="H46" s="230"/>
      <c r="I46" s="230"/>
      <c r="J46" s="230">
        <f>SUM(C46:I46)</f>
        <v>0</v>
      </c>
      <c r="K46" s="230"/>
      <c r="L46" s="211"/>
      <c r="M46" s="230"/>
      <c r="N46" s="230"/>
      <c r="O46" s="230"/>
      <c r="P46" s="230"/>
      <c r="Q46" s="230"/>
      <c r="R46" s="230"/>
      <c r="S46" s="230">
        <f t="shared" ref="S46" si="4">SUM(L46:R46)</f>
        <v>0</v>
      </c>
      <c r="T46" s="230"/>
    </row>
    <row r="47" spans="1:20">
      <c r="D47" s="230"/>
      <c r="E47" s="230"/>
      <c r="F47" s="230"/>
      <c r="G47" s="230"/>
      <c r="H47" s="230"/>
      <c r="I47" s="230"/>
      <c r="J47" s="230"/>
      <c r="K47" s="230"/>
      <c r="L47" s="211"/>
      <c r="M47" s="230"/>
      <c r="N47" s="230"/>
      <c r="O47" s="230"/>
      <c r="P47" s="230"/>
      <c r="Q47" s="230"/>
      <c r="R47" s="230"/>
      <c r="S47" s="230"/>
      <c r="T47" s="230"/>
    </row>
    <row r="48" spans="1:20">
      <c r="A48" s="214" t="s">
        <v>261</v>
      </c>
      <c r="B48" s="194" t="s">
        <v>309</v>
      </c>
      <c r="D48" s="230"/>
      <c r="E48" s="230"/>
      <c r="F48" s="230"/>
      <c r="G48" s="230"/>
      <c r="H48" s="230"/>
      <c r="I48" s="230"/>
      <c r="J48" s="230"/>
      <c r="K48" s="230"/>
      <c r="L48" s="211"/>
      <c r="M48" s="230"/>
      <c r="N48" s="230"/>
      <c r="O48" s="230"/>
      <c r="P48" s="230"/>
      <c r="Q48" s="230"/>
      <c r="R48" s="230"/>
      <c r="S48" s="230"/>
      <c r="T48" s="230"/>
    </row>
    <row r="49" spans="1:20">
      <c r="A49" s="214" t="s">
        <v>270</v>
      </c>
      <c r="B49" s="194" t="s">
        <v>310</v>
      </c>
      <c r="D49" s="230"/>
      <c r="E49" s="230"/>
      <c r="F49" s="230"/>
      <c r="G49" s="230"/>
      <c r="H49" s="230"/>
      <c r="I49" s="230"/>
      <c r="J49" s="230"/>
      <c r="K49" s="230"/>
      <c r="L49" s="211"/>
      <c r="M49" s="230"/>
      <c r="N49" s="230"/>
      <c r="O49" s="230"/>
      <c r="P49" s="230"/>
      <c r="Q49" s="230"/>
      <c r="R49" s="230"/>
      <c r="S49" s="230"/>
      <c r="T49" s="230"/>
    </row>
    <row r="50" spans="1:20">
      <c r="D50" s="230"/>
      <c r="E50" s="230"/>
      <c r="F50" s="230"/>
      <c r="G50" s="230"/>
      <c r="H50" s="230"/>
      <c r="I50" s="230"/>
      <c r="J50" s="230"/>
      <c r="K50" s="230"/>
      <c r="L50" s="211"/>
      <c r="M50" s="230"/>
      <c r="N50" s="230"/>
      <c r="O50" s="230"/>
      <c r="P50" s="230"/>
      <c r="Q50" s="230"/>
      <c r="R50" s="230"/>
      <c r="S50" s="230"/>
      <c r="T50" s="23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CBBD-B929-47DA-B839-F9782CA89F0D}">
  <sheetPr>
    <tabColor theme="8" tint="0.39997558519241921"/>
  </sheetPr>
  <dimension ref="A1:AA75"/>
  <sheetViews>
    <sheetView topLeftCell="A9" workbookViewId="0">
      <selection activeCell="AG81" sqref="AG81"/>
    </sheetView>
  </sheetViews>
  <sheetFormatPr defaultColWidth="7.4375" defaultRowHeight="14.6"/>
  <cols>
    <col min="1" max="1" width="25.4375" style="215" customWidth="1"/>
    <col min="2" max="2" width="25.3125" style="215" customWidth="1"/>
    <col min="3" max="3" width="3.5" style="215" bestFit="1" customWidth="1"/>
    <col min="4" max="4" width="3.25" style="215" bestFit="1" customWidth="1"/>
    <col min="5" max="5" width="4.4375" style="215" bestFit="1" customWidth="1"/>
    <col min="6" max="6" width="12.4375" style="215" bestFit="1" customWidth="1"/>
    <col min="7" max="7" width="5.9375" style="215" bestFit="1" customWidth="1"/>
    <col min="8" max="8" width="8.25" style="290" bestFit="1" customWidth="1"/>
    <col min="9" max="9" width="8.8125" style="215" bestFit="1" customWidth="1"/>
    <col min="10" max="10" width="8.1875" style="215" customWidth="1"/>
    <col min="11" max="11" width="8.6875" style="215" bestFit="1" customWidth="1"/>
    <col min="12" max="12" width="6.25" style="215" customWidth="1"/>
    <col min="13" max="13" width="9.0625" style="215" customWidth="1"/>
    <col min="14" max="16" width="12.75" style="215" customWidth="1"/>
    <col min="17" max="17" width="8.25" style="215" customWidth="1"/>
    <col min="18" max="18" width="10.3125" style="272" bestFit="1" customWidth="1"/>
    <col min="19" max="19" width="9.0625" style="272" bestFit="1" customWidth="1"/>
    <col min="20" max="20" width="11.25" style="272" bestFit="1" customWidth="1"/>
    <col min="21" max="21" width="10.8125" style="272" bestFit="1" customWidth="1"/>
    <col min="22" max="22" width="12.75" style="215" customWidth="1"/>
    <col min="23" max="23" width="12.5625" style="215" customWidth="1"/>
    <col min="24" max="24" width="2.0625" style="215" customWidth="1"/>
    <col min="25" max="25" width="8.25" style="215" customWidth="1"/>
    <col min="26" max="26" width="10.125" style="215" customWidth="1"/>
    <col min="27" max="27" width="11.6875" style="215" customWidth="1"/>
    <col min="28" max="16384" width="7.4375" style="215"/>
  </cols>
  <sheetData>
    <row r="1" spans="1:27">
      <c r="A1" s="291" t="s">
        <v>139</v>
      </c>
      <c r="H1" s="215"/>
    </row>
    <row r="2" spans="1:27" ht="14.6" customHeight="1">
      <c r="A2" s="291" t="s">
        <v>311</v>
      </c>
      <c r="H2" s="215"/>
      <c r="K2" s="306"/>
      <c r="L2" s="306"/>
      <c r="M2" s="306"/>
      <c r="N2" s="306"/>
      <c r="O2" s="306"/>
      <c r="P2" s="306"/>
      <c r="V2" s="306"/>
    </row>
    <row r="3" spans="1:27">
      <c r="E3" s="215" t="s">
        <v>312</v>
      </c>
      <c r="G3" s="330" t="s">
        <v>313</v>
      </c>
      <c r="H3" s="330"/>
      <c r="I3" s="330"/>
      <c r="J3" s="330"/>
      <c r="K3" s="306"/>
      <c r="L3" s="306"/>
      <c r="M3" s="306"/>
      <c r="N3" s="306"/>
      <c r="O3" s="306"/>
      <c r="P3" s="306"/>
      <c r="V3" s="306"/>
    </row>
    <row r="4" spans="1:27">
      <c r="G4" s="331" t="s">
        <v>314</v>
      </c>
      <c r="H4" s="332"/>
      <c r="I4" s="331" t="s">
        <v>315</v>
      </c>
      <c r="J4" s="332"/>
      <c r="K4" s="306"/>
      <c r="L4" s="306"/>
      <c r="M4" s="306"/>
      <c r="N4" s="306"/>
      <c r="O4" s="306"/>
      <c r="P4" s="306"/>
      <c r="V4" s="306"/>
    </row>
    <row r="5" spans="1:27">
      <c r="G5" s="276" t="s">
        <v>316</v>
      </c>
      <c r="H5" s="276" t="s">
        <v>317</v>
      </c>
      <c r="I5" s="276" t="s">
        <v>316</v>
      </c>
      <c r="J5" s="276" t="s">
        <v>317</v>
      </c>
      <c r="K5" s="306"/>
      <c r="L5" s="306"/>
      <c r="M5" s="306"/>
      <c r="N5" s="306"/>
      <c r="O5" s="306"/>
      <c r="P5" s="306"/>
      <c r="V5" s="306"/>
    </row>
    <row r="6" spans="1:27">
      <c r="G6" s="273">
        <v>4</v>
      </c>
      <c r="H6" s="216">
        <v>2023</v>
      </c>
      <c r="I6" s="273">
        <v>3</v>
      </c>
      <c r="J6" s="216">
        <v>2024</v>
      </c>
      <c r="K6" s="306"/>
      <c r="L6" s="306"/>
      <c r="M6" s="306"/>
      <c r="N6" s="306"/>
      <c r="O6" s="306"/>
      <c r="P6" s="306"/>
      <c r="V6" s="306"/>
    </row>
    <row r="7" spans="1:27">
      <c r="H7" s="215"/>
    </row>
    <row r="8" spans="1:27" ht="14.6" customHeight="1">
      <c r="A8" s="337" t="s">
        <v>318</v>
      </c>
      <c r="B8" s="337"/>
      <c r="C8" s="337"/>
      <c r="D8" s="337"/>
      <c r="E8" s="337"/>
      <c r="F8" s="337"/>
      <c r="G8" s="337"/>
      <c r="H8" s="337"/>
      <c r="I8" s="338" t="s">
        <v>319</v>
      </c>
      <c r="J8" s="339"/>
      <c r="K8" s="339"/>
      <c r="L8" s="339"/>
      <c r="M8" s="339"/>
      <c r="N8" s="339"/>
      <c r="O8" s="339"/>
      <c r="P8" s="339"/>
      <c r="Q8" s="339"/>
      <c r="R8" s="339"/>
      <c r="S8" s="339"/>
      <c r="T8" s="339"/>
      <c r="U8" s="340"/>
      <c r="V8" s="341" t="s">
        <v>423</v>
      </c>
      <c r="W8" s="342"/>
      <c r="Y8" s="343" t="s">
        <v>424</v>
      </c>
      <c r="Z8" s="344"/>
      <c r="AA8" s="345"/>
    </row>
    <row r="9" spans="1:27" ht="65.599999999999994" customHeight="1">
      <c r="A9" s="274" t="s">
        <v>320</v>
      </c>
      <c r="B9" s="217" t="s">
        <v>321</v>
      </c>
      <c r="C9" s="333" t="s">
        <v>322</v>
      </c>
      <c r="D9" s="333"/>
      <c r="E9" s="333"/>
      <c r="F9" s="219" t="s">
        <v>323</v>
      </c>
      <c r="G9" s="218" t="s">
        <v>324</v>
      </c>
      <c r="H9" s="274" t="s">
        <v>325</v>
      </c>
      <c r="I9" s="220" t="s">
        <v>326</v>
      </c>
      <c r="J9" s="220" t="s">
        <v>422</v>
      </c>
      <c r="K9" s="220" t="s">
        <v>421</v>
      </c>
      <c r="L9" s="334" t="s">
        <v>327</v>
      </c>
      <c r="M9" s="335"/>
      <c r="N9" s="221" t="s">
        <v>328</v>
      </c>
      <c r="O9" s="336" t="s">
        <v>419</v>
      </c>
      <c r="P9" s="335"/>
      <c r="Q9" s="309" t="s">
        <v>330</v>
      </c>
      <c r="R9" s="310" t="s">
        <v>331</v>
      </c>
      <c r="S9" s="310" t="s">
        <v>332</v>
      </c>
      <c r="T9" s="310" t="s">
        <v>333</v>
      </c>
      <c r="U9" s="310" t="s">
        <v>334</v>
      </c>
      <c r="V9" s="275" t="s">
        <v>329</v>
      </c>
      <c r="W9" s="308" t="s">
        <v>335</v>
      </c>
      <c r="Y9" s="311" t="s">
        <v>336</v>
      </c>
      <c r="Z9" s="312" t="s">
        <v>425</v>
      </c>
      <c r="AA9" s="311" t="s">
        <v>337</v>
      </c>
    </row>
    <row r="10" spans="1:27">
      <c r="A10" s="276" t="s">
        <v>338</v>
      </c>
      <c r="B10" s="222"/>
      <c r="C10" s="217" t="s">
        <v>339</v>
      </c>
      <c r="D10" s="217" t="s">
        <v>316</v>
      </c>
      <c r="E10" s="217" t="s">
        <v>317</v>
      </c>
      <c r="F10" s="219" t="s">
        <v>340</v>
      </c>
      <c r="G10" s="217" t="s">
        <v>317</v>
      </c>
      <c r="H10" s="217" t="s">
        <v>341</v>
      </c>
      <c r="I10" s="224" t="s">
        <v>316</v>
      </c>
      <c r="J10" s="224" t="s">
        <v>316</v>
      </c>
      <c r="K10" s="224" t="s">
        <v>316</v>
      </c>
      <c r="L10" s="223"/>
      <c r="M10" s="223" t="s">
        <v>317</v>
      </c>
      <c r="N10" s="224" t="s">
        <v>340</v>
      </c>
      <c r="O10" s="224" t="s">
        <v>316</v>
      </c>
      <c r="P10" s="224" t="s">
        <v>317</v>
      </c>
      <c r="Q10" s="224" t="s">
        <v>420</v>
      </c>
      <c r="R10" s="224" t="s">
        <v>340</v>
      </c>
      <c r="S10" s="224" t="s">
        <v>340</v>
      </c>
      <c r="T10" s="224" t="s">
        <v>340</v>
      </c>
      <c r="U10" s="224" t="s">
        <v>340</v>
      </c>
      <c r="V10" s="225" t="s">
        <v>340</v>
      </c>
      <c r="W10" s="225" t="s">
        <v>340</v>
      </c>
      <c r="Y10" s="226" t="s">
        <v>420</v>
      </c>
      <c r="Z10" s="226" t="s">
        <v>340</v>
      </c>
      <c r="AA10" s="226" t="s">
        <v>340</v>
      </c>
    </row>
    <row r="11" spans="1:27">
      <c r="A11" s="292" t="s">
        <v>342</v>
      </c>
      <c r="B11" s="292" t="s">
        <v>343</v>
      </c>
      <c r="C11" s="277">
        <v>16</v>
      </c>
      <c r="D11" s="278">
        <v>7</v>
      </c>
      <c r="E11" s="278">
        <v>2021</v>
      </c>
      <c r="F11" s="293">
        <v>267023</v>
      </c>
      <c r="G11" s="278">
        <v>25</v>
      </c>
      <c r="H11" s="294">
        <v>0</v>
      </c>
      <c r="I11" s="279">
        <f t="shared" ref="I11:I42" si="0">G11*12</f>
        <v>300</v>
      </c>
      <c r="J11" s="279">
        <f t="shared" ref="J11:J42" si="1">($J$6-E11)*12+($I$6-D11+1)</f>
        <v>33</v>
      </c>
      <c r="K11" s="279">
        <f>I11-J11</f>
        <v>267</v>
      </c>
      <c r="L11" s="280">
        <f t="shared" ref="L11:L42" si="2">D11</f>
        <v>7</v>
      </c>
      <c r="M11" s="280">
        <f t="shared" ref="M11:M42" si="3">$E11+$G11</f>
        <v>2046</v>
      </c>
      <c r="N11" s="281">
        <f>$F11</f>
        <v>267023</v>
      </c>
      <c r="O11" s="295">
        <f>IF(I11=0,0,N11/I11)</f>
        <v>890.07666666666671</v>
      </c>
      <c r="P11" s="295">
        <f t="shared" ref="P11:P42" si="4">IF(G11=0,0,$N11/$G11)</f>
        <v>10680.92</v>
      </c>
      <c r="Q11" s="281">
        <f t="shared" ref="Q11:Q42" si="5">IF(J11&lt;12,J11,IF(K11&lt;-12,0,IF(K11&gt;0,12,12+K11)))</f>
        <v>12</v>
      </c>
      <c r="R11" s="281">
        <f t="shared" ref="R11:R57" si="6">IF(J11&lt;13,0,IF(Q11&gt;0,(J11-12)*O11,N11))</f>
        <v>18691.61</v>
      </c>
      <c r="S11" s="281">
        <f t="shared" ref="S11:S42" si="7">Q11*O11</f>
        <v>10680.92</v>
      </c>
      <c r="T11" s="281">
        <f>S11+R11</f>
        <v>29372.53</v>
      </c>
      <c r="U11" s="281">
        <f t="shared" ref="U11:U42" si="8">N11-T11</f>
        <v>237650.47</v>
      </c>
      <c r="V11" s="296">
        <f t="shared" ref="V11:V42" si="9">$U11*$H11</f>
        <v>0</v>
      </c>
      <c r="W11" s="307">
        <f t="shared" ref="W11:W42" si="10">S11*H11</f>
        <v>0</v>
      </c>
      <c r="X11" s="283"/>
      <c r="Y11" s="313">
        <f>IF(K11&lt;12,0,IF(K11&gt;24,12,K11-12))</f>
        <v>12</v>
      </c>
      <c r="Z11" s="313">
        <f t="shared" ref="Z11:Z42" si="11">Y11*O11</f>
        <v>10680.92</v>
      </c>
      <c r="AA11" s="313">
        <f t="shared" ref="AA11:AA42" si="12">Y11*O11*H11</f>
        <v>0</v>
      </c>
    </row>
    <row r="12" spans="1:27">
      <c r="A12" s="277" t="s">
        <v>344</v>
      </c>
      <c r="B12" s="292" t="s">
        <v>345</v>
      </c>
      <c r="C12" s="277">
        <v>30</v>
      </c>
      <c r="D12" s="278">
        <v>9</v>
      </c>
      <c r="E12" s="278">
        <v>2013</v>
      </c>
      <c r="F12" s="293">
        <v>161970</v>
      </c>
      <c r="G12" s="278">
        <v>10</v>
      </c>
      <c r="H12" s="294">
        <v>3.5000000000000003E-2</v>
      </c>
      <c r="I12" s="279">
        <f t="shared" si="0"/>
        <v>120</v>
      </c>
      <c r="J12" s="279">
        <f t="shared" si="1"/>
        <v>127</v>
      </c>
      <c r="K12" s="279">
        <f t="shared" ref="K12:K45" si="13">I12-J12</f>
        <v>-7</v>
      </c>
      <c r="L12" s="280">
        <f t="shared" si="2"/>
        <v>9</v>
      </c>
      <c r="M12" s="280">
        <f t="shared" si="3"/>
        <v>2023</v>
      </c>
      <c r="N12" s="281">
        <f t="shared" ref="N12:N63" si="14">$F12</f>
        <v>161970</v>
      </c>
      <c r="O12" s="295">
        <f t="shared" ref="O12:O63" si="15">IF(I12=0,0,N12/I12)</f>
        <v>1349.75</v>
      </c>
      <c r="P12" s="295">
        <f t="shared" si="4"/>
        <v>16197</v>
      </c>
      <c r="Q12" s="281">
        <f t="shared" si="5"/>
        <v>5</v>
      </c>
      <c r="R12" s="281">
        <f t="shared" si="6"/>
        <v>155221.25</v>
      </c>
      <c r="S12" s="281">
        <f t="shared" si="7"/>
        <v>6748.75</v>
      </c>
      <c r="T12" s="281">
        <f t="shared" ref="T12:T63" si="16">S12+R12</f>
        <v>161970</v>
      </c>
      <c r="U12" s="281">
        <f t="shared" si="8"/>
        <v>0</v>
      </c>
      <c r="V12" s="296">
        <f t="shared" si="9"/>
        <v>0</v>
      </c>
      <c r="W12" s="307">
        <f t="shared" si="10"/>
        <v>236.20625000000001</v>
      </c>
      <c r="X12" s="283"/>
      <c r="Y12" s="313">
        <f t="shared" ref="Y12:Y43" si="17">IF(K12&lt;0,0,IF(K12&gt;12,12,K12))</f>
        <v>0</v>
      </c>
      <c r="Z12" s="313">
        <f t="shared" si="11"/>
        <v>0</v>
      </c>
      <c r="AA12" s="313">
        <f t="shared" si="12"/>
        <v>0</v>
      </c>
    </row>
    <row r="13" spans="1:27">
      <c r="A13" s="277" t="s">
        <v>344</v>
      </c>
      <c r="B13" s="292" t="s">
        <v>346</v>
      </c>
      <c r="C13" s="277">
        <v>30</v>
      </c>
      <c r="D13" s="278">
        <v>9</v>
      </c>
      <c r="E13" s="278">
        <v>2014</v>
      </c>
      <c r="F13" s="293">
        <v>56799</v>
      </c>
      <c r="G13" s="278">
        <v>10</v>
      </c>
      <c r="H13" s="294">
        <v>3.5000000000000003E-2</v>
      </c>
      <c r="I13" s="279">
        <f t="shared" si="0"/>
        <v>120</v>
      </c>
      <c r="J13" s="279">
        <f t="shared" si="1"/>
        <v>115</v>
      </c>
      <c r="K13" s="279">
        <f t="shared" si="13"/>
        <v>5</v>
      </c>
      <c r="L13" s="280">
        <f t="shared" si="2"/>
        <v>9</v>
      </c>
      <c r="M13" s="280">
        <f t="shared" si="3"/>
        <v>2024</v>
      </c>
      <c r="N13" s="281">
        <f t="shared" si="14"/>
        <v>56799</v>
      </c>
      <c r="O13" s="295">
        <f t="shared" si="15"/>
        <v>473.32499999999999</v>
      </c>
      <c r="P13" s="295">
        <f t="shared" si="4"/>
        <v>5679.9</v>
      </c>
      <c r="Q13" s="281">
        <f t="shared" si="5"/>
        <v>12</v>
      </c>
      <c r="R13" s="281">
        <f t="shared" si="6"/>
        <v>48752.474999999999</v>
      </c>
      <c r="S13" s="281">
        <f t="shared" si="7"/>
        <v>5679.9</v>
      </c>
      <c r="T13" s="281">
        <f t="shared" si="16"/>
        <v>54432.375</v>
      </c>
      <c r="U13" s="281">
        <f t="shared" si="8"/>
        <v>2366.625</v>
      </c>
      <c r="V13" s="296">
        <f t="shared" si="9"/>
        <v>82.831875000000011</v>
      </c>
      <c r="W13" s="307">
        <f t="shared" si="10"/>
        <v>198.79650000000001</v>
      </c>
      <c r="X13" s="283"/>
      <c r="Y13" s="313">
        <f t="shared" si="17"/>
        <v>5</v>
      </c>
      <c r="Z13" s="313">
        <f t="shared" si="11"/>
        <v>2366.625</v>
      </c>
      <c r="AA13" s="313">
        <f t="shared" si="12"/>
        <v>82.831875000000011</v>
      </c>
    </row>
    <row r="14" spans="1:27">
      <c r="A14" s="277" t="s">
        <v>344</v>
      </c>
      <c r="B14" s="292" t="s">
        <v>347</v>
      </c>
      <c r="C14" s="277">
        <v>30</v>
      </c>
      <c r="D14" s="278">
        <v>9</v>
      </c>
      <c r="E14" s="278">
        <v>2015</v>
      </c>
      <c r="F14" s="293">
        <v>12667</v>
      </c>
      <c r="G14" s="278">
        <v>10</v>
      </c>
      <c r="H14" s="294">
        <v>3.5000000000000003E-2</v>
      </c>
      <c r="I14" s="279">
        <f t="shared" si="0"/>
        <v>120</v>
      </c>
      <c r="J14" s="279">
        <f t="shared" si="1"/>
        <v>103</v>
      </c>
      <c r="K14" s="279">
        <f t="shared" si="13"/>
        <v>17</v>
      </c>
      <c r="L14" s="280">
        <f t="shared" si="2"/>
        <v>9</v>
      </c>
      <c r="M14" s="280">
        <f t="shared" si="3"/>
        <v>2025</v>
      </c>
      <c r="N14" s="281">
        <f t="shared" si="14"/>
        <v>12667</v>
      </c>
      <c r="O14" s="295">
        <f t="shared" si="15"/>
        <v>105.55833333333334</v>
      </c>
      <c r="P14" s="295">
        <f t="shared" si="4"/>
        <v>1266.7</v>
      </c>
      <c r="Q14" s="281">
        <f t="shared" si="5"/>
        <v>12</v>
      </c>
      <c r="R14" s="281">
        <f t="shared" si="6"/>
        <v>9605.8083333333343</v>
      </c>
      <c r="S14" s="281">
        <f t="shared" si="7"/>
        <v>1266.7</v>
      </c>
      <c r="T14" s="281">
        <f t="shared" si="16"/>
        <v>10872.508333333335</v>
      </c>
      <c r="U14" s="281">
        <f t="shared" si="8"/>
        <v>1794.491666666665</v>
      </c>
      <c r="V14" s="296">
        <f t="shared" si="9"/>
        <v>62.807208333333278</v>
      </c>
      <c r="W14" s="307">
        <f t="shared" si="10"/>
        <v>44.334500000000006</v>
      </c>
      <c r="X14" s="283"/>
      <c r="Y14" s="313">
        <f t="shared" si="17"/>
        <v>12</v>
      </c>
      <c r="Z14" s="313">
        <f t="shared" si="11"/>
        <v>1266.7</v>
      </c>
      <c r="AA14" s="313">
        <f t="shared" si="12"/>
        <v>44.334500000000006</v>
      </c>
    </row>
    <row r="15" spans="1:27">
      <c r="A15" s="277" t="s">
        <v>344</v>
      </c>
      <c r="B15" s="292" t="s">
        <v>348</v>
      </c>
      <c r="C15" s="277">
        <v>30</v>
      </c>
      <c r="D15" s="278">
        <v>9</v>
      </c>
      <c r="E15" s="278">
        <v>2016</v>
      </c>
      <c r="F15" s="293">
        <v>9313</v>
      </c>
      <c r="G15" s="278">
        <v>10</v>
      </c>
      <c r="H15" s="294">
        <v>3.5000000000000003E-2</v>
      </c>
      <c r="I15" s="279">
        <f t="shared" si="0"/>
        <v>120</v>
      </c>
      <c r="J15" s="279">
        <f t="shared" si="1"/>
        <v>91</v>
      </c>
      <c r="K15" s="279">
        <f t="shared" si="13"/>
        <v>29</v>
      </c>
      <c r="L15" s="280">
        <f t="shared" si="2"/>
        <v>9</v>
      </c>
      <c r="M15" s="280">
        <f t="shared" si="3"/>
        <v>2026</v>
      </c>
      <c r="N15" s="281">
        <f t="shared" si="14"/>
        <v>9313</v>
      </c>
      <c r="O15" s="295">
        <f t="shared" si="15"/>
        <v>77.608333333333334</v>
      </c>
      <c r="P15" s="295">
        <f t="shared" si="4"/>
        <v>931.3</v>
      </c>
      <c r="Q15" s="281">
        <f t="shared" si="5"/>
        <v>12</v>
      </c>
      <c r="R15" s="281">
        <f t="shared" si="6"/>
        <v>6131.0583333333334</v>
      </c>
      <c r="S15" s="281">
        <f t="shared" si="7"/>
        <v>931.3</v>
      </c>
      <c r="T15" s="281">
        <f t="shared" si="16"/>
        <v>7062.3583333333336</v>
      </c>
      <c r="U15" s="281">
        <f t="shared" si="8"/>
        <v>2250.6416666666664</v>
      </c>
      <c r="V15" s="296">
        <f t="shared" si="9"/>
        <v>78.772458333333333</v>
      </c>
      <c r="W15" s="307">
        <f t="shared" si="10"/>
        <v>32.595500000000001</v>
      </c>
      <c r="X15" s="283"/>
      <c r="Y15" s="313">
        <f t="shared" si="17"/>
        <v>12</v>
      </c>
      <c r="Z15" s="313">
        <f t="shared" si="11"/>
        <v>931.3</v>
      </c>
      <c r="AA15" s="313">
        <f t="shared" si="12"/>
        <v>32.595500000000001</v>
      </c>
    </row>
    <row r="16" spans="1:27">
      <c r="A16" s="277" t="s">
        <v>344</v>
      </c>
      <c r="B16" s="292" t="s">
        <v>349</v>
      </c>
      <c r="C16" s="277">
        <v>30</v>
      </c>
      <c r="D16" s="278">
        <v>9</v>
      </c>
      <c r="E16" s="278">
        <v>2017</v>
      </c>
      <c r="F16" s="293">
        <v>69638</v>
      </c>
      <c r="G16" s="278">
        <v>10</v>
      </c>
      <c r="H16" s="294">
        <v>3.5000000000000003E-2</v>
      </c>
      <c r="I16" s="279">
        <f t="shared" si="0"/>
        <v>120</v>
      </c>
      <c r="J16" s="279">
        <f t="shared" si="1"/>
        <v>79</v>
      </c>
      <c r="K16" s="279">
        <f t="shared" si="13"/>
        <v>41</v>
      </c>
      <c r="L16" s="280">
        <f t="shared" si="2"/>
        <v>9</v>
      </c>
      <c r="M16" s="280">
        <f t="shared" si="3"/>
        <v>2027</v>
      </c>
      <c r="N16" s="281">
        <f t="shared" si="14"/>
        <v>69638</v>
      </c>
      <c r="O16" s="295">
        <f t="shared" si="15"/>
        <v>580.31666666666672</v>
      </c>
      <c r="P16" s="295">
        <f t="shared" si="4"/>
        <v>6963.8</v>
      </c>
      <c r="Q16" s="281">
        <f t="shared" si="5"/>
        <v>12</v>
      </c>
      <c r="R16" s="281">
        <f t="shared" si="6"/>
        <v>38881.216666666667</v>
      </c>
      <c r="S16" s="281">
        <f t="shared" si="7"/>
        <v>6963.8000000000011</v>
      </c>
      <c r="T16" s="281">
        <f t="shared" si="16"/>
        <v>45845.01666666667</v>
      </c>
      <c r="U16" s="281">
        <f t="shared" si="8"/>
        <v>23792.98333333333</v>
      </c>
      <c r="V16" s="296">
        <f t="shared" si="9"/>
        <v>832.75441666666666</v>
      </c>
      <c r="W16" s="307">
        <f t="shared" si="10"/>
        <v>243.73300000000006</v>
      </c>
      <c r="X16" s="283"/>
      <c r="Y16" s="313">
        <f t="shared" si="17"/>
        <v>12</v>
      </c>
      <c r="Z16" s="313">
        <f t="shared" si="11"/>
        <v>6963.8000000000011</v>
      </c>
      <c r="AA16" s="313">
        <f t="shared" si="12"/>
        <v>243.73300000000006</v>
      </c>
    </row>
    <row r="17" spans="1:27">
      <c r="A17" s="277" t="s">
        <v>344</v>
      </c>
      <c r="B17" s="292" t="s">
        <v>350</v>
      </c>
      <c r="C17" s="277">
        <v>30</v>
      </c>
      <c r="D17" s="278">
        <v>9</v>
      </c>
      <c r="E17" s="278">
        <v>2018</v>
      </c>
      <c r="F17" s="293">
        <v>12516.35</v>
      </c>
      <c r="G17" s="278">
        <v>10</v>
      </c>
      <c r="H17" s="294">
        <v>3.5000000000000003E-2</v>
      </c>
      <c r="I17" s="279">
        <f t="shared" si="0"/>
        <v>120</v>
      </c>
      <c r="J17" s="279">
        <f t="shared" si="1"/>
        <v>67</v>
      </c>
      <c r="K17" s="279">
        <f t="shared" si="13"/>
        <v>53</v>
      </c>
      <c r="L17" s="280">
        <f t="shared" si="2"/>
        <v>9</v>
      </c>
      <c r="M17" s="280">
        <f t="shared" si="3"/>
        <v>2028</v>
      </c>
      <c r="N17" s="281">
        <f t="shared" si="14"/>
        <v>12516.35</v>
      </c>
      <c r="O17" s="295">
        <f t="shared" si="15"/>
        <v>104.30291666666668</v>
      </c>
      <c r="P17" s="295">
        <f t="shared" si="4"/>
        <v>1251.635</v>
      </c>
      <c r="Q17" s="281">
        <f t="shared" si="5"/>
        <v>12</v>
      </c>
      <c r="R17" s="281">
        <f t="shared" si="6"/>
        <v>5736.6604166666675</v>
      </c>
      <c r="S17" s="281">
        <f t="shared" si="7"/>
        <v>1251.6350000000002</v>
      </c>
      <c r="T17" s="281">
        <f t="shared" si="16"/>
        <v>6988.2954166666677</v>
      </c>
      <c r="U17" s="281">
        <f t="shared" si="8"/>
        <v>5528.0545833333326</v>
      </c>
      <c r="V17" s="296">
        <f t="shared" si="9"/>
        <v>193.48191041666666</v>
      </c>
      <c r="W17" s="307">
        <f t="shared" si="10"/>
        <v>43.80722500000001</v>
      </c>
      <c r="X17" s="283"/>
      <c r="Y17" s="313">
        <f t="shared" si="17"/>
        <v>12</v>
      </c>
      <c r="Z17" s="313">
        <f t="shared" si="11"/>
        <v>1251.6350000000002</v>
      </c>
      <c r="AA17" s="313">
        <f t="shared" si="12"/>
        <v>43.80722500000001</v>
      </c>
    </row>
    <row r="18" spans="1:27">
      <c r="A18" s="277" t="s">
        <v>344</v>
      </c>
      <c r="B18" s="292" t="s">
        <v>351</v>
      </c>
      <c r="C18" s="277">
        <v>30</v>
      </c>
      <c r="D18" s="278">
        <v>9</v>
      </c>
      <c r="E18" s="278">
        <v>2019</v>
      </c>
      <c r="F18" s="293">
        <v>23246.42</v>
      </c>
      <c r="G18" s="278">
        <v>10</v>
      </c>
      <c r="H18" s="294">
        <v>3.5000000000000003E-2</v>
      </c>
      <c r="I18" s="279">
        <f t="shared" si="0"/>
        <v>120</v>
      </c>
      <c r="J18" s="279">
        <f t="shared" si="1"/>
        <v>55</v>
      </c>
      <c r="K18" s="279">
        <f>I18-J18</f>
        <v>65</v>
      </c>
      <c r="L18" s="280">
        <f t="shared" si="2"/>
        <v>9</v>
      </c>
      <c r="M18" s="280">
        <f t="shared" si="3"/>
        <v>2029</v>
      </c>
      <c r="N18" s="281">
        <f t="shared" si="14"/>
        <v>23246.42</v>
      </c>
      <c r="O18" s="295">
        <f t="shared" si="15"/>
        <v>193.72016666666664</v>
      </c>
      <c r="P18" s="295">
        <f t="shared" si="4"/>
        <v>2324.6419999999998</v>
      </c>
      <c r="Q18" s="281">
        <f t="shared" si="5"/>
        <v>12</v>
      </c>
      <c r="R18" s="281">
        <f t="shared" si="6"/>
        <v>8329.9671666666654</v>
      </c>
      <c r="S18" s="281">
        <f t="shared" si="7"/>
        <v>2324.6419999999998</v>
      </c>
      <c r="T18" s="281">
        <f t="shared" si="16"/>
        <v>10654.609166666665</v>
      </c>
      <c r="U18" s="281">
        <f t="shared" si="8"/>
        <v>12591.810833333333</v>
      </c>
      <c r="V18" s="296">
        <f t="shared" si="9"/>
        <v>440.7133791666667</v>
      </c>
      <c r="W18" s="307">
        <f t="shared" si="10"/>
        <v>81.362470000000002</v>
      </c>
      <c r="X18" s="283"/>
      <c r="Y18" s="313">
        <f t="shared" si="17"/>
        <v>12</v>
      </c>
      <c r="Z18" s="313">
        <f t="shared" si="11"/>
        <v>2324.6419999999998</v>
      </c>
      <c r="AA18" s="313">
        <f t="shared" si="12"/>
        <v>81.362470000000002</v>
      </c>
    </row>
    <row r="19" spans="1:27">
      <c r="A19" s="277" t="s">
        <v>344</v>
      </c>
      <c r="B19" s="292" t="s">
        <v>352</v>
      </c>
      <c r="C19" s="277">
        <v>30</v>
      </c>
      <c r="D19" s="278">
        <v>9</v>
      </c>
      <c r="E19" s="278">
        <v>2020</v>
      </c>
      <c r="F19" s="293">
        <v>67608.23</v>
      </c>
      <c r="G19" s="278">
        <v>10</v>
      </c>
      <c r="H19" s="294">
        <v>3.5000000000000003E-2</v>
      </c>
      <c r="I19" s="279">
        <f t="shared" si="0"/>
        <v>120</v>
      </c>
      <c r="J19" s="279">
        <f t="shared" si="1"/>
        <v>43</v>
      </c>
      <c r="K19" s="279">
        <f t="shared" si="13"/>
        <v>77</v>
      </c>
      <c r="L19" s="280">
        <f t="shared" si="2"/>
        <v>9</v>
      </c>
      <c r="M19" s="280">
        <f t="shared" si="3"/>
        <v>2030</v>
      </c>
      <c r="N19" s="281">
        <f t="shared" si="14"/>
        <v>67608.23</v>
      </c>
      <c r="O19" s="295">
        <f t="shared" si="15"/>
        <v>563.40191666666658</v>
      </c>
      <c r="P19" s="295">
        <f t="shared" si="4"/>
        <v>6760.8229999999994</v>
      </c>
      <c r="Q19" s="281">
        <f t="shared" si="5"/>
        <v>12</v>
      </c>
      <c r="R19" s="281">
        <f t="shared" si="6"/>
        <v>17465.459416666665</v>
      </c>
      <c r="S19" s="281">
        <f t="shared" si="7"/>
        <v>6760.8229999999985</v>
      </c>
      <c r="T19" s="281">
        <f t="shared" si="16"/>
        <v>24226.282416666661</v>
      </c>
      <c r="U19" s="281">
        <f t="shared" si="8"/>
        <v>43381.947583333334</v>
      </c>
      <c r="V19" s="296">
        <f t="shared" si="9"/>
        <v>1518.3681654166669</v>
      </c>
      <c r="W19" s="307">
        <f t="shared" si="10"/>
        <v>236.62880499999997</v>
      </c>
      <c r="X19" s="283"/>
      <c r="Y19" s="313">
        <f t="shared" si="17"/>
        <v>12</v>
      </c>
      <c r="Z19" s="313">
        <f t="shared" si="11"/>
        <v>6760.8229999999985</v>
      </c>
      <c r="AA19" s="313">
        <f t="shared" si="12"/>
        <v>236.62880499999997</v>
      </c>
    </row>
    <row r="20" spans="1:27">
      <c r="A20" s="277" t="s">
        <v>344</v>
      </c>
      <c r="B20" s="292" t="s">
        <v>353</v>
      </c>
      <c r="C20" s="277">
        <v>30</v>
      </c>
      <c r="D20" s="278">
        <v>9</v>
      </c>
      <c r="E20" s="278">
        <v>2021</v>
      </c>
      <c r="F20" s="293">
        <v>59978.92</v>
      </c>
      <c r="G20" s="278">
        <v>10</v>
      </c>
      <c r="H20" s="294">
        <v>3.5000000000000003E-2</v>
      </c>
      <c r="I20" s="279">
        <f t="shared" si="0"/>
        <v>120</v>
      </c>
      <c r="J20" s="279">
        <f t="shared" si="1"/>
        <v>31</v>
      </c>
      <c r="K20" s="279">
        <f t="shared" si="13"/>
        <v>89</v>
      </c>
      <c r="L20" s="280">
        <f t="shared" si="2"/>
        <v>9</v>
      </c>
      <c r="M20" s="280">
        <f t="shared" si="3"/>
        <v>2031</v>
      </c>
      <c r="N20" s="281">
        <f t="shared" si="14"/>
        <v>59978.92</v>
      </c>
      <c r="O20" s="295">
        <f t="shared" si="15"/>
        <v>499.8243333333333</v>
      </c>
      <c r="P20" s="295">
        <f t="shared" si="4"/>
        <v>5997.8919999999998</v>
      </c>
      <c r="Q20" s="281">
        <f t="shared" si="5"/>
        <v>12</v>
      </c>
      <c r="R20" s="281">
        <f t="shared" si="6"/>
        <v>9496.6623333333318</v>
      </c>
      <c r="S20" s="281">
        <f t="shared" si="7"/>
        <v>5997.8919999999998</v>
      </c>
      <c r="T20" s="281">
        <f t="shared" si="16"/>
        <v>15494.554333333332</v>
      </c>
      <c r="U20" s="281">
        <f t="shared" si="8"/>
        <v>44484.365666666665</v>
      </c>
      <c r="V20" s="296">
        <f t="shared" si="9"/>
        <v>1556.9527983333335</v>
      </c>
      <c r="W20" s="307">
        <f t="shared" si="10"/>
        <v>209.92622</v>
      </c>
      <c r="X20" s="283"/>
      <c r="Y20" s="313">
        <f t="shared" si="17"/>
        <v>12</v>
      </c>
      <c r="Z20" s="313">
        <f t="shared" si="11"/>
        <v>5997.8919999999998</v>
      </c>
      <c r="AA20" s="313">
        <f t="shared" si="12"/>
        <v>209.92622</v>
      </c>
    </row>
    <row r="21" spans="1:27">
      <c r="A21" s="277" t="s">
        <v>344</v>
      </c>
      <c r="B21" s="292" t="s">
        <v>354</v>
      </c>
      <c r="C21" s="277">
        <v>30</v>
      </c>
      <c r="D21" s="278">
        <v>9</v>
      </c>
      <c r="E21" s="278">
        <v>2022</v>
      </c>
      <c r="F21" s="293">
        <v>29979.59</v>
      </c>
      <c r="G21" s="278">
        <v>10</v>
      </c>
      <c r="H21" s="294">
        <v>3.5000000000000003E-2</v>
      </c>
      <c r="I21" s="279">
        <f t="shared" si="0"/>
        <v>120</v>
      </c>
      <c r="J21" s="279">
        <f t="shared" si="1"/>
        <v>19</v>
      </c>
      <c r="K21" s="279">
        <f t="shared" si="13"/>
        <v>101</v>
      </c>
      <c r="L21" s="280">
        <f t="shared" si="2"/>
        <v>9</v>
      </c>
      <c r="M21" s="280">
        <f t="shared" si="3"/>
        <v>2032</v>
      </c>
      <c r="N21" s="281">
        <f t="shared" si="14"/>
        <v>29979.59</v>
      </c>
      <c r="O21" s="295">
        <f t="shared" si="15"/>
        <v>249.82991666666666</v>
      </c>
      <c r="P21" s="295">
        <f t="shared" si="4"/>
        <v>2997.9589999999998</v>
      </c>
      <c r="Q21" s="281">
        <f t="shared" si="5"/>
        <v>12</v>
      </c>
      <c r="R21" s="281">
        <f t="shared" si="6"/>
        <v>1748.8094166666667</v>
      </c>
      <c r="S21" s="281">
        <f t="shared" si="7"/>
        <v>2997.9589999999998</v>
      </c>
      <c r="T21" s="281">
        <f t="shared" si="16"/>
        <v>4746.7684166666668</v>
      </c>
      <c r="U21" s="281">
        <f t="shared" si="8"/>
        <v>25232.821583333334</v>
      </c>
      <c r="V21" s="296">
        <f t="shared" si="9"/>
        <v>883.14875541666675</v>
      </c>
      <c r="W21" s="307">
        <f t="shared" si="10"/>
        <v>104.92856500000001</v>
      </c>
      <c r="X21" s="283"/>
      <c r="Y21" s="313">
        <f t="shared" si="17"/>
        <v>12</v>
      </c>
      <c r="Z21" s="313">
        <f t="shared" si="11"/>
        <v>2997.9589999999998</v>
      </c>
      <c r="AA21" s="313">
        <f t="shared" si="12"/>
        <v>104.92856500000001</v>
      </c>
    </row>
    <row r="22" spans="1:27">
      <c r="A22" s="277" t="s">
        <v>344</v>
      </c>
      <c r="B22" s="292" t="s">
        <v>355</v>
      </c>
      <c r="C22" s="277">
        <v>30</v>
      </c>
      <c r="D22" s="278">
        <v>9</v>
      </c>
      <c r="E22" s="278">
        <v>2023</v>
      </c>
      <c r="F22" s="293">
        <v>43704.639999999999</v>
      </c>
      <c r="G22" s="278">
        <v>10</v>
      </c>
      <c r="H22" s="294">
        <v>3.5000000000000003E-2</v>
      </c>
      <c r="I22" s="279">
        <f t="shared" si="0"/>
        <v>120</v>
      </c>
      <c r="J22" s="279">
        <f t="shared" si="1"/>
        <v>7</v>
      </c>
      <c r="K22" s="279">
        <f t="shared" si="13"/>
        <v>113</v>
      </c>
      <c r="L22" s="280">
        <f t="shared" si="2"/>
        <v>9</v>
      </c>
      <c r="M22" s="280">
        <f t="shared" si="3"/>
        <v>2033</v>
      </c>
      <c r="N22" s="281">
        <f t="shared" si="14"/>
        <v>43704.639999999999</v>
      </c>
      <c r="O22" s="295">
        <f t="shared" si="15"/>
        <v>364.20533333333333</v>
      </c>
      <c r="P22" s="295">
        <f t="shared" si="4"/>
        <v>4370.4639999999999</v>
      </c>
      <c r="Q22" s="281">
        <f t="shared" si="5"/>
        <v>7</v>
      </c>
      <c r="R22" s="281">
        <f t="shared" si="6"/>
        <v>0</v>
      </c>
      <c r="S22" s="281">
        <f t="shared" si="7"/>
        <v>2549.4373333333333</v>
      </c>
      <c r="T22" s="281">
        <f t="shared" si="16"/>
        <v>2549.4373333333333</v>
      </c>
      <c r="U22" s="281">
        <f t="shared" si="8"/>
        <v>41155.202666666664</v>
      </c>
      <c r="V22" s="296">
        <f t="shared" si="9"/>
        <v>1440.4320933333333</v>
      </c>
      <c r="W22" s="307">
        <f t="shared" si="10"/>
        <v>89.230306666666678</v>
      </c>
      <c r="X22" s="283"/>
      <c r="Y22" s="313">
        <f t="shared" si="17"/>
        <v>12</v>
      </c>
      <c r="Z22" s="313">
        <f t="shared" si="11"/>
        <v>4370.4639999999999</v>
      </c>
      <c r="AA22" s="313">
        <f t="shared" si="12"/>
        <v>152.96624</v>
      </c>
    </row>
    <row r="23" spans="1:27">
      <c r="A23" s="277" t="s">
        <v>344</v>
      </c>
      <c r="B23" s="292" t="s">
        <v>356</v>
      </c>
      <c r="C23" s="277">
        <v>31</v>
      </c>
      <c r="D23" s="278">
        <v>3</v>
      </c>
      <c r="E23" s="278">
        <v>2024</v>
      </c>
      <c r="F23" s="293">
        <v>17531.45</v>
      </c>
      <c r="G23" s="278">
        <v>10</v>
      </c>
      <c r="H23" s="294">
        <v>3.5000000000000003E-2</v>
      </c>
      <c r="I23" s="279">
        <f t="shared" si="0"/>
        <v>120</v>
      </c>
      <c r="J23" s="279">
        <f t="shared" si="1"/>
        <v>1</v>
      </c>
      <c r="K23" s="279">
        <f t="shared" si="13"/>
        <v>119</v>
      </c>
      <c r="L23" s="280">
        <f t="shared" si="2"/>
        <v>3</v>
      </c>
      <c r="M23" s="280">
        <f t="shared" si="3"/>
        <v>2034</v>
      </c>
      <c r="N23" s="281">
        <f t="shared" si="14"/>
        <v>17531.45</v>
      </c>
      <c r="O23" s="295">
        <f t="shared" si="15"/>
        <v>146.09541666666667</v>
      </c>
      <c r="P23" s="295">
        <f t="shared" si="4"/>
        <v>1753.145</v>
      </c>
      <c r="Q23" s="281">
        <f t="shared" si="5"/>
        <v>1</v>
      </c>
      <c r="R23" s="281">
        <f t="shared" si="6"/>
        <v>0</v>
      </c>
      <c r="S23" s="281">
        <f t="shared" si="7"/>
        <v>146.09541666666667</v>
      </c>
      <c r="T23" s="281">
        <f t="shared" si="16"/>
        <v>146.09541666666667</v>
      </c>
      <c r="U23" s="281">
        <f t="shared" si="8"/>
        <v>17385.354583333334</v>
      </c>
      <c r="V23" s="296">
        <f t="shared" si="9"/>
        <v>608.48741041666676</v>
      </c>
      <c r="W23" s="307">
        <f t="shared" si="10"/>
        <v>5.1133395833333335</v>
      </c>
      <c r="X23" s="283"/>
      <c r="Y23" s="313">
        <f t="shared" si="17"/>
        <v>12</v>
      </c>
      <c r="Z23" s="313">
        <f t="shared" si="11"/>
        <v>1753.145</v>
      </c>
      <c r="AA23" s="313">
        <f t="shared" si="12"/>
        <v>61.360075000000002</v>
      </c>
    </row>
    <row r="24" spans="1:27">
      <c r="A24" s="292" t="s">
        <v>357</v>
      </c>
      <c r="B24" s="292" t="s">
        <v>358</v>
      </c>
      <c r="C24" s="277">
        <v>30</v>
      </c>
      <c r="D24" s="278">
        <v>9</v>
      </c>
      <c r="E24" s="278">
        <v>2013</v>
      </c>
      <c r="F24" s="293">
        <v>470</v>
      </c>
      <c r="G24" s="278">
        <v>7</v>
      </c>
      <c r="H24" s="294">
        <v>0.05</v>
      </c>
      <c r="I24" s="279">
        <f t="shared" si="0"/>
        <v>84</v>
      </c>
      <c r="J24" s="279">
        <f t="shared" si="1"/>
        <v>127</v>
      </c>
      <c r="K24" s="279">
        <f t="shared" si="13"/>
        <v>-43</v>
      </c>
      <c r="L24" s="280">
        <f t="shared" si="2"/>
        <v>9</v>
      </c>
      <c r="M24" s="280">
        <f t="shared" si="3"/>
        <v>2020</v>
      </c>
      <c r="N24" s="281">
        <f t="shared" si="14"/>
        <v>470</v>
      </c>
      <c r="O24" s="295">
        <f t="shared" si="15"/>
        <v>5.5952380952380949</v>
      </c>
      <c r="P24" s="295">
        <f t="shared" si="4"/>
        <v>67.142857142857139</v>
      </c>
      <c r="Q24" s="281">
        <f t="shared" si="5"/>
        <v>0</v>
      </c>
      <c r="R24" s="281">
        <f t="shared" si="6"/>
        <v>470</v>
      </c>
      <c r="S24" s="281">
        <f t="shared" si="7"/>
        <v>0</v>
      </c>
      <c r="T24" s="281">
        <f t="shared" si="16"/>
        <v>470</v>
      </c>
      <c r="U24" s="281">
        <f t="shared" si="8"/>
        <v>0</v>
      </c>
      <c r="V24" s="296">
        <f t="shared" si="9"/>
        <v>0</v>
      </c>
      <c r="W24" s="307">
        <f t="shared" si="10"/>
        <v>0</v>
      </c>
      <c r="X24" s="283"/>
      <c r="Y24" s="313">
        <f t="shared" si="17"/>
        <v>0</v>
      </c>
      <c r="Z24" s="313">
        <f t="shared" si="11"/>
        <v>0</v>
      </c>
      <c r="AA24" s="313">
        <f t="shared" si="12"/>
        <v>0</v>
      </c>
    </row>
    <row r="25" spans="1:27">
      <c r="A25" s="292" t="s">
        <v>357</v>
      </c>
      <c r="B25" s="292" t="s">
        <v>359</v>
      </c>
      <c r="C25" s="277">
        <v>30</v>
      </c>
      <c r="D25" s="278">
        <v>9</v>
      </c>
      <c r="E25" s="278">
        <v>2014</v>
      </c>
      <c r="F25" s="293">
        <v>3483</v>
      </c>
      <c r="G25" s="278">
        <v>7</v>
      </c>
      <c r="H25" s="294">
        <v>0.05</v>
      </c>
      <c r="I25" s="279">
        <f t="shared" si="0"/>
        <v>84</v>
      </c>
      <c r="J25" s="279">
        <f t="shared" si="1"/>
        <v>115</v>
      </c>
      <c r="K25" s="279">
        <f t="shared" si="13"/>
        <v>-31</v>
      </c>
      <c r="L25" s="280">
        <f t="shared" si="2"/>
        <v>9</v>
      </c>
      <c r="M25" s="280">
        <f t="shared" si="3"/>
        <v>2021</v>
      </c>
      <c r="N25" s="281">
        <f t="shared" si="14"/>
        <v>3483</v>
      </c>
      <c r="O25" s="295">
        <f t="shared" si="15"/>
        <v>41.464285714285715</v>
      </c>
      <c r="P25" s="295">
        <f t="shared" si="4"/>
        <v>497.57142857142856</v>
      </c>
      <c r="Q25" s="281">
        <f t="shared" si="5"/>
        <v>0</v>
      </c>
      <c r="R25" s="281">
        <f t="shared" si="6"/>
        <v>3483</v>
      </c>
      <c r="S25" s="281">
        <f t="shared" si="7"/>
        <v>0</v>
      </c>
      <c r="T25" s="281">
        <f t="shared" si="16"/>
        <v>3483</v>
      </c>
      <c r="U25" s="281">
        <f t="shared" si="8"/>
        <v>0</v>
      </c>
      <c r="V25" s="296">
        <f t="shared" si="9"/>
        <v>0</v>
      </c>
      <c r="W25" s="307">
        <f t="shared" si="10"/>
        <v>0</v>
      </c>
      <c r="X25" s="283"/>
      <c r="Y25" s="313">
        <f t="shared" si="17"/>
        <v>0</v>
      </c>
      <c r="Z25" s="313">
        <f t="shared" si="11"/>
        <v>0</v>
      </c>
      <c r="AA25" s="313">
        <f t="shared" si="12"/>
        <v>0</v>
      </c>
    </row>
    <row r="26" spans="1:27">
      <c r="A26" s="292" t="s">
        <v>357</v>
      </c>
      <c r="B26" s="292" t="s">
        <v>360</v>
      </c>
      <c r="C26" s="277">
        <v>30</v>
      </c>
      <c r="D26" s="278">
        <v>9</v>
      </c>
      <c r="E26" s="278">
        <v>2015</v>
      </c>
      <c r="F26" s="293">
        <v>1408</v>
      </c>
      <c r="G26" s="278">
        <v>7</v>
      </c>
      <c r="H26" s="294">
        <v>0.05</v>
      </c>
      <c r="I26" s="279">
        <f t="shared" si="0"/>
        <v>84</v>
      </c>
      <c r="J26" s="279">
        <f t="shared" si="1"/>
        <v>103</v>
      </c>
      <c r="K26" s="279">
        <f t="shared" si="13"/>
        <v>-19</v>
      </c>
      <c r="L26" s="280">
        <f t="shared" si="2"/>
        <v>9</v>
      </c>
      <c r="M26" s="280">
        <f t="shared" si="3"/>
        <v>2022</v>
      </c>
      <c r="N26" s="281">
        <f t="shared" si="14"/>
        <v>1408</v>
      </c>
      <c r="O26" s="295">
        <f t="shared" si="15"/>
        <v>16.761904761904763</v>
      </c>
      <c r="P26" s="295">
        <f t="shared" si="4"/>
        <v>201.14285714285714</v>
      </c>
      <c r="Q26" s="281">
        <f t="shared" si="5"/>
        <v>0</v>
      </c>
      <c r="R26" s="281">
        <f t="shared" si="6"/>
        <v>1408</v>
      </c>
      <c r="S26" s="281">
        <f t="shared" si="7"/>
        <v>0</v>
      </c>
      <c r="T26" s="281">
        <f t="shared" si="16"/>
        <v>1408</v>
      </c>
      <c r="U26" s="281">
        <f t="shared" si="8"/>
        <v>0</v>
      </c>
      <c r="V26" s="296">
        <f t="shared" si="9"/>
        <v>0</v>
      </c>
      <c r="W26" s="307">
        <f t="shared" si="10"/>
        <v>0</v>
      </c>
      <c r="X26" s="283"/>
      <c r="Y26" s="313">
        <f t="shared" si="17"/>
        <v>0</v>
      </c>
      <c r="Z26" s="313">
        <f t="shared" si="11"/>
        <v>0</v>
      </c>
      <c r="AA26" s="313">
        <f t="shared" si="12"/>
        <v>0</v>
      </c>
    </row>
    <row r="27" spans="1:27">
      <c r="A27" s="292" t="s">
        <v>357</v>
      </c>
      <c r="B27" s="292" t="s">
        <v>361</v>
      </c>
      <c r="C27" s="277">
        <v>30</v>
      </c>
      <c r="D27" s="278">
        <v>9</v>
      </c>
      <c r="E27" s="278">
        <v>2013</v>
      </c>
      <c r="F27" s="293">
        <v>8999</v>
      </c>
      <c r="G27" s="278">
        <v>7</v>
      </c>
      <c r="H27" s="294">
        <v>0.05</v>
      </c>
      <c r="I27" s="279">
        <f t="shared" si="0"/>
        <v>84</v>
      </c>
      <c r="J27" s="279">
        <f t="shared" si="1"/>
        <v>127</v>
      </c>
      <c r="K27" s="279">
        <f t="shared" si="13"/>
        <v>-43</v>
      </c>
      <c r="L27" s="280">
        <f t="shared" si="2"/>
        <v>9</v>
      </c>
      <c r="M27" s="280">
        <f t="shared" si="3"/>
        <v>2020</v>
      </c>
      <c r="N27" s="281">
        <f t="shared" si="14"/>
        <v>8999</v>
      </c>
      <c r="O27" s="295">
        <f t="shared" si="15"/>
        <v>107.13095238095238</v>
      </c>
      <c r="P27" s="295">
        <f t="shared" si="4"/>
        <v>1285.5714285714287</v>
      </c>
      <c r="Q27" s="281">
        <f t="shared" si="5"/>
        <v>0</v>
      </c>
      <c r="R27" s="281">
        <f t="shared" si="6"/>
        <v>8999</v>
      </c>
      <c r="S27" s="281">
        <f t="shared" si="7"/>
        <v>0</v>
      </c>
      <c r="T27" s="281">
        <f t="shared" si="16"/>
        <v>8999</v>
      </c>
      <c r="U27" s="281">
        <f t="shared" si="8"/>
        <v>0</v>
      </c>
      <c r="V27" s="296">
        <f t="shared" si="9"/>
        <v>0</v>
      </c>
      <c r="W27" s="307">
        <f t="shared" si="10"/>
        <v>0</v>
      </c>
      <c r="X27" s="283"/>
      <c r="Y27" s="313">
        <f t="shared" si="17"/>
        <v>0</v>
      </c>
      <c r="Z27" s="313">
        <f t="shared" si="11"/>
        <v>0</v>
      </c>
      <c r="AA27" s="313">
        <f t="shared" si="12"/>
        <v>0</v>
      </c>
    </row>
    <row r="28" spans="1:27">
      <c r="A28" s="292" t="s">
        <v>357</v>
      </c>
      <c r="B28" s="291" t="s">
        <v>362</v>
      </c>
      <c r="C28" s="277">
        <v>30</v>
      </c>
      <c r="D28" s="278">
        <v>9</v>
      </c>
      <c r="E28" s="278">
        <v>2014</v>
      </c>
      <c r="F28" s="293">
        <v>432</v>
      </c>
      <c r="G28" s="278">
        <v>7</v>
      </c>
      <c r="H28" s="294">
        <v>0.05</v>
      </c>
      <c r="I28" s="279">
        <f t="shared" si="0"/>
        <v>84</v>
      </c>
      <c r="J28" s="279">
        <f t="shared" si="1"/>
        <v>115</v>
      </c>
      <c r="K28" s="279">
        <f t="shared" si="13"/>
        <v>-31</v>
      </c>
      <c r="L28" s="280">
        <f t="shared" si="2"/>
        <v>9</v>
      </c>
      <c r="M28" s="280">
        <f t="shared" si="3"/>
        <v>2021</v>
      </c>
      <c r="N28" s="281">
        <f t="shared" si="14"/>
        <v>432</v>
      </c>
      <c r="O28" s="295">
        <f t="shared" si="15"/>
        <v>5.1428571428571432</v>
      </c>
      <c r="P28" s="295">
        <f t="shared" si="4"/>
        <v>61.714285714285715</v>
      </c>
      <c r="Q28" s="281">
        <f t="shared" si="5"/>
        <v>0</v>
      </c>
      <c r="R28" s="281">
        <f t="shared" si="6"/>
        <v>432</v>
      </c>
      <c r="S28" s="281">
        <f t="shared" si="7"/>
        <v>0</v>
      </c>
      <c r="T28" s="281">
        <f t="shared" si="16"/>
        <v>432</v>
      </c>
      <c r="U28" s="281">
        <f t="shared" si="8"/>
        <v>0</v>
      </c>
      <c r="V28" s="296">
        <f t="shared" si="9"/>
        <v>0</v>
      </c>
      <c r="W28" s="307">
        <f t="shared" si="10"/>
        <v>0</v>
      </c>
      <c r="X28" s="283"/>
      <c r="Y28" s="313">
        <f t="shared" si="17"/>
        <v>0</v>
      </c>
      <c r="Z28" s="313">
        <f t="shared" si="11"/>
        <v>0</v>
      </c>
      <c r="AA28" s="313">
        <f t="shared" si="12"/>
        <v>0</v>
      </c>
    </row>
    <row r="29" spans="1:27">
      <c r="A29" s="292" t="s">
        <v>357</v>
      </c>
      <c r="B29" s="292" t="s">
        <v>363</v>
      </c>
      <c r="C29" s="277">
        <v>20</v>
      </c>
      <c r="D29" s="278">
        <v>1</v>
      </c>
      <c r="E29" s="278">
        <v>2016</v>
      </c>
      <c r="F29" s="293">
        <v>1292</v>
      </c>
      <c r="G29" s="278">
        <v>7</v>
      </c>
      <c r="H29" s="294">
        <v>0.05</v>
      </c>
      <c r="I29" s="279">
        <f t="shared" si="0"/>
        <v>84</v>
      </c>
      <c r="J29" s="279">
        <f t="shared" si="1"/>
        <v>99</v>
      </c>
      <c r="K29" s="279">
        <f t="shared" si="13"/>
        <v>-15</v>
      </c>
      <c r="L29" s="280">
        <f t="shared" si="2"/>
        <v>1</v>
      </c>
      <c r="M29" s="280">
        <f t="shared" si="3"/>
        <v>2023</v>
      </c>
      <c r="N29" s="281">
        <f t="shared" si="14"/>
        <v>1292</v>
      </c>
      <c r="O29" s="295">
        <f t="shared" si="15"/>
        <v>15.380952380952381</v>
      </c>
      <c r="P29" s="295">
        <f t="shared" si="4"/>
        <v>184.57142857142858</v>
      </c>
      <c r="Q29" s="281">
        <f t="shared" si="5"/>
        <v>0</v>
      </c>
      <c r="R29" s="281">
        <f t="shared" si="6"/>
        <v>1292</v>
      </c>
      <c r="S29" s="281">
        <f t="shared" si="7"/>
        <v>0</v>
      </c>
      <c r="T29" s="281">
        <f t="shared" si="16"/>
        <v>1292</v>
      </c>
      <c r="U29" s="281">
        <f t="shared" si="8"/>
        <v>0</v>
      </c>
      <c r="V29" s="296">
        <f t="shared" si="9"/>
        <v>0</v>
      </c>
      <c r="W29" s="307">
        <f t="shared" si="10"/>
        <v>0</v>
      </c>
      <c r="X29" s="283"/>
      <c r="Y29" s="313">
        <f t="shared" si="17"/>
        <v>0</v>
      </c>
      <c r="Z29" s="313">
        <f t="shared" si="11"/>
        <v>0</v>
      </c>
      <c r="AA29" s="313">
        <f t="shared" si="12"/>
        <v>0</v>
      </c>
    </row>
    <row r="30" spans="1:27">
      <c r="A30" s="292" t="s">
        <v>357</v>
      </c>
      <c r="B30" s="292" t="s">
        <v>364</v>
      </c>
      <c r="C30" s="277">
        <v>22</v>
      </c>
      <c r="D30" s="278">
        <v>10</v>
      </c>
      <c r="E30" s="278">
        <v>2019</v>
      </c>
      <c r="F30" s="293">
        <v>7708</v>
      </c>
      <c r="G30" s="278">
        <v>7</v>
      </c>
      <c r="H30" s="294">
        <v>0.05</v>
      </c>
      <c r="I30" s="279">
        <f t="shared" si="0"/>
        <v>84</v>
      </c>
      <c r="J30" s="279">
        <f t="shared" si="1"/>
        <v>54</v>
      </c>
      <c r="K30" s="279">
        <f t="shared" si="13"/>
        <v>30</v>
      </c>
      <c r="L30" s="280">
        <f t="shared" si="2"/>
        <v>10</v>
      </c>
      <c r="M30" s="280">
        <f t="shared" si="3"/>
        <v>2026</v>
      </c>
      <c r="N30" s="281">
        <f t="shared" si="14"/>
        <v>7708</v>
      </c>
      <c r="O30" s="295">
        <f t="shared" si="15"/>
        <v>91.761904761904759</v>
      </c>
      <c r="P30" s="295">
        <f t="shared" si="4"/>
        <v>1101.1428571428571</v>
      </c>
      <c r="Q30" s="281">
        <f t="shared" si="5"/>
        <v>12</v>
      </c>
      <c r="R30" s="281">
        <f t="shared" si="6"/>
        <v>3854</v>
      </c>
      <c r="S30" s="281">
        <f t="shared" si="7"/>
        <v>1101.1428571428571</v>
      </c>
      <c r="T30" s="281">
        <f t="shared" si="16"/>
        <v>4955.1428571428569</v>
      </c>
      <c r="U30" s="281">
        <f t="shared" si="8"/>
        <v>2752.8571428571431</v>
      </c>
      <c r="V30" s="296">
        <f t="shared" si="9"/>
        <v>137.64285714285717</v>
      </c>
      <c r="W30" s="307">
        <f t="shared" si="10"/>
        <v>55.057142857142857</v>
      </c>
      <c r="X30" s="283"/>
      <c r="Y30" s="313">
        <f t="shared" si="17"/>
        <v>12</v>
      </c>
      <c r="Z30" s="313">
        <f t="shared" si="11"/>
        <v>1101.1428571428571</v>
      </c>
      <c r="AA30" s="313">
        <f t="shared" si="12"/>
        <v>55.057142857142857</v>
      </c>
    </row>
    <row r="31" spans="1:27">
      <c r="A31" s="292" t="s">
        <v>357</v>
      </c>
      <c r="B31" s="292" t="s">
        <v>365</v>
      </c>
      <c r="C31" s="277">
        <v>21</v>
      </c>
      <c r="D31" s="278">
        <v>12</v>
      </c>
      <c r="E31" s="278">
        <v>2021</v>
      </c>
      <c r="F31" s="293">
        <v>12076</v>
      </c>
      <c r="G31" s="278">
        <v>7</v>
      </c>
      <c r="H31" s="294">
        <v>0.05</v>
      </c>
      <c r="I31" s="279">
        <f t="shared" si="0"/>
        <v>84</v>
      </c>
      <c r="J31" s="279">
        <f t="shared" si="1"/>
        <v>28</v>
      </c>
      <c r="K31" s="279">
        <f t="shared" si="13"/>
        <v>56</v>
      </c>
      <c r="L31" s="280">
        <f t="shared" si="2"/>
        <v>12</v>
      </c>
      <c r="M31" s="280">
        <f t="shared" si="3"/>
        <v>2028</v>
      </c>
      <c r="N31" s="281">
        <f t="shared" si="14"/>
        <v>12076</v>
      </c>
      <c r="O31" s="295">
        <f t="shared" si="15"/>
        <v>143.76190476190476</v>
      </c>
      <c r="P31" s="295">
        <f t="shared" si="4"/>
        <v>1725.1428571428571</v>
      </c>
      <c r="Q31" s="281">
        <f t="shared" si="5"/>
        <v>12</v>
      </c>
      <c r="R31" s="281">
        <f t="shared" si="6"/>
        <v>2300.1904761904761</v>
      </c>
      <c r="S31" s="281">
        <f t="shared" si="7"/>
        <v>1725.1428571428571</v>
      </c>
      <c r="T31" s="281">
        <f t="shared" si="16"/>
        <v>4025.333333333333</v>
      </c>
      <c r="U31" s="281">
        <f t="shared" si="8"/>
        <v>8050.666666666667</v>
      </c>
      <c r="V31" s="296">
        <f t="shared" si="9"/>
        <v>402.53333333333336</v>
      </c>
      <c r="W31" s="307">
        <f t="shared" si="10"/>
        <v>86.257142857142867</v>
      </c>
      <c r="X31" s="283"/>
      <c r="Y31" s="313">
        <f t="shared" si="17"/>
        <v>12</v>
      </c>
      <c r="Z31" s="313">
        <f t="shared" si="11"/>
        <v>1725.1428571428571</v>
      </c>
      <c r="AA31" s="313">
        <f t="shared" si="12"/>
        <v>86.257142857142867</v>
      </c>
    </row>
    <row r="32" spans="1:27">
      <c r="A32" s="292" t="s">
        <v>366</v>
      </c>
      <c r="B32" s="292" t="s">
        <v>367</v>
      </c>
      <c r="C32" s="277">
        <v>15</v>
      </c>
      <c r="D32" s="278">
        <v>12</v>
      </c>
      <c r="E32" s="278">
        <v>2021</v>
      </c>
      <c r="F32" s="293">
        <v>15961</v>
      </c>
      <c r="G32" s="278">
        <v>20</v>
      </c>
      <c r="H32" s="294">
        <v>0.05</v>
      </c>
      <c r="I32" s="279">
        <f t="shared" si="0"/>
        <v>240</v>
      </c>
      <c r="J32" s="279">
        <f t="shared" si="1"/>
        <v>28</v>
      </c>
      <c r="K32" s="279">
        <f t="shared" si="13"/>
        <v>212</v>
      </c>
      <c r="L32" s="280">
        <f t="shared" si="2"/>
        <v>12</v>
      </c>
      <c r="M32" s="280">
        <f t="shared" si="3"/>
        <v>2041</v>
      </c>
      <c r="N32" s="281">
        <f t="shared" si="14"/>
        <v>15961</v>
      </c>
      <c r="O32" s="295">
        <f t="shared" si="15"/>
        <v>66.504166666666663</v>
      </c>
      <c r="P32" s="295">
        <f t="shared" si="4"/>
        <v>798.05</v>
      </c>
      <c r="Q32" s="281">
        <f t="shared" si="5"/>
        <v>12</v>
      </c>
      <c r="R32" s="281">
        <f t="shared" si="6"/>
        <v>1064.0666666666666</v>
      </c>
      <c r="S32" s="281">
        <f t="shared" si="7"/>
        <v>798.05</v>
      </c>
      <c r="T32" s="281">
        <f t="shared" si="16"/>
        <v>1862.1166666666666</v>
      </c>
      <c r="U32" s="281">
        <f t="shared" si="8"/>
        <v>14098.883333333333</v>
      </c>
      <c r="V32" s="296">
        <f t="shared" si="9"/>
        <v>704.94416666666666</v>
      </c>
      <c r="W32" s="307">
        <f t="shared" si="10"/>
        <v>39.902500000000003</v>
      </c>
      <c r="X32" s="283"/>
      <c r="Y32" s="313">
        <f t="shared" si="17"/>
        <v>12</v>
      </c>
      <c r="Z32" s="313">
        <f t="shared" si="11"/>
        <v>798.05</v>
      </c>
      <c r="AA32" s="313">
        <f t="shared" si="12"/>
        <v>39.902500000000003</v>
      </c>
    </row>
    <row r="33" spans="1:27">
      <c r="A33" s="292" t="s">
        <v>366</v>
      </c>
      <c r="B33" s="292" t="s">
        <v>367</v>
      </c>
      <c r="C33" s="277">
        <v>12</v>
      </c>
      <c r="D33" s="278">
        <v>1</v>
      </c>
      <c r="E33" s="278">
        <v>2022</v>
      </c>
      <c r="F33" s="293">
        <v>5018</v>
      </c>
      <c r="G33" s="278">
        <v>20</v>
      </c>
      <c r="H33" s="294">
        <v>0.05</v>
      </c>
      <c r="I33" s="279">
        <f t="shared" si="0"/>
        <v>240</v>
      </c>
      <c r="J33" s="279">
        <f t="shared" si="1"/>
        <v>27</v>
      </c>
      <c r="K33" s="279">
        <f t="shared" si="13"/>
        <v>213</v>
      </c>
      <c r="L33" s="280">
        <f t="shared" si="2"/>
        <v>1</v>
      </c>
      <c r="M33" s="280">
        <f t="shared" si="3"/>
        <v>2042</v>
      </c>
      <c r="N33" s="281">
        <f t="shared" si="14"/>
        <v>5018</v>
      </c>
      <c r="O33" s="295">
        <f t="shared" si="15"/>
        <v>20.908333333333335</v>
      </c>
      <c r="P33" s="295">
        <f t="shared" si="4"/>
        <v>250.9</v>
      </c>
      <c r="Q33" s="281">
        <f t="shared" si="5"/>
        <v>12</v>
      </c>
      <c r="R33" s="281">
        <f t="shared" si="6"/>
        <v>313.625</v>
      </c>
      <c r="S33" s="281">
        <f t="shared" si="7"/>
        <v>250.90000000000003</v>
      </c>
      <c r="T33" s="281">
        <f t="shared" si="16"/>
        <v>564.52500000000009</v>
      </c>
      <c r="U33" s="281">
        <f t="shared" si="8"/>
        <v>4453.4750000000004</v>
      </c>
      <c r="V33" s="296">
        <f t="shared" si="9"/>
        <v>222.67375000000004</v>
      </c>
      <c r="W33" s="307">
        <f t="shared" si="10"/>
        <v>12.545000000000002</v>
      </c>
      <c r="X33" s="283"/>
      <c r="Y33" s="313">
        <f t="shared" si="17"/>
        <v>12</v>
      </c>
      <c r="Z33" s="313">
        <f t="shared" si="11"/>
        <v>250.90000000000003</v>
      </c>
      <c r="AA33" s="313">
        <f t="shared" si="12"/>
        <v>12.545000000000002</v>
      </c>
    </row>
    <row r="34" spans="1:27">
      <c r="A34" s="292" t="s">
        <v>368</v>
      </c>
      <c r="B34" s="284" t="s">
        <v>369</v>
      </c>
      <c r="C34" s="277">
        <v>12</v>
      </c>
      <c r="D34" s="278">
        <v>2</v>
      </c>
      <c r="E34" s="278">
        <v>2016</v>
      </c>
      <c r="F34" s="293">
        <v>25000</v>
      </c>
      <c r="G34" s="278">
        <v>7</v>
      </c>
      <c r="H34" s="294">
        <v>0</v>
      </c>
      <c r="I34" s="279">
        <f t="shared" si="0"/>
        <v>84</v>
      </c>
      <c r="J34" s="279">
        <f t="shared" si="1"/>
        <v>98</v>
      </c>
      <c r="K34" s="279">
        <f t="shared" si="13"/>
        <v>-14</v>
      </c>
      <c r="L34" s="280">
        <f t="shared" si="2"/>
        <v>2</v>
      </c>
      <c r="M34" s="280">
        <f t="shared" si="3"/>
        <v>2023</v>
      </c>
      <c r="N34" s="281">
        <f t="shared" si="14"/>
        <v>25000</v>
      </c>
      <c r="O34" s="295">
        <f t="shared" si="15"/>
        <v>297.61904761904759</v>
      </c>
      <c r="P34" s="295">
        <f t="shared" si="4"/>
        <v>3571.4285714285716</v>
      </c>
      <c r="Q34" s="281">
        <f t="shared" si="5"/>
        <v>0</v>
      </c>
      <c r="R34" s="281">
        <f t="shared" si="6"/>
        <v>25000</v>
      </c>
      <c r="S34" s="281">
        <f t="shared" si="7"/>
        <v>0</v>
      </c>
      <c r="T34" s="281">
        <f t="shared" si="16"/>
        <v>25000</v>
      </c>
      <c r="U34" s="281">
        <f t="shared" si="8"/>
        <v>0</v>
      </c>
      <c r="V34" s="296">
        <f t="shared" si="9"/>
        <v>0</v>
      </c>
      <c r="W34" s="307">
        <f t="shared" si="10"/>
        <v>0</v>
      </c>
      <c r="X34" s="283"/>
      <c r="Y34" s="313">
        <f t="shared" si="17"/>
        <v>0</v>
      </c>
      <c r="Z34" s="313">
        <f t="shared" si="11"/>
        <v>0</v>
      </c>
      <c r="AA34" s="313">
        <f t="shared" si="12"/>
        <v>0</v>
      </c>
    </row>
    <row r="35" spans="1:27">
      <c r="A35" s="292" t="s">
        <v>368</v>
      </c>
      <c r="B35" s="284" t="s">
        <v>370</v>
      </c>
      <c r="C35" s="277">
        <v>13</v>
      </c>
      <c r="D35" s="278">
        <v>6</v>
      </c>
      <c r="E35" s="278">
        <v>2022</v>
      </c>
      <c r="F35" s="293">
        <v>19950</v>
      </c>
      <c r="G35" s="278">
        <v>7</v>
      </c>
      <c r="H35" s="294">
        <v>0</v>
      </c>
      <c r="I35" s="279">
        <f t="shared" si="0"/>
        <v>84</v>
      </c>
      <c r="J35" s="279">
        <f t="shared" si="1"/>
        <v>22</v>
      </c>
      <c r="K35" s="279">
        <f t="shared" si="13"/>
        <v>62</v>
      </c>
      <c r="L35" s="280">
        <f t="shared" si="2"/>
        <v>6</v>
      </c>
      <c r="M35" s="280">
        <f t="shared" si="3"/>
        <v>2029</v>
      </c>
      <c r="N35" s="281">
        <f t="shared" si="14"/>
        <v>19950</v>
      </c>
      <c r="O35" s="295">
        <f t="shared" si="15"/>
        <v>237.5</v>
      </c>
      <c r="P35" s="295">
        <f t="shared" si="4"/>
        <v>2850</v>
      </c>
      <c r="Q35" s="281">
        <f t="shared" si="5"/>
        <v>12</v>
      </c>
      <c r="R35" s="281">
        <f t="shared" si="6"/>
        <v>2375</v>
      </c>
      <c r="S35" s="281">
        <f t="shared" si="7"/>
        <v>2850</v>
      </c>
      <c r="T35" s="281">
        <f t="shared" si="16"/>
        <v>5225</v>
      </c>
      <c r="U35" s="281">
        <f t="shared" si="8"/>
        <v>14725</v>
      </c>
      <c r="V35" s="296">
        <f t="shared" si="9"/>
        <v>0</v>
      </c>
      <c r="W35" s="307">
        <f t="shared" si="10"/>
        <v>0</v>
      </c>
      <c r="X35" s="283"/>
      <c r="Y35" s="313">
        <f t="shared" si="17"/>
        <v>12</v>
      </c>
      <c r="Z35" s="313">
        <f t="shared" si="11"/>
        <v>2850</v>
      </c>
      <c r="AA35" s="313">
        <f t="shared" si="12"/>
        <v>0</v>
      </c>
    </row>
    <row r="36" spans="1:27">
      <c r="A36" s="292" t="s">
        <v>368</v>
      </c>
      <c r="B36" s="284" t="s">
        <v>371</v>
      </c>
      <c r="C36" s="277">
        <v>1</v>
      </c>
      <c r="D36" s="278">
        <v>1</v>
      </c>
      <c r="E36" s="278">
        <v>2013</v>
      </c>
      <c r="F36" s="293">
        <v>45000</v>
      </c>
      <c r="G36" s="278">
        <v>7</v>
      </c>
      <c r="H36" s="294">
        <v>0</v>
      </c>
      <c r="I36" s="279">
        <f t="shared" si="0"/>
        <v>84</v>
      </c>
      <c r="J36" s="279">
        <f t="shared" si="1"/>
        <v>135</v>
      </c>
      <c r="K36" s="279">
        <f t="shared" si="13"/>
        <v>-51</v>
      </c>
      <c r="L36" s="280">
        <f t="shared" si="2"/>
        <v>1</v>
      </c>
      <c r="M36" s="280">
        <f t="shared" si="3"/>
        <v>2020</v>
      </c>
      <c r="N36" s="281">
        <f t="shared" si="14"/>
        <v>45000</v>
      </c>
      <c r="O36" s="295">
        <f t="shared" si="15"/>
        <v>535.71428571428567</v>
      </c>
      <c r="P36" s="295">
        <f t="shared" si="4"/>
        <v>6428.5714285714284</v>
      </c>
      <c r="Q36" s="281">
        <f t="shared" si="5"/>
        <v>0</v>
      </c>
      <c r="R36" s="281">
        <f t="shared" si="6"/>
        <v>45000</v>
      </c>
      <c r="S36" s="281">
        <f t="shared" si="7"/>
        <v>0</v>
      </c>
      <c r="T36" s="281">
        <f t="shared" si="16"/>
        <v>45000</v>
      </c>
      <c r="U36" s="281">
        <f t="shared" si="8"/>
        <v>0</v>
      </c>
      <c r="V36" s="296">
        <f t="shared" si="9"/>
        <v>0</v>
      </c>
      <c r="W36" s="307">
        <f t="shared" si="10"/>
        <v>0</v>
      </c>
      <c r="X36" s="283"/>
      <c r="Y36" s="313">
        <f t="shared" si="17"/>
        <v>0</v>
      </c>
      <c r="Z36" s="313">
        <f t="shared" si="11"/>
        <v>0</v>
      </c>
      <c r="AA36" s="313">
        <f t="shared" si="12"/>
        <v>0</v>
      </c>
    </row>
    <row r="37" spans="1:27">
      <c r="A37" s="292" t="s">
        <v>368</v>
      </c>
      <c r="B37" s="284" t="s">
        <v>372</v>
      </c>
      <c r="C37" s="277">
        <v>3</v>
      </c>
      <c r="D37" s="278">
        <v>7</v>
      </c>
      <c r="E37" s="278">
        <v>2013</v>
      </c>
      <c r="F37" s="293">
        <v>50094</v>
      </c>
      <c r="G37" s="278">
        <v>7</v>
      </c>
      <c r="H37" s="294">
        <v>0.2</v>
      </c>
      <c r="I37" s="279">
        <f t="shared" si="0"/>
        <v>84</v>
      </c>
      <c r="J37" s="279">
        <f t="shared" si="1"/>
        <v>129</v>
      </c>
      <c r="K37" s="279">
        <f t="shared" si="13"/>
        <v>-45</v>
      </c>
      <c r="L37" s="280">
        <f t="shared" si="2"/>
        <v>7</v>
      </c>
      <c r="M37" s="280">
        <f t="shared" si="3"/>
        <v>2020</v>
      </c>
      <c r="N37" s="281">
        <f t="shared" si="14"/>
        <v>50094</v>
      </c>
      <c r="O37" s="295">
        <f t="shared" si="15"/>
        <v>596.35714285714289</v>
      </c>
      <c r="P37" s="295">
        <f t="shared" si="4"/>
        <v>7156.2857142857147</v>
      </c>
      <c r="Q37" s="281">
        <f t="shared" si="5"/>
        <v>0</v>
      </c>
      <c r="R37" s="281">
        <f t="shared" si="6"/>
        <v>50094</v>
      </c>
      <c r="S37" s="281">
        <f t="shared" si="7"/>
        <v>0</v>
      </c>
      <c r="T37" s="281">
        <f t="shared" si="16"/>
        <v>50094</v>
      </c>
      <c r="U37" s="281">
        <f t="shared" si="8"/>
        <v>0</v>
      </c>
      <c r="V37" s="296">
        <f t="shared" si="9"/>
        <v>0</v>
      </c>
      <c r="W37" s="307">
        <f t="shared" si="10"/>
        <v>0</v>
      </c>
      <c r="X37" s="283"/>
      <c r="Y37" s="313">
        <f t="shared" si="17"/>
        <v>0</v>
      </c>
      <c r="Z37" s="313">
        <f t="shared" si="11"/>
        <v>0</v>
      </c>
      <c r="AA37" s="313">
        <f t="shared" si="12"/>
        <v>0</v>
      </c>
    </row>
    <row r="38" spans="1:27">
      <c r="A38" s="292" t="s">
        <v>368</v>
      </c>
      <c r="B38" s="284" t="s">
        <v>373</v>
      </c>
      <c r="C38" s="277">
        <v>28</v>
      </c>
      <c r="D38" s="278">
        <v>9</v>
      </c>
      <c r="E38" s="278">
        <v>2015</v>
      </c>
      <c r="F38" s="293">
        <v>12500</v>
      </c>
      <c r="G38" s="278">
        <v>7</v>
      </c>
      <c r="H38" s="294">
        <v>0.1</v>
      </c>
      <c r="I38" s="279">
        <f t="shared" si="0"/>
        <v>84</v>
      </c>
      <c r="J38" s="279">
        <f t="shared" si="1"/>
        <v>103</v>
      </c>
      <c r="K38" s="279">
        <f t="shared" si="13"/>
        <v>-19</v>
      </c>
      <c r="L38" s="280">
        <f t="shared" si="2"/>
        <v>9</v>
      </c>
      <c r="M38" s="280">
        <f t="shared" si="3"/>
        <v>2022</v>
      </c>
      <c r="N38" s="281">
        <f t="shared" si="14"/>
        <v>12500</v>
      </c>
      <c r="O38" s="295">
        <f t="shared" si="15"/>
        <v>148.8095238095238</v>
      </c>
      <c r="P38" s="295">
        <f t="shared" si="4"/>
        <v>1785.7142857142858</v>
      </c>
      <c r="Q38" s="281">
        <f t="shared" si="5"/>
        <v>0</v>
      </c>
      <c r="R38" s="281">
        <f t="shared" si="6"/>
        <v>12500</v>
      </c>
      <c r="S38" s="281">
        <f t="shared" si="7"/>
        <v>0</v>
      </c>
      <c r="T38" s="281">
        <f t="shared" si="16"/>
        <v>12500</v>
      </c>
      <c r="U38" s="281">
        <f t="shared" si="8"/>
        <v>0</v>
      </c>
      <c r="V38" s="296">
        <f t="shared" si="9"/>
        <v>0</v>
      </c>
      <c r="W38" s="307">
        <f t="shared" si="10"/>
        <v>0</v>
      </c>
      <c r="X38" s="283"/>
      <c r="Y38" s="313">
        <f t="shared" si="17"/>
        <v>0</v>
      </c>
      <c r="Z38" s="313">
        <f t="shared" si="11"/>
        <v>0</v>
      </c>
      <c r="AA38" s="313">
        <f t="shared" si="12"/>
        <v>0</v>
      </c>
    </row>
    <row r="39" spans="1:27">
      <c r="A39" s="292" t="s">
        <v>368</v>
      </c>
      <c r="B39" s="284" t="s">
        <v>374</v>
      </c>
      <c r="C39" s="277">
        <v>2</v>
      </c>
      <c r="D39" s="278">
        <v>2</v>
      </c>
      <c r="E39" s="278">
        <v>2018</v>
      </c>
      <c r="F39" s="293">
        <v>20000</v>
      </c>
      <c r="G39" s="278">
        <v>7</v>
      </c>
      <c r="H39" s="294">
        <v>0.2</v>
      </c>
      <c r="I39" s="279">
        <f t="shared" si="0"/>
        <v>84</v>
      </c>
      <c r="J39" s="279">
        <f t="shared" si="1"/>
        <v>74</v>
      </c>
      <c r="K39" s="279">
        <f t="shared" si="13"/>
        <v>10</v>
      </c>
      <c r="L39" s="280">
        <f t="shared" si="2"/>
        <v>2</v>
      </c>
      <c r="M39" s="280">
        <f t="shared" si="3"/>
        <v>2025</v>
      </c>
      <c r="N39" s="281">
        <f t="shared" si="14"/>
        <v>20000</v>
      </c>
      <c r="O39" s="295">
        <f t="shared" si="15"/>
        <v>238.0952380952381</v>
      </c>
      <c r="P39" s="295">
        <f t="shared" si="4"/>
        <v>2857.1428571428573</v>
      </c>
      <c r="Q39" s="281">
        <f t="shared" si="5"/>
        <v>12</v>
      </c>
      <c r="R39" s="281">
        <f t="shared" si="6"/>
        <v>14761.904761904761</v>
      </c>
      <c r="S39" s="281">
        <f t="shared" si="7"/>
        <v>2857.1428571428573</v>
      </c>
      <c r="T39" s="281">
        <f t="shared" si="16"/>
        <v>17619.047619047618</v>
      </c>
      <c r="U39" s="281">
        <f t="shared" si="8"/>
        <v>2380.9523809523816</v>
      </c>
      <c r="V39" s="296">
        <f t="shared" si="9"/>
        <v>476.19047619047637</v>
      </c>
      <c r="W39" s="307">
        <f t="shared" si="10"/>
        <v>571.42857142857144</v>
      </c>
      <c r="X39" s="283"/>
      <c r="Y39" s="313">
        <f t="shared" si="17"/>
        <v>10</v>
      </c>
      <c r="Z39" s="313">
        <f t="shared" si="11"/>
        <v>2380.9523809523812</v>
      </c>
      <c r="AA39" s="313">
        <f t="shared" si="12"/>
        <v>476.19047619047626</v>
      </c>
    </row>
    <row r="40" spans="1:27">
      <c r="A40" s="292" t="s">
        <v>368</v>
      </c>
      <c r="B40" s="284" t="s">
        <v>375</v>
      </c>
      <c r="C40" s="277">
        <v>17</v>
      </c>
      <c r="D40" s="278">
        <v>5</v>
      </c>
      <c r="E40" s="278">
        <v>2018</v>
      </c>
      <c r="F40" s="293">
        <v>4479</v>
      </c>
      <c r="G40" s="278">
        <v>7</v>
      </c>
      <c r="H40" s="294">
        <v>0</v>
      </c>
      <c r="I40" s="279">
        <f t="shared" si="0"/>
        <v>84</v>
      </c>
      <c r="J40" s="279">
        <f t="shared" si="1"/>
        <v>71</v>
      </c>
      <c r="K40" s="279">
        <f t="shared" si="13"/>
        <v>13</v>
      </c>
      <c r="L40" s="280">
        <f t="shared" si="2"/>
        <v>5</v>
      </c>
      <c r="M40" s="280">
        <f t="shared" si="3"/>
        <v>2025</v>
      </c>
      <c r="N40" s="281">
        <f t="shared" si="14"/>
        <v>4479</v>
      </c>
      <c r="O40" s="295">
        <f t="shared" si="15"/>
        <v>53.321428571428569</v>
      </c>
      <c r="P40" s="295">
        <f t="shared" si="4"/>
        <v>639.85714285714289</v>
      </c>
      <c r="Q40" s="281">
        <f t="shared" si="5"/>
        <v>12</v>
      </c>
      <c r="R40" s="281">
        <f t="shared" si="6"/>
        <v>3145.9642857142858</v>
      </c>
      <c r="S40" s="281">
        <f t="shared" si="7"/>
        <v>639.85714285714289</v>
      </c>
      <c r="T40" s="281">
        <f t="shared" si="16"/>
        <v>3785.8214285714284</v>
      </c>
      <c r="U40" s="281">
        <f t="shared" si="8"/>
        <v>693.17857142857156</v>
      </c>
      <c r="V40" s="296">
        <f t="shared" si="9"/>
        <v>0</v>
      </c>
      <c r="W40" s="307">
        <f t="shared" si="10"/>
        <v>0</v>
      </c>
      <c r="X40" s="283"/>
      <c r="Y40" s="313">
        <f t="shared" si="17"/>
        <v>12</v>
      </c>
      <c r="Z40" s="313">
        <f t="shared" si="11"/>
        <v>639.85714285714289</v>
      </c>
      <c r="AA40" s="313">
        <f t="shared" si="12"/>
        <v>0</v>
      </c>
    </row>
    <row r="41" spans="1:27">
      <c r="A41" s="292" t="s">
        <v>368</v>
      </c>
      <c r="B41" s="284" t="s">
        <v>376</v>
      </c>
      <c r="C41" s="277">
        <v>15</v>
      </c>
      <c r="D41" s="278">
        <v>8</v>
      </c>
      <c r="E41" s="278">
        <v>2019</v>
      </c>
      <c r="F41" s="293">
        <v>20257</v>
      </c>
      <c r="G41" s="278">
        <v>7</v>
      </c>
      <c r="H41" s="294">
        <v>0.05</v>
      </c>
      <c r="I41" s="279">
        <f t="shared" si="0"/>
        <v>84</v>
      </c>
      <c r="J41" s="279">
        <f t="shared" si="1"/>
        <v>56</v>
      </c>
      <c r="K41" s="279">
        <f t="shared" si="13"/>
        <v>28</v>
      </c>
      <c r="L41" s="280">
        <f t="shared" si="2"/>
        <v>8</v>
      </c>
      <c r="M41" s="280">
        <f t="shared" si="3"/>
        <v>2026</v>
      </c>
      <c r="N41" s="281">
        <f t="shared" si="14"/>
        <v>20257</v>
      </c>
      <c r="O41" s="295">
        <f t="shared" si="15"/>
        <v>241.1547619047619</v>
      </c>
      <c r="P41" s="295">
        <f t="shared" si="4"/>
        <v>2893.8571428571427</v>
      </c>
      <c r="Q41" s="281">
        <f t="shared" si="5"/>
        <v>12</v>
      </c>
      <c r="R41" s="281">
        <f t="shared" si="6"/>
        <v>10610.809523809523</v>
      </c>
      <c r="S41" s="281">
        <f t="shared" si="7"/>
        <v>2893.8571428571427</v>
      </c>
      <c r="T41" s="281">
        <f t="shared" si="16"/>
        <v>13504.666666666666</v>
      </c>
      <c r="U41" s="281">
        <f t="shared" si="8"/>
        <v>6752.3333333333339</v>
      </c>
      <c r="V41" s="296">
        <f t="shared" si="9"/>
        <v>337.61666666666673</v>
      </c>
      <c r="W41" s="307">
        <f t="shared" si="10"/>
        <v>144.69285714285715</v>
      </c>
      <c r="X41" s="283"/>
      <c r="Y41" s="313">
        <f t="shared" si="17"/>
        <v>12</v>
      </c>
      <c r="Z41" s="313">
        <f t="shared" si="11"/>
        <v>2893.8571428571427</v>
      </c>
      <c r="AA41" s="313">
        <f t="shared" si="12"/>
        <v>144.69285714285715</v>
      </c>
    </row>
    <row r="42" spans="1:27">
      <c r="A42" s="292" t="s">
        <v>368</v>
      </c>
      <c r="B42" s="284" t="s">
        <v>377</v>
      </c>
      <c r="C42" s="277">
        <v>17</v>
      </c>
      <c r="D42" s="278">
        <v>1</v>
      </c>
      <c r="E42" s="278">
        <v>2019</v>
      </c>
      <c r="F42" s="293">
        <v>8041</v>
      </c>
      <c r="G42" s="278">
        <v>7</v>
      </c>
      <c r="H42" s="294">
        <v>0.2</v>
      </c>
      <c r="I42" s="279">
        <f t="shared" si="0"/>
        <v>84</v>
      </c>
      <c r="J42" s="279">
        <f t="shared" si="1"/>
        <v>63</v>
      </c>
      <c r="K42" s="279">
        <f t="shared" si="13"/>
        <v>21</v>
      </c>
      <c r="L42" s="280">
        <f t="shared" si="2"/>
        <v>1</v>
      </c>
      <c r="M42" s="280">
        <f t="shared" si="3"/>
        <v>2026</v>
      </c>
      <c r="N42" s="281">
        <f t="shared" si="14"/>
        <v>8041</v>
      </c>
      <c r="O42" s="295">
        <f t="shared" si="15"/>
        <v>95.726190476190482</v>
      </c>
      <c r="P42" s="295">
        <f t="shared" si="4"/>
        <v>1148.7142857142858</v>
      </c>
      <c r="Q42" s="281">
        <f t="shared" si="5"/>
        <v>12</v>
      </c>
      <c r="R42" s="281">
        <f t="shared" si="6"/>
        <v>4882.0357142857147</v>
      </c>
      <c r="S42" s="281">
        <f t="shared" si="7"/>
        <v>1148.7142857142858</v>
      </c>
      <c r="T42" s="281">
        <f t="shared" si="16"/>
        <v>6030.75</v>
      </c>
      <c r="U42" s="281">
        <f t="shared" si="8"/>
        <v>2010.25</v>
      </c>
      <c r="V42" s="296">
        <f t="shared" si="9"/>
        <v>402.05</v>
      </c>
      <c r="W42" s="307">
        <f t="shared" si="10"/>
        <v>229.74285714285716</v>
      </c>
      <c r="X42" s="283"/>
      <c r="Y42" s="313">
        <f t="shared" si="17"/>
        <v>12</v>
      </c>
      <c r="Z42" s="313">
        <f t="shared" si="11"/>
        <v>1148.7142857142858</v>
      </c>
      <c r="AA42" s="313">
        <f t="shared" si="12"/>
        <v>229.74285714285716</v>
      </c>
    </row>
    <row r="43" spans="1:27">
      <c r="A43" s="292" t="s">
        <v>368</v>
      </c>
      <c r="B43" s="284" t="s">
        <v>378</v>
      </c>
      <c r="C43" s="277">
        <v>2</v>
      </c>
      <c r="D43" s="278">
        <v>6</v>
      </c>
      <c r="E43" s="278">
        <v>2020</v>
      </c>
      <c r="F43" s="293">
        <v>18817</v>
      </c>
      <c r="G43" s="278">
        <v>7</v>
      </c>
      <c r="H43" s="294">
        <v>0.05</v>
      </c>
      <c r="I43" s="279">
        <f t="shared" ref="I43:I63" si="18">G43*12</f>
        <v>84</v>
      </c>
      <c r="J43" s="279">
        <f t="shared" ref="J43:J63" si="19">($J$6-E43)*12+($I$6-D43+1)</f>
        <v>46</v>
      </c>
      <c r="K43" s="279">
        <f t="shared" si="13"/>
        <v>38</v>
      </c>
      <c r="L43" s="280">
        <f t="shared" ref="L43:L63" si="20">D43</f>
        <v>6</v>
      </c>
      <c r="M43" s="280">
        <f t="shared" ref="M43:M63" si="21">$E43+$G43</f>
        <v>2027</v>
      </c>
      <c r="N43" s="281">
        <f t="shared" si="14"/>
        <v>18817</v>
      </c>
      <c r="O43" s="295">
        <f t="shared" si="15"/>
        <v>224.01190476190476</v>
      </c>
      <c r="P43" s="295">
        <f t="shared" ref="P43:P63" si="22">IF(G43=0,0,$N43/$G43)</f>
        <v>2688.1428571428573</v>
      </c>
      <c r="Q43" s="281">
        <f t="shared" ref="Q43:Q63" si="23">IF(J43&lt;12,J43,IF(K43&lt;-12,0,IF(K43&gt;0,12,12+K43)))</f>
        <v>12</v>
      </c>
      <c r="R43" s="281">
        <f t="shared" si="6"/>
        <v>7616.4047619047615</v>
      </c>
      <c r="S43" s="281">
        <f t="shared" ref="S43:S63" si="24">Q43*O43</f>
        <v>2688.1428571428569</v>
      </c>
      <c r="T43" s="281">
        <f t="shared" si="16"/>
        <v>10304.547619047618</v>
      </c>
      <c r="U43" s="281">
        <f t="shared" ref="U43:U63" si="25">N43-T43</f>
        <v>8512.4523809523816</v>
      </c>
      <c r="V43" s="296">
        <f t="shared" ref="V43:V63" si="26">$U43*$H43</f>
        <v>425.62261904761908</v>
      </c>
      <c r="W43" s="307">
        <f t="shared" ref="W43:W63" si="27">S43*H43</f>
        <v>134.40714285714284</v>
      </c>
      <c r="X43" s="283"/>
      <c r="Y43" s="313">
        <f t="shared" si="17"/>
        <v>12</v>
      </c>
      <c r="Z43" s="313">
        <f t="shared" ref="Z43:Z63" si="28">Y43*O43</f>
        <v>2688.1428571428569</v>
      </c>
      <c r="AA43" s="313">
        <f t="shared" ref="AA43:AA63" si="29">Y43*O43*H43</f>
        <v>134.40714285714284</v>
      </c>
    </row>
    <row r="44" spans="1:27">
      <c r="A44" s="292" t="s">
        <v>368</v>
      </c>
      <c r="B44" s="284" t="s">
        <v>379</v>
      </c>
      <c r="C44" s="277">
        <v>6</v>
      </c>
      <c r="D44" s="278">
        <v>7</v>
      </c>
      <c r="E44" s="278">
        <v>2020</v>
      </c>
      <c r="F44" s="293">
        <v>58533</v>
      </c>
      <c r="G44" s="278">
        <v>7</v>
      </c>
      <c r="H44" s="294">
        <v>0</v>
      </c>
      <c r="I44" s="279">
        <f t="shared" si="18"/>
        <v>84</v>
      </c>
      <c r="J44" s="279">
        <f t="shared" si="19"/>
        <v>45</v>
      </c>
      <c r="K44" s="279">
        <f t="shared" si="13"/>
        <v>39</v>
      </c>
      <c r="L44" s="280">
        <f t="shared" si="20"/>
        <v>7</v>
      </c>
      <c r="M44" s="280">
        <f t="shared" si="21"/>
        <v>2027</v>
      </c>
      <c r="N44" s="281">
        <f t="shared" si="14"/>
        <v>58533</v>
      </c>
      <c r="O44" s="295">
        <f t="shared" si="15"/>
        <v>696.82142857142856</v>
      </c>
      <c r="P44" s="295">
        <f t="shared" si="22"/>
        <v>8361.8571428571431</v>
      </c>
      <c r="Q44" s="281">
        <f t="shared" si="23"/>
        <v>12</v>
      </c>
      <c r="R44" s="281">
        <f t="shared" si="6"/>
        <v>22995.107142857141</v>
      </c>
      <c r="S44" s="281">
        <f t="shared" si="24"/>
        <v>8361.8571428571431</v>
      </c>
      <c r="T44" s="281">
        <f t="shared" si="16"/>
        <v>31356.964285714283</v>
      </c>
      <c r="U44" s="281">
        <f t="shared" si="25"/>
        <v>27176.035714285717</v>
      </c>
      <c r="V44" s="296">
        <f t="shared" si="26"/>
        <v>0</v>
      </c>
      <c r="W44" s="307">
        <f t="shared" si="27"/>
        <v>0</v>
      </c>
      <c r="X44" s="283"/>
      <c r="Y44" s="313">
        <f t="shared" ref="Y44:Y63" si="30">IF(K44&lt;0,0,IF(K44&gt;12,12,K44))</f>
        <v>12</v>
      </c>
      <c r="Z44" s="313">
        <f t="shared" si="28"/>
        <v>8361.8571428571431</v>
      </c>
      <c r="AA44" s="313">
        <f t="shared" si="29"/>
        <v>0</v>
      </c>
    </row>
    <row r="45" spans="1:27">
      <c r="A45" s="292" t="s">
        <v>368</v>
      </c>
      <c r="B45" s="284" t="s">
        <v>380</v>
      </c>
      <c r="C45" s="277">
        <v>25</v>
      </c>
      <c r="D45" s="278">
        <v>11</v>
      </c>
      <c r="E45" s="278">
        <v>2020</v>
      </c>
      <c r="F45" s="293">
        <v>22500</v>
      </c>
      <c r="G45" s="278">
        <v>7</v>
      </c>
      <c r="H45" s="294">
        <v>0</v>
      </c>
      <c r="I45" s="279">
        <f t="shared" si="18"/>
        <v>84</v>
      </c>
      <c r="J45" s="279">
        <f t="shared" si="19"/>
        <v>41</v>
      </c>
      <c r="K45" s="279">
        <f t="shared" si="13"/>
        <v>43</v>
      </c>
      <c r="L45" s="280">
        <f t="shared" si="20"/>
        <v>11</v>
      </c>
      <c r="M45" s="280">
        <f t="shared" si="21"/>
        <v>2027</v>
      </c>
      <c r="N45" s="281">
        <f t="shared" si="14"/>
        <v>22500</v>
      </c>
      <c r="O45" s="295">
        <f t="shared" si="15"/>
        <v>267.85714285714283</v>
      </c>
      <c r="P45" s="295">
        <f t="shared" si="22"/>
        <v>3214.2857142857142</v>
      </c>
      <c r="Q45" s="281">
        <f t="shared" si="23"/>
        <v>12</v>
      </c>
      <c r="R45" s="281">
        <f t="shared" si="6"/>
        <v>7767.8571428571422</v>
      </c>
      <c r="S45" s="281">
        <f t="shared" si="24"/>
        <v>3214.2857142857138</v>
      </c>
      <c r="T45" s="281">
        <f t="shared" si="16"/>
        <v>10982.142857142855</v>
      </c>
      <c r="U45" s="281">
        <f t="shared" si="25"/>
        <v>11517.857142857145</v>
      </c>
      <c r="V45" s="296">
        <f t="shared" si="26"/>
        <v>0</v>
      </c>
      <c r="W45" s="307">
        <f t="shared" si="27"/>
        <v>0</v>
      </c>
      <c r="X45" s="283"/>
      <c r="Y45" s="313">
        <f t="shared" si="30"/>
        <v>12</v>
      </c>
      <c r="Z45" s="313">
        <f t="shared" si="28"/>
        <v>3214.2857142857138</v>
      </c>
      <c r="AA45" s="313">
        <f t="shared" si="29"/>
        <v>0</v>
      </c>
    </row>
    <row r="46" spans="1:27">
      <c r="A46" s="292" t="s">
        <v>368</v>
      </c>
      <c r="B46" s="284" t="s">
        <v>381</v>
      </c>
      <c r="C46" s="277">
        <v>29</v>
      </c>
      <c r="D46" s="278">
        <v>9</v>
      </c>
      <c r="E46" s="278">
        <v>2020</v>
      </c>
      <c r="F46" s="293">
        <v>32157</v>
      </c>
      <c r="G46" s="278">
        <v>7</v>
      </c>
      <c r="H46" s="294">
        <v>0</v>
      </c>
      <c r="I46" s="279">
        <f t="shared" si="18"/>
        <v>84</v>
      </c>
      <c r="J46" s="279">
        <f t="shared" si="19"/>
        <v>43</v>
      </c>
      <c r="K46" s="279">
        <f>I46-J46</f>
        <v>41</v>
      </c>
      <c r="L46" s="280">
        <f t="shared" si="20"/>
        <v>9</v>
      </c>
      <c r="M46" s="280">
        <f t="shared" si="21"/>
        <v>2027</v>
      </c>
      <c r="N46" s="281">
        <f t="shared" si="14"/>
        <v>32157</v>
      </c>
      <c r="O46" s="295">
        <f t="shared" si="15"/>
        <v>382.82142857142856</v>
      </c>
      <c r="P46" s="295">
        <f t="shared" si="22"/>
        <v>4593.8571428571431</v>
      </c>
      <c r="Q46" s="281">
        <f t="shared" si="23"/>
        <v>12</v>
      </c>
      <c r="R46" s="281">
        <f t="shared" si="6"/>
        <v>11867.464285714284</v>
      </c>
      <c r="S46" s="281">
        <f t="shared" si="24"/>
        <v>4593.8571428571431</v>
      </c>
      <c r="T46" s="281">
        <f t="shared" si="16"/>
        <v>16461.321428571428</v>
      </c>
      <c r="U46" s="281">
        <f t="shared" si="25"/>
        <v>15695.678571428572</v>
      </c>
      <c r="V46" s="296">
        <f t="shared" si="26"/>
        <v>0</v>
      </c>
      <c r="W46" s="307">
        <f t="shared" si="27"/>
        <v>0</v>
      </c>
      <c r="X46" s="283"/>
      <c r="Y46" s="313">
        <f t="shared" si="30"/>
        <v>12</v>
      </c>
      <c r="Z46" s="313">
        <f t="shared" si="28"/>
        <v>4593.8571428571431</v>
      </c>
      <c r="AA46" s="313">
        <f t="shared" si="29"/>
        <v>0</v>
      </c>
    </row>
    <row r="47" spans="1:27">
      <c r="A47" s="292" t="s">
        <v>368</v>
      </c>
      <c r="B47" s="284" t="s">
        <v>382</v>
      </c>
      <c r="C47" s="277">
        <v>17</v>
      </c>
      <c r="D47" s="278">
        <v>2</v>
      </c>
      <c r="E47" s="278">
        <v>2021</v>
      </c>
      <c r="F47" s="293">
        <v>9249</v>
      </c>
      <c r="G47" s="278">
        <v>7</v>
      </c>
      <c r="H47" s="294">
        <v>0.03</v>
      </c>
      <c r="I47" s="279">
        <f t="shared" si="18"/>
        <v>84</v>
      </c>
      <c r="J47" s="279">
        <f t="shared" si="19"/>
        <v>38</v>
      </c>
      <c r="K47" s="279">
        <f t="shared" ref="K47:K52" si="31">I47-J47</f>
        <v>46</v>
      </c>
      <c r="L47" s="280">
        <f t="shared" si="20"/>
        <v>2</v>
      </c>
      <c r="M47" s="280">
        <f t="shared" si="21"/>
        <v>2028</v>
      </c>
      <c r="N47" s="281">
        <f t="shared" si="14"/>
        <v>9249</v>
      </c>
      <c r="O47" s="295">
        <f t="shared" si="15"/>
        <v>110.10714285714286</v>
      </c>
      <c r="P47" s="295">
        <f t="shared" si="22"/>
        <v>1321.2857142857142</v>
      </c>
      <c r="Q47" s="281">
        <f t="shared" si="23"/>
        <v>12</v>
      </c>
      <c r="R47" s="281">
        <f t="shared" si="6"/>
        <v>2862.7857142857142</v>
      </c>
      <c r="S47" s="281">
        <f t="shared" si="24"/>
        <v>1321.2857142857142</v>
      </c>
      <c r="T47" s="281">
        <f t="shared" si="16"/>
        <v>4184.0714285714284</v>
      </c>
      <c r="U47" s="281">
        <f t="shared" si="25"/>
        <v>5064.9285714285716</v>
      </c>
      <c r="V47" s="296">
        <f t="shared" si="26"/>
        <v>151.94785714285715</v>
      </c>
      <c r="W47" s="307">
        <f t="shared" si="27"/>
        <v>39.638571428571424</v>
      </c>
      <c r="X47" s="283"/>
      <c r="Y47" s="313">
        <f t="shared" si="30"/>
        <v>12</v>
      </c>
      <c r="Z47" s="313">
        <f t="shared" si="28"/>
        <v>1321.2857142857142</v>
      </c>
      <c r="AA47" s="313">
        <f t="shared" si="29"/>
        <v>39.638571428571424</v>
      </c>
    </row>
    <row r="48" spans="1:27">
      <c r="A48" s="292" t="s">
        <v>368</v>
      </c>
      <c r="B48" s="284" t="s">
        <v>383</v>
      </c>
      <c r="C48" s="277">
        <v>12</v>
      </c>
      <c r="D48" s="278">
        <v>5</v>
      </c>
      <c r="E48" s="278">
        <v>2021</v>
      </c>
      <c r="F48" s="293">
        <v>24975</v>
      </c>
      <c r="G48" s="278">
        <v>7</v>
      </c>
      <c r="H48" s="294">
        <v>0</v>
      </c>
      <c r="I48" s="279">
        <f t="shared" si="18"/>
        <v>84</v>
      </c>
      <c r="J48" s="279">
        <f t="shared" si="19"/>
        <v>35</v>
      </c>
      <c r="K48" s="279">
        <f t="shared" si="31"/>
        <v>49</v>
      </c>
      <c r="L48" s="280">
        <f t="shared" si="20"/>
        <v>5</v>
      </c>
      <c r="M48" s="280">
        <f t="shared" si="21"/>
        <v>2028</v>
      </c>
      <c r="N48" s="281">
        <f t="shared" si="14"/>
        <v>24975</v>
      </c>
      <c r="O48" s="295">
        <f t="shared" si="15"/>
        <v>297.32142857142856</v>
      </c>
      <c r="P48" s="295">
        <f t="shared" si="22"/>
        <v>3567.8571428571427</v>
      </c>
      <c r="Q48" s="281">
        <f t="shared" si="23"/>
        <v>12</v>
      </c>
      <c r="R48" s="281">
        <f t="shared" si="6"/>
        <v>6838.3928571428569</v>
      </c>
      <c r="S48" s="281">
        <f t="shared" si="24"/>
        <v>3567.8571428571427</v>
      </c>
      <c r="T48" s="281">
        <f t="shared" si="16"/>
        <v>10406.25</v>
      </c>
      <c r="U48" s="281">
        <f t="shared" si="25"/>
        <v>14568.75</v>
      </c>
      <c r="V48" s="296">
        <f t="shared" si="26"/>
        <v>0</v>
      </c>
      <c r="W48" s="307">
        <f t="shared" si="27"/>
        <v>0</v>
      </c>
      <c r="X48" s="283"/>
      <c r="Y48" s="313">
        <f t="shared" si="30"/>
        <v>12</v>
      </c>
      <c r="Z48" s="313">
        <f t="shared" si="28"/>
        <v>3567.8571428571427</v>
      </c>
      <c r="AA48" s="313">
        <f t="shared" si="29"/>
        <v>0</v>
      </c>
    </row>
    <row r="49" spans="1:27">
      <c r="A49" s="292" t="s">
        <v>368</v>
      </c>
      <c r="B49" s="284" t="s">
        <v>384</v>
      </c>
      <c r="C49" s="277">
        <v>10</v>
      </c>
      <c r="D49" s="278">
        <v>12</v>
      </c>
      <c r="E49" s="278">
        <v>2021</v>
      </c>
      <c r="F49" s="293">
        <v>241504</v>
      </c>
      <c r="G49" s="278">
        <v>7</v>
      </c>
      <c r="H49" s="294">
        <v>0.2</v>
      </c>
      <c r="I49" s="279">
        <f t="shared" si="18"/>
        <v>84</v>
      </c>
      <c r="J49" s="279">
        <f t="shared" si="19"/>
        <v>28</v>
      </c>
      <c r="K49" s="279">
        <f t="shared" si="31"/>
        <v>56</v>
      </c>
      <c r="L49" s="280">
        <f t="shared" si="20"/>
        <v>12</v>
      </c>
      <c r="M49" s="280">
        <f t="shared" si="21"/>
        <v>2028</v>
      </c>
      <c r="N49" s="281">
        <f t="shared" si="14"/>
        <v>241504</v>
      </c>
      <c r="O49" s="295">
        <f t="shared" si="15"/>
        <v>2875.0476190476193</v>
      </c>
      <c r="P49" s="295">
        <f t="shared" si="22"/>
        <v>34500.571428571428</v>
      </c>
      <c r="Q49" s="281">
        <f t="shared" si="23"/>
        <v>12</v>
      </c>
      <c r="R49" s="281">
        <f t="shared" si="6"/>
        <v>46000.761904761908</v>
      </c>
      <c r="S49" s="281">
        <f t="shared" si="24"/>
        <v>34500.571428571435</v>
      </c>
      <c r="T49" s="281">
        <f t="shared" si="16"/>
        <v>80501.333333333343</v>
      </c>
      <c r="U49" s="281">
        <f t="shared" si="25"/>
        <v>161002.66666666666</v>
      </c>
      <c r="V49" s="296">
        <f t="shared" si="26"/>
        <v>32200.533333333333</v>
      </c>
      <c r="W49" s="307">
        <f t="shared" si="27"/>
        <v>6900.1142857142877</v>
      </c>
      <c r="X49" s="283"/>
      <c r="Y49" s="313">
        <f t="shared" si="30"/>
        <v>12</v>
      </c>
      <c r="Z49" s="313">
        <f t="shared" si="28"/>
        <v>34500.571428571435</v>
      </c>
      <c r="AA49" s="313">
        <f t="shared" si="29"/>
        <v>6900.1142857142877</v>
      </c>
    </row>
    <row r="50" spans="1:27">
      <c r="A50" s="292" t="s">
        <v>368</v>
      </c>
      <c r="B50" s="284" t="s">
        <v>385</v>
      </c>
      <c r="C50" s="277">
        <v>1</v>
      </c>
      <c r="D50" s="278">
        <v>8</v>
      </c>
      <c r="E50" s="278">
        <v>2022</v>
      </c>
      <c r="F50" s="293">
        <v>16500</v>
      </c>
      <c r="G50" s="278">
        <v>7</v>
      </c>
      <c r="H50" s="294">
        <v>0</v>
      </c>
      <c r="I50" s="279">
        <f t="shared" si="18"/>
        <v>84</v>
      </c>
      <c r="J50" s="279">
        <f t="shared" si="19"/>
        <v>20</v>
      </c>
      <c r="K50" s="279">
        <f t="shared" si="31"/>
        <v>64</v>
      </c>
      <c r="L50" s="280">
        <f t="shared" si="20"/>
        <v>8</v>
      </c>
      <c r="M50" s="280">
        <f t="shared" si="21"/>
        <v>2029</v>
      </c>
      <c r="N50" s="281">
        <f t="shared" si="14"/>
        <v>16500</v>
      </c>
      <c r="O50" s="295">
        <f t="shared" si="15"/>
        <v>196.42857142857142</v>
      </c>
      <c r="P50" s="295">
        <f t="shared" si="22"/>
        <v>2357.1428571428573</v>
      </c>
      <c r="Q50" s="281">
        <f t="shared" si="23"/>
        <v>12</v>
      </c>
      <c r="R50" s="281">
        <f t="shared" si="6"/>
        <v>1571.4285714285713</v>
      </c>
      <c r="S50" s="281">
        <f t="shared" si="24"/>
        <v>2357.1428571428569</v>
      </c>
      <c r="T50" s="281">
        <f t="shared" si="16"/>
        <v>3928.5714285714284</v>
      </c>
      <c r="U50" s="281">
        <f t="shared" si="25"/>
        <v>12571.428571428572</v>
      </c>
      <c r="V50" s="296">
        <f t="shared" si="26"/>
        <v>0</v>
      </c>
      <c r="W50" s="307">
        <f t="shared" si="27"/>
        <v>0</v>
      </c>
      <c r="X50" s="283"/>
      <c r="Y50" s="313">
        <f t="shared" si="30"/>
        <v>12</v>
      </c>
      <c r="Z50" s="313">
        <f t="shared" si="28"/>
        <v>2357.1428571428569</v>
      </c>
      <c r="AA50" s="313">
        <f t="shared" si="29"/>
        <v>0</v>
      </c>
    </row>
    <row r="51" spans="1:27">
      <c r="A51" s="292" t="s">
        <v>368</v>
      </c>
      <c r="B51" s="284" t="s">
        <v>386</v>
      </c>
      <c r="C51" s="277">
        <v>17</v>
      </c>
      <c r="D51" s="278">
        <v>4</v>
      </c>
      <c r="E51" s="278">
        <v>2023</v>
      </c>
      <c r="F51" s="293">
        <v>15500</v>
      </c>
      <c r="G51" s="278">
        <v>7</v>
      </c>
      <c r="H51" s="294">
        <v>0.02</v>
      </c>
      <c r="I51" s="279">
        <f t="shared" si="18"/>
        <v>84</v>
      </c>
      <c r="J51" s="279">
        <f t="shared" si="19"/>
        <v>12</v>
      </c>
      <c r="K51" s="279">
        <f t="shared" si="31"/>
        <v>72</v>
      </c>
      <c r="L51" s="280">
        <f t="shared" si="20"/>
        <v>4</v>
      </c>
      <c r="M51" s="280">
        <f t="shared" si="21"/>
        <v>2030</v>
      </c>
      <c r="N51" s="281">
        <f t="shared" si="14"/>
        <v>15500</v>
      </c>
      <c r="O51" s="295">
        <f t="shared" si="15"/>
        <v>184.52380952380952</v>
      </c>
      <c r="P51" s="295">
        <f t="shared" si="22"/>
        <v>2214.2857142857142</v>
      </c>
      <c r="Q51" s="281">
        <f t="shared" si="23"/>
        <v>12</v>
      </c>
      <c r="R51" s="281">
        <f t="shared" si="6"/>
        <v>0</v>
      </c>
      <c r="S51" s="281">
        <f t="shared" si="24"/>
        <v>2214.2857142857142</v>
      </c>
      <c r="T51" s="281">
        <f t="shared" si="16"/>
        <v>2214.2857142857142</v>
      </c>
      <c r="U51" s="281">
        <f t="shared" si="25"/>
        <v>13285.714285714286</v>
      </c>
      <c r="V51" s="296">
        <f t="shared" si="26"/>
        <v>265.71428571428572</v>
      </c>
      <c r="W51" s="307">
        <f t="shared" si="27"/>
        <v>44.285714285714285</v>
      </c>
      <c r="X51" s="283"/>
      <c r="Y51" s="313">
        <f t="shared" si="30"/>
        <v>12</v>
      </c>
      <c r="Z51" s="313">
        <f t="shared" si="28"/>
        <v>2214.2857142857142</v>
      </c>
      <c r="AA51" s="313">
        <f t="shared" si="29"/>
        <v>44.285714285714285</v>
      </c>
    </row>
    <row r="52" spans="1:27">
      <c r="A52" s="292" t="s">
        <v>387</v>
      </c>
      <c r="B52" s="284" t="s">
        <v>388</v>
      </c>
      <c r="C52" s="277">
        <v>2</v>
      </c>
      <c r="D52" s="278">
        <v>11</v>
      </c>
      <c r="E52" s="278">
        <v>2016</v>
      </c>
      <c r="F52" s="293">
        <v>344829</v>
      </c>
      <c r="G52" s="278">
        <v>7</v>
      </c>
      <c r="H52" s="294">
        <v>0.25</v>
      </c>
      <c r="I52" s="279">
        <f t="shared" si="18"/>
        <v>84</v>
      </c>
      <c r="J52" s="279">
        <f t="shared" si="19"/>
        <v>89</v>
      </c>
      <c r="K52" s="279">
        <f t="shared" si="31"/>
        <v>-5</v>
      </c>
      <c r="L52" s="280">
        <f t="shared" si="20"/>
        <v>11</v>
      </c>
      <c r="M52" s="280">
        <f t="shared" si="21"/>
        <v>2023</v>
      </c>
      <c r="N52" s="281">
        <f t="shared" si="14"/>
        <v>344829</v>
      </c>
      <c r="O52" s="295">
        <f t="shared" si="15"/>
        <v>4105.1071428571431</v>
      </c>
      <c r="P52" s="295">
        <f t="shared" si="22"/>
        <v>49261.285714285717</v>
      </c>
      <c r="Q52" s="281">
        <f t="shared" si="23"/>
        <v>7</v>
      </c>
      <c r="R52" s="281">
        <f t="shared" si="6"/>
        <v>316093.25</v>
      </c>
      <c r="S52" s="281">
        <f t="shared" si="24"/>
        <v>28735.75</v>
      </c>
      <c r="T52" s="281">
        <f t="shared" si="16"/>
        <v>344829</v>
      </c>
      <c r="U52" s="281">
        <f t="shared" si="25"/>
        <v>0</v>
      </c>
      <c r="V52" s="296">
        <f t="shared" si="26"/>
        <v>0</v>
      </c>
      <c r="W52" s="307">
        <f t="shared" si="27"/>
        <v>7183.9375</v>
      </c>
      <c r="X52" s="283"/>
      <c r="Y52" s="313">
        <f t="shared" si="30"/>
        <v>0</v>
      </c>
      <c r="Z52" s="313">
        <f t="shared" si="28"/>
        <v>0</v>
      </c>
      <c r="AA52" s="313">
        <f t="shared" si="29"/>
        <v>0</v>
      </c>
    </row>
    <row r="53" spans="1:27">
      <c r="A53" s="292" t="s">
        <v>387</v>
      </c>
      <c r="B53" s="284" t="s">
        <v>389</v>
      </c>
      <c r="C53" s="277">
        <v>29</v>
      </c>
      <c r="D53" s="278">
        <v>11</v>
      </c>
      <c r="E53" s="278">
        <v>2018</v>
      </c>
      <c r="F53" s="293">
        <v>211395</v>
      </c>
      <c r="G53" s="278">
        <v>7</v>
      </c>
      <c r="H53" s="294">
        <v>0.1</v>
      </c>
      <c r="I53" s="279">
        <f t="shared" si="18"/>
        <v>84</v>
      </c>
      <c r="J53" s="279">
        <f t="shared" si="19"/>
        <v>65</v>
      </c>
      <c r="K53" s="279">
        <f>I53-J53</f>
        <v>19</v>
      </c>
      <c r="L53" s="280">
        <f t="shared" si="20"/>
        <v>11</v>
      </c>
      <c r="M53" s="280">
        <f t="shared" si="21"/>
        <v>2025</v>
      </c>
      <c r="N53" s="281">
        <f t="shared" si="14"/>
        <v>211395</v>
      </c>
      <c r="O53" s="295">
        <f t="shared" si="15"/>
        <v>2516.6071428571427</v>
      </c>
      <c r="P53" s="295">
        <f t="shared" si="22"/>
        <v>30199.285714285714</v>
      </c>
      <c r="Q53" s="281">
        <f t="shared" si="23"/>
        <v>12</v>
      </c>
      <c r="R53" s="281">
        <f t="shared" si="6"/>
        <v>133380.17857142855</v>
      </c>
      <c r="S53" s="281">
        <f t="shared" si="24"/>
        <v>30199.28571428571</v>
      </c>
      <c r="T53" s="281">
        <f t="shared" si="16"/>
        <v>163579.46428571426</v>
      </c>
      <c r="U53" s="281">
        <f t="shared" si="25"/>
        <v>47815.535714285739</v>
      </c>
      <c r="V53" s="296">
        <f t="shared" si="26"/>
        <v>4781.5535714285743</v>
      </c>
      <c r="W53" s="307">
        <f t="shared" si="27"/>
        <v>3019.9285714285711</v>
      </c>
      <c r="X53" s="283"/>
      <c r="Y53" s="313">
        <f t="shared" si="30"/>
        <v>12</v>
      </c>
      <c r="Z53" s="313">
        <f t="shared" si="28"/>
        <v>30199.28571428571</v>
      </c>
      <c r="AA53" s="313">
        <f t="shared" si="29"/>
        <v>3019.9285714285711</v>
      </c>
    </row>
    <row r="54" spans="1:27">
      <c r="A54" s="292" t="s">
        <v>387</v>
      </c>
      <c r="B54" s="284" t="s">
        <v>390</v>
      </c>
      <c r="C54" s="277">
        <v>15</v>
      </c>
      <c r="D54" s="278">
        <v>11</v>
      </c>
      <c r="E54" s="278">
        <v>2019</v>
      </c>
      <c r="F54" s="293">
        <v>356183</v>
      </c>
      <c r="G54" s="278">
        <v>7</v>
      </c>
      <c r="H54" s="294">
        <v>0</v>
      </c>
      <c r="I54" s="279">
        <f t="shared" si="18"/>
        <v>84</v>
      </c>
      <c r="J54" s="279">
        <f t="shared" si="19"/>
        <v>53</v>
      </c>
      <c r="K54" s="279">
        <f t="shared" ref="K54:K63" si="32">I54-J54</f>
        <v>31</v>
      </c>
      <c r="L54" s="280">
        <f t="shared" si="20"/>
        <v>11</v>
      </c>
      <c r="M54" s="280">
        <f t="shared" si="21"/>
        <v>2026</v>
      </c>
      <c r="N54" s="281">
        <f t="shared" si="14"/>
        <v>356183</v>
      </c>
      <c r="O54" s="295">
        <f t="shared" si="15"/>
        <v>4240.2738095238092</v>
      </c>
      <c r="P54" s="295">
        <f t="shared" si="22"/>
        <v>50883.285714285717</v>
      </c>
      <c r="Q54" s="281">
        <f t="shared" si="23"/>
        <v>12</v>
      </c>
      <c r="R54" s="281">
        <f t="shared" si="6"/>
        <v>173851.22619047618</v>
      </c>
      <c r="S54" s="281">
        <f t="shared" si="24"/>
        <v>50883.28571428571</v>
      </c>
      <c r="T54" s="281">
        <f t="shared" si="16"/>
        <v>224734.51190476189</v>
      </c>
      <c r="U54" s="281">
        <f t="shared" si="25"/>
        <v>131448.48809523811</v>
      </c>
      <c r="V54" s="296">
        <f t="shared" si="26"/>
        <v>0</v>
      </c>
      <c r="W54" s="307">
        <f t="shared" si="27"/>
        <v>0</v>
      </c>
      <c r="X54" s="283"/>
      <c r="Y54" s="313">
        <f t="shared" si="30"/>
        <v>12</v>
      </c>
      <c r="Z54" s="313">
        <f t="shared" si="28"/>
        <v>50883.28571428571</v>
      </c>
      <c r="AA54" s="313">
        <f t="shared" si="29"/>
        <v>0</v>
      </c>
    </row>
    <row r="55" spans="1:27">
      <c r="A55" s="292" t="s">
        <v>387</v>
      </c>
      <c r="B55" s="284" t="s">
        <v>391</v>
      </c>
      <c r="C55" s="277">
        <v>15</v>
      </c>
      <c r="D55" s="278">
        <v>11</v>
      </c>
      <c r="E55" s="278">
        <v>2019</v>
      </c>
      <c r="F55" s="293">
        <v>356183</v>
      </c>
      <c r="G55" s="278">
        <v>7</v>
      </c>
      <c r="H55" s="294">
        <v>0</v>
      </c>
      <c r="I55" s="279">
        <f t="shared" si="18"/>
        <v>84</v>
      </c>
      <c r="J55" s="279">
        <f t="shared" si="19"/>
        <v>53</v>
      </c>
      <c r="K55" s="279">
        <f t="shared" si="32"/>
        <v>31</v>
      </c>
      <c r="L55" s="280">
        <f t="shared" si="20"/>
        <v>11</v>
      </c>
      <c r="M55" s="280">
        <f t="shared" si="21"/>
        <v>2026</v>
      </c>
      <c r="N55" s="281">
        <f t="shared" si="14"/>
        <v>356183</v>
      </c>
      <c r="O55" s="295">
        <f t="shared" si="15"/>
        <v>4240.2738095238092</v>
      </c>
      <c r="P55" s="295">
        <f t="shared" si="22"/>
        <v>50883.285714285717</v>
      </c>
      <c r="Q55" s="281">
        <f t="shared" si="23"/>
        <v>12</v>
      </c>
      <c r="R55" s="281">
        <f t="shared" si="6"/>
        <v>173851.22619047618</v>
      </c>
      <c r="S55" s="281">
        <f t="shared" si="24"/>
        <v>50883.28571428571</v>
      </c>
      <c r="T55" s="281">
        <f t="shared" si="16"/>
        <v>224734.51190476189</v>
      </c>
      <c r="U55" s="281">
        <f t="shared" si="25"/>
        <v>131448.48809523811</v>
      </c>
      <c r="V55" s="296">
        <f t="shared" si="26"/>
        <v>0</v>
      </c>
      <c r="W55" s="307">
        <f t="shared" si="27"/>
        <v>0</v>
      </c>
      <c r="X55" s="283"/>
      <c r="Y55" s="313">
        <f t="shared" si="30"/>
        <v>12</v>
      </c>
      <c r="Z55" s="313">
        <f t="shared" si="28"/>
        <v>50883.28571428571</v>
      </c>
      <c r="AA55" s="313">
        <f t="shared" si="29"/>
        <v>0</v>
      </c>
    </row>
    <row r="56" spans="1:27">
      <c r="A56" s="292" t="s">
        <v>387</v>
      </c>
      <c r="B56" s="284" t="s">
        <v>392</v>
      </c>
      <c r="C56" s="277">
        <v>15</v>
      </c>
      <c r="D56" s="278">
        <v>1</v>
      </c>
      <c r="E56" s="278">
        <v>2019</v>
      </c>
      <c r="F56" s="293">
        <v>328410</v>
      </c>
      <c r="G56" s="278">
        <v>7</v>
      </c>
      <c r="H56" s="294">
        <v>0.25</v>
      </c>
      <c r="I56" s="279">
        <f t="shared" si="18"/>
        <v>84</v>
      </c>
      <c r="J56" s="279">
        <f t="shared" si="19"/>
        <v>63</v>
      </c>
      <c r="K56" s="279">
        <f t="shared" si="32"/>
        <v>21</v>
      </c>
      <c r="L56" s="280">
        <f t="shared" si="20"/>
        <v>1</v>
      </c>
      <c r="M56" s="280">
        <f t="shared" si="21"/>
        <v>2026</v>
      </c>
      <c r="N56" s="281">
        <f t="shared" si="14"/>
        <v>328410</v>
      </c>
      <c r="O56" s="295">
        <f t="shared" si="15"/>
        <v>3909.6428571428573</v>
      </c>
      <c r="P56" s="295">
        <f t="shared" si="22"/>
        <v>46915.714285714283</v>
      </c>
      <c r="Q56" s="281">
        <f t="shared" si="23"/>
        <v>12</v>
      </c>
      <c r="R56" s="281">
        <f t="shared" si="6"/>
        <v>199391.78571428571</v>
      </c>
      <c r="S56" s="281">
        <f t="shared" si="24"/>
        <v>46915.71428571429</v>
      </c>
      <c r="T56" s="281">
        <f t="shared" si="16"/>
        <v>246307.5</v>
      </c>
      <c r="U56" s="281">
        <f t="shared" si="25"/>
        <v>82102.5</v>
      </c>
      <c r="V56" s="296">
        <f t="shared" si="26"/>
        <v>20525.625</v>
      </c>
      <c r="W56" s="307">
        <f t="shared" si="27"/>
        <v>11728.928571428572</v>
      </c>
      <c r="X56" s="283"/>
      <c r="Y56" s="313">
        <f t="shared" si="30"/>
        <v>12</v>
      </c>
      <c r="Z56" s="313">
        <f t="shared" si="28"/>
        <v>46915.71428571429</v>
      </c>
      <c r="AA56" s="313">
        <f t="shared" si="29"/>
        <v>11728.928571428572</v>
      </c>
    </row>
    <row r="57" spans="1:27">
      <c r="A57" s="292" t="s">
        <v>387</v>
      </c>
      <c r="B57" s="284" t="s">
        <v>393</v>
      </c>
      <c r="C57" s="277">
        <v>1</v>
      </c>
      <c r="D57" s="278">
        <v>3</v>
      </c>
      <c r="E57" s="278">
        <v>2024</v>
      </c>
      <c r="F57" s="293">
        <v>434280</v>
      </c>
      <c r="G57" s="278">
        <v>7</v>
      </c>
      <c r="H57" s="294">
        <v>0.25</v>
      </c>
      <c r="I57" s="279">
        <f t="shared" si="18"/>
        <v>84</v>
      </c>
      <c r="J57" s="279">
        <f t="shared" si="19"/>
        <v>1</v>
      </c>
      <c r="K57" s="279">
        <f t="shared" si="32"/>
        <v>83</v>
      </c>
      <c r="L57" s="280">
        <f t="shared" si="20"/>
        <v>3</v>
      </c>
      <c r="M57" s="280">
        <f t="shared" si="21"/>
        <v>2031</v>
      </c>
      <c r="N57" s="281">
        <f t="shared" si="14"/>
        <v>434280</v>
      </c>
      <c r="O57" s="295">
        <f t="shared" si="15"/>
        <v>5170</v>
      </c>
      <c r="P57" s="295">
        <f t="shared" si="22"/>
        <v>62040</v>
      </c>
      <c r="Q57" s="281">
        <f t="shared" si="23"/>
        <v>1</v>
      </c>
      <c r="R57" s="281">
        <f t="shared" si="6"/>
        <v>0</v>
      </c>
      <c r="S57" s="281">
        <f t="shared" si="24"/>
        <v>5170</v>
      </c>
      <c r="T57" s="281">
        <f t="shared" si="16"/>
        <v>5170</v>
      </c>
      <c r="U57" s="281">
        <f t="shared" si="25"/>
        <v>429110</v>
      </c>
      <c r="V57" s="296">
        <f t="shared" si="26"/>
        <v>107277.5</v>
      </c>
      <c r="W57" s="307">
        <f t="shared" si="27"/>
        <v>1292.5</v>
      </c>
      <c r="X57" s="283"/>
      <c r="Y57" s="313">
        <f t="shared" si="30"/>
        <v>12</v>
      </c>
      <c r="Z57" s="313">
        <f t="shared" si="28"/>
        <v>62040</v>
      </c>
      <c r="AA57" s="313">
        <f t="shared" si="29"/>
        <v>15510</v>
      </c>
    </row>
    <row r="58" spans="1:27">
      <c r="A58" s="292" t="s">
        <v>394</v>
      </c>
      <c r="B58" s="291" t="s">
        <v>395</v>
      </c>
      <c r="C58" s="277">
        <v>1</v>
      </c>
      <c r="D58" s="278">
        <v>1</v>
      </c>
      <c r="E58" s="278">
        <v>2013</v>
      </c>
      <c r="F58" s="285">
        <v>1771118</v>
      </c>
      <c r="G58" s="278">
        <v>0</v>
      </c>
      <c r="H58" s="294">
        <v>0.1</v>
      </c>
      <c r="I58" s="279">
        <f t="shared" si="18"/>
        <v>0</v>
      </c>
      <c r="J58" s="279">
        <f t="shared" si="19"/>
        <v>135</v>
      </c>
      <c r="K58" s="279">
        <f t="shared" si="32"/>
        <v>-135</v>
      </c>
      <c r="L58" s="280">
        <f t="shared" si="20"/>
        <v>1</v>
      </c>
      <c r="M58" s="280">
        <f t="shared" si="21"/>
        <v>2013</v>
      </c>
      <c r="N58" s="281">
        <f t="shared" si="14"/>
        <v>1771118</v>
      </c>
      <c r="O58" s="295">
        <f t="shared" si="15"/>
        <v>0</v>
      </c>
      <c r="P58" s="295">
        <f t="shared" si="22"/>
        <v>0</v>
      </c>
      <c r="Q58" s="281">
        <f t="shared" si="23"/>
        <v>0</v>
      </c>
      <c r="R58" s="281">
        <v>0</v>
      </c>
      <c r="S58" s="281">
        <f t="shared" si="24"/>
        <v>0</v>
      </c>
      <c r="T58" s="281">
        <f t="shared" si="16"/>
        <v>0</v>
      </c>
      <c r="U58" s="281">
        <f t="shared" si="25"/>
        <v>1771118</v>
      </c>
      <c r="V58" s="296">
        <f t="shared" si="26"/>
        <v>177111.80000000002</v>
      </c>
      <c r="W58" s="307">
        <f t="shared" si="27"/>
        <v>0</v>
      </c>
      <c r="X58" s="283"/>
      <c r="Y58" s="313">
        <f t="shared" si="30"/>
        <v>0</v>
      </c>
      <c r="Z58" s="313">
        <f t="shared" si="28"/>
        <v>0</v>
      </c>
      <c r="AA58" s="313">
        <f t="shared" si="29"/>
        <v>0</v>
      </c>
    </row>
    <row r="59" spans="1:27">
      <c r="A59" s="292" t="s">
        <v>394</v>
      </c>
      <c r="B59" s="291" t="s">
        <v>396</v>
      </c>
      <c r="C59" s="277">
        <v>27</v>
      </c>
      <c r="D59" s="278">
        <v>4</v>
      </c>
      <c r="E59" s="278">
        <v>2017</v>
      </c>
      <c r="F59" s="285">
        <v>200000</v>
      </c>
      <c r="G59" s="278">
        <v>0</v>
      </c>
      <c r="H59" s="294">
        <v>0</v>
      </c>
      <c r="I59" s="279">
        <f t="shared" si="18"/>
        <v>0</v>
      </c>
      <c r="J59" s="279">
        <f t="shared" si="19"/>
        <v>84</v>
      </c>
      <c r="K59" s="279">
        <f t="shared" si="32"/>
        <v>-84</v>
      </c>
      <c r="L59" s="280">
        <f t="shared" si="20"/>
        <v>4</v>
      </c>
      <c r="M59" s="280">
        <f t="shared" si="21"/>
        <v>2017</v>
      </c>
      <c r="N59" s="281">
        <f t="shared" si="14"/>
        <v>200000</v>
      </c>
      <c r="O59" s="295">
        <f t="shared" si="15"/>
        <v>0</v>
      </c>
      <c r="P59" s="295">
        <f t="shared" si="22"/>
        <v>0</v>
      </c>
      <c r="Q59" s="281">
        <f t="shared" si="23"/>
        <v>0</v>
      </c>
      <c r="R59" s="281">
        <v>0</v>
      </c>
      <c r="S59" s="281">
        <f t="shared" si="24"/>
        <v>0</v>
      </c>
      <c r="T59" s="281">
        <f t="shared" si="16"/>
        <v>0</v>
      </c>
      <c r="U59" s="281">
        <f t="shared" si="25"/>
        <v>200000</v>
      </c>
      <c r="V59" s="296">
        <f t="shared" si="26"/>
        <v>0</v>
      </c>
      <c r="W59" s="307">
        <f t="shared" si="27"/>
        <v>0</v>
      </c>
      <c r="X59" s="283"/>
      <c r="Y59" s="313">
        <f t="shared" si="30"/>
        <v>0</v>
      </c>
      <c r="Z59" s="313">
        <f t="shared" si="28"/>
        <v>0</v>
      </c>
      <c r="AA59" s="313">
        <f t="shared" si="29"/>
        <v>0</v>
      </c>
    </row>
    <row r="60" spans="1:27">
      <c r="A60" s="292" t="s">
        <v>394</v>
      </c>
      <c r="B60" s="291" t="s">
        <v>397</v>
      </c>
      <c r="C60" s="277">
        <v>1</v>
      </c>
      <c r="D60" s="278">
        <v>1</v>
      </c>
      <c r="E60" s="278">
        <v>2013</v>
      </c>
      <c r="F60" s="285">
        <v>3446</v>
      </c>
      <c r="G60" s="278">
        <v>0</v>
      </c>
      <c r="H60" s="294">
        <v>0.1</v>
      </c>
      <c r="I60" s="279">
        <f t="shared" si="18"/>
        <v>0</v>
      </c>
      <c r="J60" s="279">
        <f t="shared" si="19"/>
        <v>135</v>
      </c>
      <c r="K60" s="279">
        <f t="shared" si="32"/>
        <v>-135</v>
      </c>
      <c r="L60" s="280">
        <f t="shared" si="20"/>
        <v>1</v>
      </c>
      <c r="M60" s="280">
        <f t="shared" si="21"/>
        <v>2013</v>
      </c>
      <c r="N60" s="281">
        <f t="shared" si="14"/>
        <v>3446</v>
      </c>
      <c r="O60" s="295">
        <f t="shared" si="15"/>
        <v>0</v>
      </c>
      <c r="P60" s="295">
        <f t="shared" si="22"/>
        <v>0</v>
      </c>
      <c r="Q60" s="281">
        <f t="shared" si="23"/>
        <v>0</v>
      </c>
      <c r="R60" s="281">
        <v>0</v>
      </c>
      <c r="S60" s="281">
        <f t="shared" si="24"/>
        <v>0</v>
      </c>
      <c r="T60" s="281">
        <f t="shared" si="16"/>
        <v>0</v>
      </c>
      <c r="U60" s="281">
        <f t="shared" si="25"/>
        <v>3446</v>
      </c>
      <c r="V60" s="296">
        <f t="shared" si="26"/>
        <v>344.6</v>
      </c>
      <c r="W60" s="307">
        <f t="shared" si="27"/>
        <v>0</v>
      </c>
      <c r="X60" s="283"/>
      <c r="Y60" s="313">
        <f t="shared" si="30"/>
        <v>0</v>
      </c>
      <c r="Z60" s="313">
        <f t="shared" si="28"/>
        <v>0</v>
      </c>
      <c r="AA60" s="313">
        <f t="shared" si="29"/>
        <v>0</v>
      </c>
    </row>
    <row r="61" spans="1:27">
      <c r="A61" s="292" t="s">
        <v>398</v>
      </c>
      <c r="B61" s="291" t="s">
        <v>399</v>
      </c>
      <c r="C61" s="277">
        <v>1</v>
      </c>
      <c r="D61" s="278">
        <v>1</v>
      </c>
      <c r="E61" s="278">
        <v>2016</v>
      </c>
      <c r="F61" s="293">
        <v>80200</v>
      </c>
      <c r="G61" s="278">
        <v>5</v>
      </c>
      <c r="H61" s="294">
        <v>0.1</v>
      </c>
      <c r="I61" s="279">
        <f t="shared" si="18"/>
        <v>60</v>
      </c>
      <c r="J61" s="279">
        <f t="shared" si="19"/>
        <v>99</v>
      </c>
      <c r="K61" s="279">
        <f t="shared" si="32"/>
        <v>-39</v>
      </c>
      <c r="L61" s="280">
        <f t="shared" si="20"/>
        <v>1</v>
      </c>
      <c r="M61" s="280">
        <f t="shared" si="21"/>
        <v>2021</v>
      </c>
      <c r="N61" s="281">
        <f t="shared" si="14"/>
        <v>80200</v>
      </c>
      <c r="O61" s="295">
        <f t="shared" si="15"/>
        <v>1336.6666666666667</v>
      </c>
      <c r="P61" s="295">
        <f t="shared" si="22"/>
        <v>16040</v>
      </c>
      <c r="Q61" s="281">
        <f t="shared" si="23"/>
        <v>0</v>
      </c>
      <c r="R61" s="281">
        <f>IF(J61&lt;13,0,IF(Q61&gt;0,(J61-12)*O61,N61))</f>
        <v>80200</v>
      </c>
      <c r="S61" s="281">
        <f t="shared" si="24"/>
        <v>0</v>
      </c>
      <c r="T61" s="281">
        <f t="shared" si="16"/>
        <v>80200</v>
      </c>
      <c r="U61" s="281">
        <f t="shared" si="25"/>
        <v>0</v>
      </c>
      <c r="V61" s="296">
        <f t="shared" si="26"/>
        <v>0</v>
      </c>
      <c r="W61" s="307">
        <f t="shared" si="27"/>
        <v>0</v>
      </c>
      <c r="X61" s="283"/>
      <c r="Y61" s="313">
        <f t="shared" si="30"/>
        <v>0</v>
      </c>
      <c r="Z61" s="313">
        <f t="shared" si="28"/>
        <v>0</v>
      </c>
      <c r="AA61" s="313">
        <f t="shared" si="29"/>
        <v>0</v>
      </c>
    </row>
    <row r="62" spans="1:27">
      <c r="A62" s="292" t="s">
        <v>398</v>
      </c>
      <c r="B62" s="291" t="s">
        <v>399</v>
      </c>
      <c r="C62" s="277">
        <v>31</v>
      </c>
      <c r="D62" s="278">
        <v>8</v>
      </c>
      <c r="E62" s="278">
        <v>2017</v>
      </c>
      <c r="F62" s="293">
        <v>62712</v>
      </c>
      <c r="G62" s="278">
        <v>5</v>
      </c>
      <c r="H62" s="294">
        <v>0.1</v>
      </c>
      <c r="I62" s="279">
        <f t="shared" si="18"/>
        <v>60</v>
      </c>
      <c r="J62" s="279">
        <f t="shared" si="19"/>
        <v>80</v>
      </c>
      <c r="K62" s="279">
        <f t="shared" si="32"/>
        <v>-20</v>
      </c>
      <c r="L62" s="280">
        <f t="shared" si="20"/>
        <v>8</v>
      </c>
      <c r="M62" s="280">
        <f t="shared" si="21"/>
        <v>2022</v>
      </c>
      <c r="N62" s="281">
        <f t="shared" si="14"/>
        <v>62712</v>
      </c>
      <c r="O62" s="295">
        <f t="shared" si="15"/>
        <v>1045.2</v>
      </c>
      <c r="P62" s="295">
        <f t="shared" si="22"/>
        <v>12542.4</v>
      </c>
      <c r="Q62" s="281">
        <f t="shared" si="23"/>
        <v>0</v>
      </c>
      <c r="R62" s="281">
        <f>IF(J62&lt;13,0,IF(Q62&gt;0,(J62-12)*O62,N62))</f>
        <v>62712</v>
      </c>
      <c r="S62" s="281">
        <f t="shared" si="24"/>
        <v>0</v>
      </c>
      <c r="T62" s="281">
        <f t="shared" si="16"/>
        <v>62712</v>
      </c>
      <c r="U62" s="281">
        <f t="shared" si="25"/>
        <v>0</v>
      </c>
      <c r="V62" s="296">
        <f t="shared" si="26"/>
        <v>0</v>
      </c>
      <c r="W62" s="307">
        <f t="shared" si="27"/>
        <v>0</v>
      </c>
      <c r="X62" s="283"/>
      <c r="Y62" s="313">
        <f t="shared" si="30"/>
        <v>0</v>
      </c>
      <c r="Z62" s="313">
        <f t="shared" si="28"/>
        <v>0</v>
      </c>
      <c r="AA62" s="313">
        <f t="shared" si="29"/>
        <v>0</v>
      </c>
    </row>
    <row r="63" spans="1:27">
      <c r="A63" s="292" t="s">
        <v>151</v>
      </c>
      <c r="B63" s="292" t="s">
        <v>400</v>
      </c>
      <c r="C63" s="277">
        <v>29</v>
      </c>
      <c r="D63" s="278">
        <v>8</v>
      </c>
      <c r="E63" s="278">
        <v>2019</v>
      </c>
      <c r="F63" s="293">
        <v>82442</v>
      </c>
      <c r="G63" s="278">
        <v>0</v>
      </c>
      <c r="H63" s="294">
        <v>0</v>
      </c>
      <c r="I63" s="279">
        <f t="shared" si="18"/>
        <v>0</v>
      </c>
      <c r="J63" s="279">
        <f t="shared" si="19"/>
        <v>56</v>
      </c>
      <c r="K63" s="279">
        <f t="shared" si="32"/>
        <v>-56</v>
      </c>
      <c r="L63" s="280">
        <f t="shared" si="20"/>
        <v>8</v>
      </c>
      <c r="M63" s="280">
        <f t="shared" si="21"/>
        <v>2019</v>
      </c>
      <c r="N63" s="281">
        <f t="shared" si="14"/>
        <v>82442</v>
      </c>
      <c r="O63" s="295">
        <f t="shared" si="15"/>
        <v>0</v>
      </c>
      <c r="P63" s="295">
        <f t="shared" si="22"/>
        <v>0</v>
      </c>
      <c r="Q63" s="281">
        <f t="shared" si="23"/>
        <v>0</v>
      </c>
      <c r="R63" s="281">
        <v>0</v>
      </c>
      <c r="S63" s="281">
        <f t="shared" si="24"/>
        <v>0</v>
      </c>
      <c r="T63" s="281">
        <f t="shared" si="16"/>
        <v>0</v>
      </c>
      <c r="U63" s="281">
        <f t="shared" si="25"/>
        <v>82442</v>
      </c>
      <c r="V63" s="296">
        <f t="shared" si="26"/>
        <v>0</v>
      </c>
      <c r="W63" s="307">
        <f t="shared" si="27"/>
        <v>0</v>
      </c>
      <c r="X63" s="283"/>
      <c r="Y63" s="313">
        <f t="shared" si="30"/>
        <v>0</v>
      </c>
      <c r="Z63" s="313">
        <f t="shared" si="28"/>
        <v>0</v>
      </c>
      <c r="AA63" s="313">
        <f t="shared" si="29"/>
        <v>0</v>
      </c>
    </row>
    <row r="64" spans="1:27">
      <c r="A64" s="277"/>
      <c r="B64" s="277"/>
      <c r="C64" s="277"/>
      <c r="D64" s="278"/>
      <c r="E64" s="278"/>
      <c r="F64" s="297"/>
      <c r="G64" s="278"/>
      <c r="H64" s="294"/>
      <c r="I64" s="278"/>
      <c r="J64" s="278"/>
      <c r="K64" s="278"/>
      <c r="L64" s="303"/>
      <c r="M64" s="303"/>
      <c r="N64" s="227"/>
      <c r="O64" s="304"/>
      <c r="P64" s="304"/>
      <c r="V64" s="304"/>
    </row>
    <row r="65" spans="1:27">
      <c r="A65" s="277"/>
      <c r="B65" s="277"/>
      <c r="C65" s="277"/>
      <c r="D65" s="278"/>
      <c r="E65" s="278"/>
      <c r="F65" s="297"/>
      <c r="G65" s="278"/>
      <c r="H65" s="294"/>
      <c r="I65" s="278"/>
      <c r="J65" s="278"/>
      <c r="K65" s="278"/>
      <c r="L65" s="303"/>
      <c r="M65" s="303"/>
      <c r="N65" s="227"/>
      <c r="O65" s="304"/>
      <c r="P65" s="304"/>
      <c r="R65" s="286">
        <f>SUM(R11:R64)</f>
        <v>1759046.4425595235</v>
      </c>
      <c r="V65" s="305">
        <f>SUM(V11:V64)</f>
        <v>353467.29838749999</v>
      </c>
      <c r="W65" s="286">
        <f>SUM(W11:W64)</f>
        <v>33010.029109821437</v>
      </c>
      <c r="Z65" s="286">
        <f>SUM(Z11:Z64)</f>
        <v>365195.37880952377</v>
      </c>
      <c r="AA65" s="286">
        <f>SUM(AA11:AA64)</f>
        <v>39716.165308333337</v>
      </c>
    </row>
    <row r="66" spans="1:27">
      <c r="A66" s="277"/>
      <c r="B66" s="277"/>
      <c r="C66" s="277"/>
      <c r="D66" s="278"/>
      <c r="E66" s="287" t="s">
        <v>401</v>
      </c>
      <c r="F66" s="298">
        <f>SUM(F11:F63)</f>
        <v>5765076.5999999996</v>
      </c>
      <c r="G66" s="278"/>
      <c r="H66" s="294"/>
      <c r="I66" s="278"/>
      <c r="J66" s="278"/>
      <c r="K66" s="278"/>
      <c r="L66" s="303"/>
      <c r="M66" s="303"/>
      <c r="N66" s="227"/>
      <c r="O66" s="304">
        <f>SUM(O11:O65)</f>
        <v>40355.437023809514</v>
      </c>
      <c r="P66" s="304"/>
      <c r="V66" s="304"/>
    </row>
    <row r="67" spans="1:27">
      <c r="A67" s="277"/>
      <c r="B67" s="277"/>
      <c r="C67" s="277"/>
      <c r="D67" s="278"/>
      <c r="E67" s="299" t="s">
        <v>402</v>
      </c>
      <c r="F67" s="298">
        <v>-211654.15</v>
      </c>
      <c r="G67" s="278"/>
      <c r="H67" s="294"/>
      <c r="I67" s="278"/>
      <c r="J67" s="278"/>
      <c r="K67" s="278"/>
      <c r="L67" s="303"/>
      <c r="M67" s="303"/>
      <c r="N67" s="227"/>
      <c r="O67" s="304"/>
      <c r="P67" s="304"/>
      <c r="R67" s="300" t="s">
        <v>403</v>
      </c>
      <c r="S67" s="286">
        <f>SUM(S11:S63)</f>
        <v>344171.26803571428</v>
      </c>
      <c r="T67" s="286">
        <f>SUM(T11:T63)</f>
        <v>2103217.710595238</v>
      </c>
      <c r="U67" s="286">
        <f>SUM(U11:U63)</f>
        <v>3661858.8894047616</v>
      </c>
      <c r="V67" s="304"/>
      <c r="Y67" s="300" t="s">
        <v>403</v>
      </c>
      <c r="Z67" s="286">
        <f>SUM(Z11:Z63)</f>
        <v>365195.37880952377</v>
      </c>
    </row>
    <row r="68" spans="1:27">
      <c r="A68" s="277"/>
      <c r="B68" s="277"/>
      <c r="C68" s="277"/>
      <c r="D68" s="278"/>
      <c r="E68" s="301" t="s">
        <v>404</v>
      </c>
      <c r="F68" s="272">
        <f>-F57-F23</f>
        <v>-451811.45</v>
      </c>
      <c r="G68" s="278"/>
      <c r="H68" s="294"/>
      <c r="I68" s="278"/>
      <c r="J68" s="278"/>
      <c r="K68" s="278"/>
      <c r="L68" s="303"/>
      <c r="M68" s="303"/>
      <c r="N68" s="227"/>
      <c r="O68" s="304"/>
      <c r="P68" s="304"/>
      <c r="R68" s="288" t="s">
        <v>405</v>
      </c>
      <c r="S68" s="272">
        <f>-(S52+S23+S22+S12+S57)</f>
        <v>-43350.032749999998</v>
      </c>
      <c r="V68" s="304"/>
      <c r="Y68" s="288" t="s">
        <v>405</v>
      </c>
      <c r="Z68" s="282">
        <f>-Z39-Z13</f>
        <v>-4747.5773809523816</v>
      </c>
    </row>
    <row r="69" spans="1:27">
      <c r="A69" s="277"/>
      <c r="B69" s="277"/>
      <c r="C69" s="277"/>
      <c r="D69" s="278"/>
      <c r="F69" s="286">
        <f>SUM(F66:F68)</f>
        <v>5101610.9999999991</v>
      </c>
      <c r="G69" s="278"/>
      <c r="H69" s="294"/>
      <c r="I69" s="278"/>
      <c r="J69" s="278"/>
      <c r="K69" s="278"/>
      <c r="L69" s="303"/>
      <c r="M69" s="303"/>
      <c r="N69" s="227"/>
      <c r="O69" s="304"/>
      <c r="P69" s="304"/>
      <c r="R69" s="288"/>
      <c r="S69" s="286">
        <f>SUM(S67:S68)</f>
        <v>300821.23528571427</v>
      </c>
      <c r="V69" s="304"/>
      <c r="Y69" s="288"/>
      <c r="Z69" s="286">
        <f>SUM(Z67:Z68)</f>
        <v>360447.8014285714</v>
      </c>
    </row>
    <row r="70" spans="1:27">
      <c r="A70" s="277"/>
      <c r="B70" s="277"/>
      <c r="C70" s="277"/>
      <c r="D70" s="278"/>
      <c r="E70" s="301" t="s">
        <v>406</v>
      </c>
      <c r="F70" s="272">
        <v>5101611</v>
      </c>
      <c r="G70" s="278"/>
      <c r="H70" s="294"/>
      <c r="I70" s="278"/>
      <c r="J70" s="278"/>
      <c r="K70" s="278"/>
      <c r="L70" s="303"/>
      <c r="M70" s="303"/>
      <c r="N70" s="227"/>
      <c r="O70" s="304"/>
      <c r="P70" s="304"/>
      <c r="R70" s="300" t="s">
        <v>407</v>
      </c>
      <c r="S70" s="272">
        <f>S69/12</f>
        <v>25068.436273809522</v>
      </c>
      <c r="V70" s="304"/>
      <c r="Y70" s="300" t="s">
        <v>407</v>
      </c>
      <c r="Z70" s="272">
        <f>Z69/12</f>
        <v>30037.316785714283</v>
      </c>
    </row>
    <row r="71" spans="1:27">
      <c r="A71" s="277"/>
      <c r="B71" s="277"/>
      <c r="C71" s="277"/>
      <c r="D71" s="278"/>
      <c r="E71" s="301" t="s">
        <v>408</v>
      </c>
      <c r="F71" s="286">
        <f>F70-F69</f>
        <v>0</v>
      </c>
      <c r="G71" s="278"/>
      <c r="H71" s="294"/>
      <c r="I71" s="278"/>
      <c r="J71" s="278"/>
      <c r="K71" s="278"/>
      <c r="L71" s="303"/>
      <c r="M71" s="303"/>
      <c r="N71" s="227"/>
      <c r="O71" s="304"/>
      <c r="P71" s="304"/>
      <c r="V71" s="304"/>
    </row>
    <row r="72" spans="1:27">
      <c r="A72" s="277"/>
      <c r="B72" s="277"/>
      <c r="C72" s="277"/>
      <c r="D72" s="278"/>
      <c r="G72" s="278"/>
      <c r="H72" s="294"/>
      <c r="I72" s="278"/>
      <c r="J72" s="278"/>
      <c r="K72" s="278"/>
      <c r="L72" s="303"/>
      <c r="M72" s="303"/>
      <c r="N72" s="227"/>
      <c r="O72" s="304"/>
      <c r="P72" s="304"/>
      <c r="V72" s="304"/>
    </row>
    <row r="73" spans="1:27">
      <c r="A73" s="277"/>
      <c r="B73" s="277"/>
      <c r="C73" s="277"/>
      <c r="D73" s="278"/>
      <c r="G73" s="278"/>
      <c r="H73" s="294"/>
      <c r="I73" s="278"/>
      <c r="J73" s="278"/>
      <c r="K73" s="278"/>
      <c r="L73" s="303"/>
      <c r="M73" s="303"/>
      <c r="N73" s="227"/>
      <c r="O73" s="304"/>
      <c r="P73" s="304"/>
      <c r="T73" s="301" t="s">
        <v>426</v>
      </c>
      <c r="U73" s="282">
        <f>AA65</f>
        <v>39716.165308333337</v>
      </c>
      <c r="V73" s="304"/>
    </row>
    <row r="74" spans="1:27">
      <c r="A74" s="277"/>
      <c r="B74" s="277"/>
      <c r="C74" s="277"/>
      <c r="D74" s="278"/>
      <c r="E74" s="287"/>
      <c r="F74" s="302"/>
      <c r="G74" s="278"/>
      <c r="H74" s="294"/>
      <c r="I74" s="278"/>
      <c r="J74" s="278"/>
      <c r="K74" s="278"/>
      <c r="L74" s="303"/>
      <c r="M74" s="303"/>
      <c r="N74" s="227"/>
      <c r="O74" s="304"/>
      <c r="P74" s="304"/>
      <c r="T74" s="301" t="s">
        <v>427</v>
      </c>
      <c r="U74" s="282">
        <f>W65</f>
        <v>33010.029109821437</v>
      </c>
      <c r="V74" s="304"/>
    </row>
    <row r="75" spans="1:27">
      <c r="A75" s="277"/>
      <c r="B75" s="277"/>
      <c r="C75" s="277"/>
      <c r="D75" s="278"/>
      <c r="E75" s="287"/>
      <c r="F75" s="302"/>
      <c r="G75" s="278"/>
      <c r="H75" s="294"/>
      <c r="I75" s="278"/>
      <c r="J75" s="278"/>
      <c r="K75" s="278"/>
      <c r="L75" s="303"/>
      <c r="M75" s="303"/>
      <c r="N75" s="227"/>
      <c r="O75" s="304"/>
      <c r="P75" s="304"/>
      <c r="T75" s="301" t="s">
        <v>273</v>
      </c>
      <c r="U75" s="289">
        <f>U73-U74</f>
        <v>6706.1361985119001</v>
      </c>
      <c r="V75" s="304"/>
    </row>
  </sheetData>
  <mergeCells count="10">
    <mergeCell ref="O9:P9"/>
    <mergeCell ref="A8:H8"/>
    <mergeCell ref="I8:U8"/>
    <mergeCell ref="V8:W8"/>
    <mergeCell ref="Y8:AA8"/>
    <mergeCell ref="G3:J3"/>
    <mergeCell ref="G4:H4"/>
    <mergeCell ref="I4:J4"/>
    <mergeCell ref="C9:E9"/>
    <mergeCell ref="L9:M9"/>
  </mergeCells>
  <conditionalFormatting sqref="K11:K63">
    <cfRule type="cellIs" dxfId="2" priority="1" operator="lessThan">
      <formula>0</formula>
    </cfRule>
  </conditionalFormatting>
  <conditionalFormatting sqref="M11:M63">
    <cfRule type="cellIs" dxfId="1" priority="11" operator="lessThan">
      <formula>$J$6</formula>
    </cfRule>
  </conditionalFormatting>
  <conditionalFormatting sqref="V11:V75">
    <cfRule type="cellIs" dxfId="0" priority="2" operator="lessThan">
      <formula>0</formula>
    </cfRule>
  </conditionalFormatting>
  <dataValidations count="2">
    <dataValidation type="whole" allowBlank="1" showInputMessage="1" showErrorMessage="1" sqref="G6 I6" xr:uid="{1FDBB95B-CFC6-4D45-BD55-9612AC113190}">
      <formula1>1</formula1>
      <formula2>12</formula2>
    </dataValidation>
    <dataValidation type="whole" allowBlank="1" showInputMessage="1" showErrorMessage="1" sqref="C11:D75" xr:uid="{802005C6-85C5-480C-9ACC-4562DB8C4A1F}">
      <formula1>1</formula1>
      <formula2>31</formula2>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Pending</CaseStatus>
    <OpenedDate xmlns="dc463f71-b30c-4ab2-9473-d307f9d35888">2024-11-15T08:00:00+00:00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Sunrise Disposal, Inc. </CaseCompanyNames>
    <Nickname xmlns="http://schemas.microsoft.com/sharepoint/v3" xsi:nil="true"/>
    <DocketNumber xmlns="dc463f71-b30c-4ab2-9473-d307f9d35888">240914</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61DC55EC98502408DBE617EA3C05EFD" ma:contentTypeVersion="15" ma:contentTypeDescription="" ma:contentTypeScope="" ma:versionID="9f256cf21899d15575c651876a0cc51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42A39CC-6F5D-4FA8-A287-326EC7D294DC}">
  <ds:schemaRefs>
    <ds:schemaRef ds:uri="http://schemas.microsoft.com/sharepoint/v3/contenttype/forms"/>
  </ds:schemaRefs>
</ds:datastoreItem>
</file>

<file path=customXml/itemProps2.xml><?xml version="1.0" encoding="utf-8"?>
<ds:datastoreItem xmlns:ds="http://schemas.openxmlformats.org/officeDocument/2006/customXml" ds:itemID="{4CDE0132-705A-45A7-9C83-6D371D4D45DE}">
  <ds:schemaRefs>
    <ds:schemaRef ds:uri="http://purl.org/dc/terms/"/>
    <ds:schemaRef ds:uri="94ccb0f8-418e-41dd-ac47-c8b0a5d07e7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9CD8A39-7007-4058-928A-01BE173B2CF9}"/>
</file>

<file path=customXml/itemProps4.xml><?xml version="1.0" encoding="utf-8"?>
<ds:datastoreItem xmlns:ds="http://schemas.openxmlformats.org/officeDocument/2006/customXml" ds:itemID="{529983BD-24FE-4D68-9622-1F3D04F555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LG Nonpublic 2018 V5.2a</vt:lpstr>
      <vt:lpstr>Instructions</vt:lpstr>
      <vt:lpstr>Balance Sheet</vt:lpstr>
      <vt:lpstr>Income Statement</vt:lpstr>
      <vt:lpstr>Interest Expense</vt:lpstr>
      <vt:lpstr>Interco Transactions</vt:lpstr>
      <vt:lpstr>Leases</vt:lpstr>
      <vt:lpstr>Restating Matrix</vt:lpstr>
      <vt:lpstr>Depr. Input and Calculation</vt:lpstr>
      <vt:lpstr>Monthly Dep Exp</vt:lpstr>
      <vt:lpstr>'LG Nonpublic 2018 V5.2a'!Debt_Rate</vt:lpstr>
      <vt:lpstr>'LG Nonpublic 2018 V5.2a'!debtP</vt:lpstr>
      <vt:lpstr>'LG Nonpublic 2018 V5.2a'!Equity_percent</vt:lpstr>
      <vt:lpstr>'LG Nonpublic 2018 V5.2a'!equityP</vt:lpstr>
      <vt:lpstr>'LG Nonpublic 2018 V5.2a'!expenses</vt:lpstr>
      <vt:lpstr>'LG Nonpublic 2018 V5.2a'!Investment</vt:lpstr>
      <vt:lpstr>'LG Nonpublic 2018 V5.2a'!Pfd_weighted</vt:lpstr>
      <vt:lpstr>'LG Nonpublic 2018 V5.2a'!Print_Area</vt:lpstr>
      <vt:lpstr>'LG Nonpublic 2018 V5.2a'!regDebt_weighted</vt:lpstr>
      <vt:lpstr>'LG Nonpublic 2018 V5.2a'!Revenue</vt:lpstr>
      <vt:lpstr>slope</vt:lpstr>
      <vt:lpstr>'LG Nonpublic 2018 V5.2a'!taxrate</vt:lpstr>
      <vt:lpstr>y_inter1</vt:lpstr>
      <vt:lpstr>y_inter2</vt:lpstr>
      <vt:lpstr>y_inter3</vt:lpstr>
      <vt:lpstr>y_inter4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SolidWaste-NonPublic Lurito Gallagher</dc:title>
  <dc:subject/>
  <dc:creator>Information Services</dc:creator>
  <cp:keywords/>
  <dc:description/>
  <cp:lastModifiedBy>Mike Harrison</cp:lastModifiedBy>
  <cp:lastPrinted>2018-03-23T23:41:52Z</cp:lastPrinted>
  <dcterms:created xsi:type="dcterms:W3CDTF">2016-10-12T18:11:03Z</dcterms:created>
  <dcterms:modified xsi:type="dcterms:W3CDTF">2024-11-05T23:32:17Z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0x0101006E56B4D1795A2E4DB2F0B01679ED314A00661DC55EC98502408DBE617EA3C05EFD</vt:lpwstr>
  </property>
</Properties>
</file>