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vision\Accounting\WUTC\2025 Disposal Increases\"/>
    </mc:Choice>
  </mc:AlternateContent>
  <xr:revisionPtr revIDLastSave="0" documentId="13_ncr:1_{5CF03ED9-7F03-43D1-B551-E6486A19771E}" xr6:coauthVersionLast="47" xr6:coauthVersionMax="47" xr10:uidLastSave="{00000000-0000-0000-0000-000000000000}"/>
  <bookViews>
    <workbookView xWindow="22932" yWindow="-96" windowWidth="23256" windowHeight="12576" activeTab="2" xr2:uid="{4CBCD0EE-9B33-4F3A-ADAE-7CAFA798A5A5}"/>
  </bookViews>
  <sheets>
    <sheet name="Tariff Changes" sheetId="9" r:id="rId1"/>
    <sheet name="Calcs " sheetId="7" r:id="rId2"/>
    <sheet name="References" sheetId="4" r:id="rId3"/>
    <sheet name="Disposal" sheetId="10" r:id="rId4"/>
    <sheet name="Disposal cost back-up" sheetId="12" r:id="rId5"/>
  </sheets>
  <definedNames>
    <definedName name="_COS1" localSheetId="4">#REF!</definedName>
    <definedName name="_COS1">#REF!</definedName>
    <definedName name="_COS2" localSheetId="4">#REF!</definedName>
    <definedName name="_COS2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hidden="1">#REF!</definedName>
    <definedName name="Angie" localSheetId="4" hidden="1">#REF!</definedName>
    <definedName name="Angie" hidden="1">#REF!</definedName>
    <definedName name="AprSun1" localSheetId="4">DATEVALUE("4/1/"&amp;TheYear)-WEEKDAY(DATEVALUE("4/1/"&amp;TheYear))+1</definedName>
    <definedName name="AprSun1">DATEVALUE("4/1/"&amp;TheYear)-WEEKDAY(DATEVALUE("4/1/"&amp;TheYear))+1</definedName>
    <definedName name="AugSun1" localSheetId="4">DATEVALUE("8/1/"&amp;TheYear)-WEEKDAY(DATEVALUE("8/1/"&amp;TheYear))+1</definedName>
    <definedName name="AugSun1">DATEVALUE("8/1/"&amp;TheYear)-WEEKDAY(DATEVALUE("8/1/"&amp;TheYear))+1</definedName>
    <definedName name="autemplate" localSheetId="4">#REF!</definedName>
    <definedName name="autemplate">#REF!</definedName>
    <definedName name="coa" localSheetId="4">#REF!</definedName>
    <definedName name="coa">#REF!</definedName>
    <definedName name="colist" localSheetId="4">#REF!</definedName>
    <definedName name="colist">#REF!</definedName>
    <definedName name="color" localSheetId="4">#REF!</definedName>
    <definedName name="color">#REF!</definedName>
    <definedName name="CommlStaffPriceOut" localSheetId="4">#REF!</definedName>
    <definedName name="CommlStaffPriceOut">#REF!</definedName>
    <definedName name="DBxStaffPriceOut" localSheetId="4">#REF!</definedName>
    <definedName name="DBxStaffPriceOut">#REF!</definedName>
    <definedName name="DecSun1" localSheetId="4">DATEVALUE("12/1/"&amp;TheYear)-WEEKDAY(DATEVALUE("12/1/"&amp;TheYear))+1</definedName>
    <definedName name="DecSun1">DATEVALUE("12/1/"&amp;TheYear)-WEEKDAY(DATEVALUE("12/1/"&amp;TheYear))+1</definedName>
    <definedName name="delete" localSheetId="4">#REF!</definedName>
    <definedName name="delete">#REF!</definedName>
    <definedName name="Division_Number" localSheetId="4">#REF!</definedName>
    <definedName name="Division_Number">#REF!</definedName>
    <definedName name="DivName" localSheetId="4">#REF!</definedName>
    <definedName name="DivName">#REF!</definedName>
    <definedName name="DivNo" localSheetId="4">#REF!</definedName>
    <definedName name="DivNo">#REF!</definedName>
    <definedName name="EXT" localSheetId="4">#REF!</definedName>
    <definedName name="EXT">#REF!</definedName>
    <definedName name="Hazardous_Stops" localSheetId="4">#REF!</definedName>
    <definedName name="Hazardous_Stops">#REF!</definedName>
    <definedName name="helpp" localSheetId="4">#REF!,#REF!,#REF!,#REF!</definedName>
    <definedName name="helpp">#REF!,#REF!,#REF!,#REF!</definedName>
    <definedName name="infopro" localSheetId="4">#REF!,#REF!,#REF!,#REF!</definedName>
    <definedName name="infopro">#REF!,#REF!,#REF!,#REF!</definedName>
    <definedName name="INPUT">#REF!</definedName>
    <definedName name="INPUTc">#REF!</definedName>
    <definedName name="JEDate" localSheetId="4">#REF!</definedName>
    <definedName name="JEDate">#REF!</definedName>
    <definedName name="JEInitials" localSheetId="4">#REF!</definedName>
    <definedName name="JEInitials">#REF!</definedName>
    <definedName name="JulSun1" localSheetId="4">DATEVALUE("7/1/"&amp;TheYear)-WEEKDAY(DATEVALUE("7/1/"&amp;TheYear))+1</definedName>
    <definedName name="JulSun1">DATEVALUE("7/1/"&amp;TheYear)-WEEKDAY(DATEVALUE("7/1/"&amp;TheYear))+1</definedName>
    <definedName name="MATRIX">#REF!</definedName>
    <definedName name="MEDate" localSheetId="4">#REF!</definedName>
    <definedName name="MEDate">#REF!</definedName>
    <definedName name="MFStaffPriceOut" localSheetId="4">#REF!</definedName>
    <definedName name="MFStaffPriceOut">#REF!</definedName>
    <definedName name="NovSun1" localSheetId="4">DATEVALUE("11/1/"&amp;TheYear)-WEEKDAY(DATEVALUE("11/1/"&amp;TheYear))+1</definedName>
    <definedName name="NovSun1">DATEVALUE("11/1/"&amp;TheYear)-WEEKDAY(DATEVALUE("11/1/"&amp;TheYear))+1</definedName>
    <definedName name="OctSun1" localSheetId="4">DATEVALUE("10/1/"&amp;TheYear)-WEEKDAY(DATEVALUE("10/1/"&amp;TheYear))+1</definedName>
    <definedName name="OctSun1">DATEVALUE("10/1/"&amp;TheYear)-WEEKDAY(DATEVALUE("10/1/"&amp;TheYear))+1</definedName>
    <definedName name="OPRD">#REF!</definedName>
    <definedName name="Print_Area_MI">#REF!</definedName>
    <definedName name="Print_Area_MIc">#REF!</definedName>
    <definedName name="_xlnm.Print_Titles" localSheetId="3">Disposal!$3:$3</definedName>
    <definedName name="RefType" localSheetId="4">#REF!</definedName>
    <definedName name="RefType">#REF!</definedName>
    <definedName name="report" localSheetId="4">#REF!</definedName>
    <definedName name="report">#REF!</definedName>
    <definedName name="ReslStaffPriceOut" localSheetId="4">#REF!</definedName>
    <definedName name="ReslStaffPriceOut">#REF!</definedName>
    <definedName name="search1" localSheetId="4" hidden="1">#REF!</definedName>
    <definedName name="search1" hidden="1">#REF!</definedName>
    <definedName name="search2" localSheetId="4" hidden="1">#REF!</definedName>
    <definedName name="search2" hidden="1">#REF!</definedName>
    <definedName name="SectorNme" localSheetId="4">#REF!</definedName>
    <definedName name="SectorNme">#REF!</definedName>
    <definedName name="SepSun1" localSheetId="4">DATEVALUE("9/1/"&amp;TheYear)-WEEKDAY(DATEVALUE("9/1/"&amp;TheYear))+1</definedName>
    <definedName name="SepSun1">DATEVALUE("9/1/"&amp;TheYear)-WEEKDAY(DATEVALUE("9/1/"&amp;TheYear))+1</definedName>
    <definedName name="slope" localSheetId="4">#REF!</definedName>
    <definedName name="slope">#REF!</definedName>
    <definedName name="sort1" localSheetId="4">#REF!</definedName>
    <definedName name="sort1">#REF!</definedName>
    <definedName name="SPECIAL1" localSheetId="4" hidden="1">#REF!</definedName>
    <definedName name="SPECIAL1" hidden="1">#REF!</definedName>
    <definedName name="SPECIAL2" localSheetId="4" hidden="1">#REF!</definedName>
    <definedName name="SPECIAL2" hidden="1">#REF!</definedName>
    <definedName name="Tukwila_Report" localSheetId="4">#REF!</definedName>
    <definedName name="Tukwila_Report">#REF!</definedName>
    <definedName name="Tukwila_Report1" localSheetId="4">#REF!</definedName>
    <definedName name="Tukwila_Report1">#REF!</definedName>
    <definedName name="y_inter1" localSheetId="4">#REF!</definedName>
    <definedName name="y_inter1">#REF!</definedName>
    <definedName name="y_inter2" localSheetId="4">#REF!</definedName>
    <definedName name="y_inter2">#REF!</definedName>
    <definedName name="y_inter3" localSheetId="4">#REF!</definedName>
    <definedName name="y_inter3">#REF!</definedName>
    <definedName name="y_inter4" localSheetId="4">#REF!</definedName>
    <definedName name="y_inter4">#REF!</definedName>
    <definedName name="Year" localSheetId="4">#REF!</definedName>
    <definedName name="Year">#REF!</definedName>
    <definedName name="Z_2D4BA4D8_9810_4CD8_BC99_BAF8C6DC6FDE_.wvu.PrintTitles" localSheetId="3" hidden="1">Disposal!$3:$3</definedName>
    <definedName name="Z_E9505D05_5738_4953_8422_9EB6E0EB24BD_.wvu.PrintTitles" localSheetId="3" hidden="1">Disposal!$3:$3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4" l="1"/>
  <c r="C42" i="12"/>
  <c r="C35" i="12"/>
  <c r="I36" i="12"/>
  <c r="C34" i="12" s="1"/>
  <c r="C36" i="12" s="1"/>
  <c r="I30" i="12"/>
  <c r="D30" i="12"/>
  <c r="C29" i="12"/>
  <c r="E29" i="12" s="1"/>
  <c r="C28" i="12"/>
  <c r="E28" i="12" s="1"/>
  <c r="C27" i="12"/>
  <c r="C30" i="12" s="1"/>
  <c r="Z22" i="12"/>
  <c r="E30" i="12" l="1"/>
  <c r="C37" i="12"/>
  <c r="C39" i="12" s="1"/>
  <c r="C40" i="12" s="1"/>
  <c r="E27" i="12"/>
  <c r="C43" i="12" l="1"/>
  <c r="W178" i="10"/>
  <c r="X178" i="10"/>
  <c r="Y178" i="10" s="1"/>
  <c r="W160" i="10"/>
  <c r="X160" i="10"/>
  <c r="Y160" i="10" s="1"/>
  <c r="W146" i="10"/>
  <c r="X146" i="10"/>
  <c r="Y146" i="10"/>
  <c r="C133" i="9"/>
  <c r="C118" i="9"/>
  <c r="C34" i="9"/>
  <c r="C35" i="9"/>
  <c r="C33" i="9"/>
  <c r="C19" i="9"/>
  <c r="C20" i="9"/>
  <c r="C18" i="9"/>
  <c r="C30" i="9"/>
  <c r="C31" i="9"/>
  <c r="C32" i="9"/>
  <c r="C29" i="9"/>
  <c r="C24" i="9"/>
  <c r="C25" i="9"/>
  <c r="C26" i="9"/>
  <c r="C23" i="9"/>
  <c r="C28" i="9"/>
  <c r="C27" i="9"/>
  <c r="C11" i="9"/>
  <c r="O30" i="7"/>
  <c r="F30" i="7"/>
  <c r="F31" i="7"/>
  <c r="F37" i="7"/>
  <c r="C39" i="9"/>
  <c r="D18" i="7" l="1"/>
  <c r="G16" i="7"/>
  <c r="G14" i="7"/>
  <c r="H14" i="7" s="1"/>
  <c r="G15" i="7"/>
  <c r="H15" i="7" s="1"/>
  <c r="G11" i="7"/>
  <c r="H11" i="7" s="1"/>
  <c r="G12" i="7"/>
  <c r="G5" i="7"/>
  <c r="G13" i="7"/>
  <c r="H13" i="7" s="1"/>
  <c r="G10" i="7"/>
  <c r="O16" i="7"/>
  <c r="E16" i="7"/>
  <c r="F16" i="7" s="1"/>
  <c r="O15" i="7"/>
  <c r="E15" i="7"/>
  <c r="F15" i="7" s="1"/>
  <c r="O14" i="7"/>
  <c r="F14" i="7"/>
  <c r="E14" i="7"/>
  <c r="O13" i="7"/>
  <c r="F13" i="7"/>
  <c r="E13" i="7"/>
  <c r="O12" i="7"/>
  <c r="E12" i="7"/>
  <c r="F12" i="7" s="1"/>
  <c r="O11" i="7"/>
  <c r="E11" i="7"/>
  <c r="F11" i="7" s="1"/>
  <c r="O10" i="7"/>
  <c r="E10" i="7"/>
  <c r="F10" i="7" s="1"/>
  <c r="O9" i="7"/>
  <c r="G9" i="7"/>
  <c r="E9" i="7"/>
  <c r="F9" i="7" s="1"/>
  <c r="G51" i="7"/>
  <c r="G50" i="7"/>
  <c r="F51" i="7"/>
  <c r="F50" i="7"/>
  <c r="G47" i="7"/>
  <c r="F47" i="7"/>
  <c r="D8" i="7"/>
  <c r="D7" i="7"/>
  <c r="D6" i="7"/>
  <c r="D5" i="7"/>
  <c r="D4" i="7"/>
  <c r="D3" i="7"/>
  <c r="D2" i="7"/>
  <c r="G53" i="7"/>
  <c r="G54" i="7"/>
  <c r="G52" i="7"/>
  <c r="F54" i="7"/>
  <c r="F53" i="7"/>
  <c r="F52" i="7"/>
  <c r="E99" i="9"/>
  <c r="C99" i="9"/>
  <c r="D99" i="9" l="1"/>
  <c r="H16" i="7"/>
  <c r="H12" i="7"/>
  <c r="H10" i="7"/>
  <c r="H9" i="7"/>
  <c r="H50" i="7"/>
  <c r="H51" i="7"/>
  <c r="H47" i="7"/>
  <c r="H53" i="7"/>
  <c r="H52" i="7"/>
  <c r="H54" i="7"/>
  <c r="G30" i="7" l="1"/>
  <c r="G34" i="7"/>
  <c r="F34" i="7"/>
  <c r="O34" i="7" s="1"/>
  <c r="H30" i="7" l="1"/>
  <c r="H34" i="7"/>
  <c r="E126" i="10" l="1"/>
  <c r="E125" i="10"/>
  <c r="E124" i="10"/>
  <c r="E122" i="10"/>
  <c r="E119" i="10"/>
  <c r="E114" i="10"/>
  <c r="E113" i="10"/>
  <c r="C106" i="10"/>
  <c r="B106" i="10"/>
  <c r="A106" i="10"/>
  <c r="A108" i="10" s="1"/>
  <c r="E104" i="10"/>
  <c r="C103" i="10"/>
  <c r="E98" i="10"/>
  <c r="E88" i="10"/>
  <c r="E87" i="10"/>
  <c r="E86" i="10"/>
  <c r="E123" i="10" s="1"/>
  <c r="E85" i="10"/>
  <c r="E84" i="10"/>
  <c r="E121" i="10" s="1"/>
  <c r="E83" i="10"/>
  <c r="E82" i="10"/>
  <c r="E118" i="10" s="1"/>
  <c r="E80" i="10"/>
  <c r="E115" i="10" s="1"/>
  <c r="E79" i="10"/>
  <c r="E78" i="10"/>
  <c r="E77" i="10"/>
  <c r="E111" i="10" s="1"/>
  <c r="E76" i="10"/>
  <c r="E110" i="10" s="1"/>
  <c r="E71" i="10"/>
  <c r="E103" i="10" s="1"/>
  <c r="E70" i="10"/>
  <c r="E102" i="10" s="1"/>
  <c r="E69" i="10"/>
  <c r="E101" i="10" s="1"/>
  <c r="E68" i="10"/>
  <c r="E99" i="10" s="1"/>
  <c r="E67" i="10"/>
  <c r="E54" i="10"/>
  <c r="E53" i="10"/>
  <c r="E52" i="10"/>
  <c r="E49" i="10"/>
  <c r="A49" i="10"/>
  <c r="A52" i="10" s="1"/>
  <c r="E46" i="10"/>
  <c r="E40" i="10"/>
  <c r="E39" i="10"/>
  <c r="E116" i="10" s="1"/>
  <c r="E38" i="10"/>
  <c r="A38" i="10"/>
  <c r="E35" i="10"/>
  <c r="E30" i="10"/>
  <c r="E108" i="10" s="1"/>
  <c r="A30" i="10"/>
  <c r="E25" i="10"/>
  <c r="E23" i="10"/>
  <c r="B23" i="10"/>
  <c r="B103" i="10" s="1"/>
  <c r="D21" i="10"/>
  <c r="C21" i="10"/>
  <c r="B20" i="10"/>
  <c r="E20" i="10" s="1"/>
  <c r="A20" i="10"/>
  <c r="Q15" i="10"/>
  <c r="P15" i="10"/>
  <c r="N15" i="10"/>
  <c r="M15" i="10"/>
  <c r="L15" i="10"/>
  <c r="J15" i="10"/>
  <c r="I15" i="10"/>
  <c r="G15" i="10"/>
  <c r="G4" i="10"/>
  <c r="F4" i="10"/>
  <c r="G3" i="10"/>
  <c r="H15" i="10" l="1"/>
  <c r="F15" i="10"/>
  <c r="S12" i="10"/>
  <c r="A21" i="10"/>
  <c r="A23" i="10" s="1"/>
  <c r="S11" i="10"/>
  <c r="O15" i="10"/>
  <c r="S9" i="10"/>
  <c r="S10" i="10"/>
  <c r="S13" i="10"/>
  <c r="S14" i="10"/>
  <c r="H3" i="10"/>
  <c r="S8" i="10"/>
  <c r="K15" i="10"/>
  <c r="S15" i="10" l="1"/>
  <c r="D136" i="7"/>
  <c r="A103" i="10"/>
  <c r="H4" i="10"/>
  <c r="I3" i="10"/>
  <c r="J3" i="10" l="1"/>
  <c r="I4" i="10"/>
  <c r="K3" i="10" l="1"/>
  <c r="J4" i="10"/>
  <c r="K4" i="10" l="1"/>
  <c r="L3" i="10"/>
  <c r="M3" i="10" l="1"/>
  <c r="L4" i="10"/>
  <c r="M4" i="10" l="1"/>
  <c r="N3" i="10"/>
  <c r="O3" i="10" l="1"/>
  <c r="N4" i="10"/>
  <c r="P3" i="10" l="1"/>
  <c r="O4" i="10"/>
  <c r="Q3" i="10" l="1"/>
  <c r="P4" i="10"/>
  <c r="Q4" i="10" l="1"/>
  <c r="G94" i="7" l="1"/>
  <c r="G93" i="7"/>
  <c r="G58" i="7"/>
  <c r="G57" i="7"/>
  <c r="O3" i="7" l="1"/>
  <c r="O4" i="7"/>
  <c r="O5" i="7"/>
  <c r="O6" i="7"/>
  <c r="O7" i="7"/>
  <c r="O8" i="7"/>
  <c r="G52" i="4"/>
  <c r="F100" i="7"/>
  <c r="F93" i="7"/>
  <c r="F56" i="7"/>
  <c r="F57" i="7"/>
  <c r="H57" i="7" s="1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21" i="7"/>
  <c r="F22" i="7"/>
  <c r="O22" i="7" s="1"/>
  <c r="F32" i="7"/>
  <c r="O32" i="7" s="1"/>
  <c r="F41" i="7"/>
  <c r="O41" i="7" s="1"/>
  <c r="G37" i="7" l="1"/>
  <c r="D43" i="7"/>
  <c r="C82" i="9" l="1"/>
  <c r="C83" i="9"/>
  <c r="C84" i="9"/>
  <c r="C81" i="9"/>
  <c r="C96" i="9"/>
  <c r="C95" i="9"/>
  <c r="C130" i="9"/>
  <c r="C129" i="9"/>
  <c r="C128" i="9"/>
  <c r="C127" i="9"/>
  <c r="C125" i="9"/>
  <c r="C126" i="9"/>
  <c r="C124" i="9"/>
  <c r="C163" i="9"/>
  <c r="C164" i="9"/>
  <c r="C165" i="9"/>
  <c r="C166" i="9"/>
  <c r="C167" i="9"/>
  <c r="C162" i="9"/>
  <c r="C156" i="9"/>
  <c r="C157" i="9"/>
  <c r="C158" i="9"/>
  <c r="C159" i="9"/>
  <c r="C160" i="9"/>
  <c r="C155" i="9"/>
  <c r="C150" i="9"/>
  <c r="C151" i="9"/>
  <c r="C152" i="9"/>
  <c r="C149" i="9"/>
  <c r="C145" i="9"/>
  <c r="C146" i="9"/>
  <c r="C147" i="9"/>
  <c r="C144" i="9"/>
  <c r="C138" i="9"/>
  <c r="C139" i="9"/>
  <c r="C137" i="9"/>
  <c r="C134" i="9"/>
  <c r="C135" i="9"/>
  <c r="C122" i="9"/>
  <c r="C117" i="9"/>
  <c r="C119" i="9"/>
  <c r="C120" i="9"/>
  <c r="C121" i="9"/>
  <c r="C116" i="9"/>
  <c r="C114" i="9"/>
  <c r="C115" i="9"/>
  <c r="C113" i="9"/>
  <c r="C106" i="9"/>
  <c r="C107" i="9"/>
  <c r="C108" i="9"/>
  <c r="C109" i="9"/>
  <c r="C110" i="9"/>
  <c r="C111" i="9"/>
  <c r="C105" i="9"/>
  <c r="C104" i="9"/>
  <c r="C103" i="9"/>
  <c r="C102" i="9"/>
  <c r="C88" i="9"/>
  <c r="C89" i="9"/>
  <c r="C90" i="9"/>
  <c r="C91" i="9"/>
  <c r="C92" i="9"/>
  <c r="C87" i="9"/>
  <c r="C77" i="9"/>
  <c r="C78" i="9"/>
  <c r="C79" i="9"/>
  <c r="C76" i="9"/>
  <c r="C68" i="9"/>
  <c r="C69" i="9"/>
  <c r="C70" i="9"/>
  <c r="C71" i="9"/>
  <c r="C72" i="9"/>
  <c r="C73" i="9"/>
  <c r="C67" i="9"/>
  <c r="C56" i="9"/>
  <c r="C57" i="9"/>
  <c r="C58" i="9"/>
  <c r="C59" i="9"/>
  <c r="C60" i="9"/>
  <c r="C61" i="9"/>
  <c r="C62" i="9"/>
  <c r="C63" i="9"/>
  <c r="C64" i="9"/>
  <c r="C65" i="9"/>
  <c r="C55" i="9"/>
  <c r="C52" i="9"/>
  <c r="C53" i="9"/>
  <c r="C51" i="9"/>
  <c r="C48" i="9"/>
  <c r="C49" i="9"/>
  <c r="C50" i="9"/>
  <c r="C47" i="9"/>
  <c r="C46" i="9"/>
  <c r="C45" i="9"/>
  <c r="C44" i="9"/>
  <c r="C43" i="9"/>
  <c r="C42" i="9"/>
  <c r="C15" i="9"/>
  <c r="C16" i="9"/>
  <c r="C17" i="9"/>
  <c r="C14" i="9"/>
  <c r="C13" i="9"/>
  <c r="C12" i="9"/>
  <c r="C9" i="9"/>
  <c r="C10" i="9"/>
  <c r="C8" i="9"/>
  <c r="D137" i="7" l="1"/>
  <c r="F129" i="7" l="1"/>
  <c r="F128" i="7"/>
  <c r="F127" i="7"/>
  <c r="F126" i="7"/>
  <c r="G122" i="7"/>
  <c r="G123" i="7"/>
  <c r="G124" i="7"/>
  <c r="G125" i="7"/>
  <c r="G121" i="7"/>
  <c r="F125" i="7"/>
  <c r="F124" i="7"/>
  <c r="F123" i="7"/>
  <c r="F122" i="7"/>
  <c r="F121" i="7"/>
  <c r="F120" i="7"/>
  <c r="F119" i="7"/>
  <c r="F118" i="7"/>
  <c r="F117" i="7"/>
  <c r="H124" i="7" l="1"/>
  <c r="H122" i="7"/>
  <c r="H125" i="7"/>
  <c r="H121" i="7"/>
  <c r="G40" i="7"/>
  <c r="G63" i="7"/>
  <c r="G39" i="7"/>
  <c r="F40" i="7"/>
  <c r="O40" i="7" s="1"/>
  <c r="G62" i="7"/>
  <c r="G61" i="7"/>
  <c r="G60" i="7"/>
  <c r="G100" i="7"/>
  <c r="O31" i="7"/>
  <c r="G22" i="7"/>
  <c r="G21" i="7"/>
  <c r="O21" i="7"/>
  <c r="O37" i="7" l="1"/>
  <c r="H60" i="7"/>
  <c r="H22" i="7"/>
  <c r="H62" i="7"/>
  <c r="H58" i="7"/>
  <c r="H61" i="7"/>
  <c r="H21" i="7"/>
  <c r="H40" i="7"/>
  <c r="H37" i="7"/>
  <c r="H93" i="7"/>
  <c r="G47" i="4" l="1"/>
  <c r="F38" i="7"/>
  <c r="F39" i="7"/>
  <c r="F23" i="7"/>
  <c r="O23" i="7" s="1"/>
  <c r="F24" i="7"/>
  <c r="O24" i="7" s="1"/>
  <c r="F25" i="7"/>
  <c r="O25" i="7" s="1"/>
  <c r="F26" i="7"/>
  <c r="O26" i="7" s="1"/>
  <c r="F27" i="7"/>
  <c r="O27" i="7" s="1"/>
  <c r="F28" i="7"/>
  <c r="O28" i="7" s="1"/>
  <c r="F29" i="7"/>
  <c r="O29" i="7" s="1"/>
  <c r="F33" i="7"/>
  <c r="O33" i="7" s="1"/>
  <c r="O38" i="7" l="1"/>
  <c r="F43" i="7"/>
  <c r="B54" i="4"/>
  <c r="B49" i="4"/>
  <c r="C48" i="4"/>
  <c r="C47" i="4"/>
  <c r="B52" i="4" l="1"/>
  <c r="B50" i="4"/>
  <c r="C49" i="4"/>
  <c r="G96" i="7"/>
  <c r="G95" i="7"/>
  <c r="F96" i="7"/>
  <c r="F95" i="7"/>
  <c r="F94" i="7"/>
  <c r="H94" i="7" l="1"/>
  <c r="H95" i="7"/>
  <c r="H96" i="7"/>
  <c r="G113" i="7"/>
  <c r="G114" i="7"/>
  <c r="G115" i="7"/>
  <c r="G116" i="7"/>
  <c r="G112" i="7"/>
  <c r="G111" i="7"/>
  <c r="G108" i="7"/>
  <c r="G127" i="7" s="1"/>
  <c r="H127" i="7" s="1"/>
  <c r="G109" i="7"/>
  <c r="G128" i="7" s="1"/>
  <c r="H128" i="7" s="1"/>
  <c r="G110" i="7"/>
  <c r="G129" i="7" s="1"/>
  <c r="G107" i="7"/>
  <c r="G126" i="7" s="1"/>
  <c r="H126" i="7" s="1"/>
  <c r="G106" i="7"/>
  <c r="G105" i="7"/>
  <c r="G104" i="7"/>
  <c r="G103" i="7"/>
  <c r="G102" i="7"/>
  <c r="G32" i="7"/>
  <c r="G101" i="7"/>
  <c r="G98" i="7"/>
  <c r="G99" i="7"/>
  <c r="G97" i="7"/>
  <c r="G92" i="7"/>
  <c r="G91" i="7"/>
  <c r="G87" i="7"/>
  <c r="G88" i="7"/>
  <c r="G89" i="7"/>
  <c r="G90" i="7"/>
  <c r="G86" i="7"/>
  <c r="G85" i="7"/>
  <c r="G82" i="7"/>
  <c r="G118" i="7" s="1"/>
  <c r="H118" i="7" s="1"/>
  <c r="G83" i="7"/>
  <c r="G119" i="7" s="1"/>
  <c r="H119" i="7" s="1"/>
  <c r="G84" i="7"/>
  <c r="G120" i="7" s="1"/>
  <c r="H120" i="7" s="1"/>
  <c r="G81" i="7"/>
  <c r="G117" i="7" s="1"/>
  <c r="H117" i="7" s="1"/>
  <c r="G71" i="7"/>
  <c r="G41" i="7" s="1"/>
  <c r="H41" i="7" s="1"/>
  <c r="G72" i="7"/>
  <c r="G78" i="7" s="1"/>
  <c r="H78" i="7" s="1"/>
  <c r="G73" i="7"/>
  <c r="G79" i="7" s="1"/>
  <c r="H79" i="7" s="1"/>
  <c r="G74" i="7"/>
  <c r="G80" i="7" s="1"/>
  <c r="H80" i="7" s="1"/>
  <c r="G70" i="7"/>
  <c r="G77" i="7" s="1"/>
  <c r="H77" i="7" s="1"/>
  <c r="G69" i="7"/>
  <c r="G76" i="7" s="1"/>
  <c r="H76" i="7" s="1"/>
  <c r="G68" i="7"/>
  <c r="G75" i="7" s="1"/>
  <c r="H75" i="7" s="1"/>
  <c r="G67" i="7"/>
  <c r="G66" i="7"/>
  <c r="G65" i="7"/>
  <c r="G64" i="7"/>
  <c r="G59" i="7"/>
  <c r="G56" i="7"/>
  <c r="G55" i="7"/>
  <c r="G49" i="7"/>
  <c r="G48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99" i="7"/>
  <c r="F98" i="7"/>
  <c r="F97" i="7"/>
  <c r="F92" i="7"/>
  <c r="F49" i="7"/>
  <c r="F48" i="7"/>
  <c r="H98" i="7" l="1"/>
  <c r="F36" i="7"/>
  <c r="H65" i="7"/>
  <c r="H69" i="7"/>
  <c r="H73" i="7"/>
  <c r="H83" i="7"/>
  <c r="H107" i="7"/>
  <c r="H115" i="7"/>
  <c r="H109" i="7"/>
  <c r="H32" i="7"/>
  <c r="H105" i="7"/>
  <c r="H88" i="7"/>
  <c r="H90" i="7"/>
  <c r="H103" i="7"/>
  <c r="H111" i="7"/>
  <c r="H114" i="7"/>
  <c r="H56" i="7"/>
  <c r="H87" i="7"/>
  <c r="H99" i="7"/>
  <c r="H108" i="7"/>
  <c r="H92" i="7"/>
  <c r="H104" i="7"/>
  <c r="H110" i="7"/>
  <c r="H112" i="7"/>
  <c r="H113" i="7"/>
  <c r="H91" i="7"/>
  <c r="H84" i="7"/>
  <c r="H106" i="7"/>
  <c r="H86" i="7"/>
  <c r="H102" i="7"/>
  <c r="H89" i="7"/>
  <c r="H116" i="7"/>
  <c r="H97" i="7"/>
  <c r="H101" i="7"/>
  <c r="H67" i="7"/>
  <c r="H71" i="7"/>
  <c r="H81" i="7"/>
  <c r="H85" i="7"/>
  <c r="H64" i="7"/>
  <c r="H68" i="7"/>
  <c r="H72" i="7"/>
  <c r="H82" i="7"/>
  <c r="H59" i="7"/>
  <c r="H66" i="7"/>
  <c r="H70" i="7"/>
  <c r="H74" i="7"/>
  <c r="H48" i="7"/>
  <c r="H49" i="7"/>
  <c r="G28" i="7" l="1"/>
  <c r="H28" i="7" l="1"/>
  <c r="G33" i="7" l="1"/>
  <c r="G24" i="7"/>
  <c r="G25" i="7"/>
  <c r="G26" i="7"/>
  <c r="G27" i="7"/>
  <c r="G29" i="7"/>
  <c r="G31" i="7" s="1"/>
  <c r="H31" i="7" s="1"/>
  <c r="G23" i="7"/>
  <c r="G8" i="7"/>
  <c r="G7" i="7"/>
  <c r="G6" i="7"/>
  <c r="D36" i="7" l="1"/>
  <c r="H33" i="7"/>
  <c r="H100" i="7"/>
  <c r="H29" i="7"/>
  <c r="H23" i="7" l="1"/>
  <c r="H24" i="7"/>
  <c r="H27" i="7"/>
  <c r="H26" i="7"/>
  <c r="H25" i="7"/>
  <c r="H36" i="7" l="1"/>
  <c r="O36" i="7"/>
  <c r="G38" i="7"/>
  <c r="G4" i="7" l="1"/>
  <c r="G3" i="7"/>
  <c r="G2" i="7" l="1"/>
  <c r="B51" i="4" l="1"/>
  <c r="O2" i="7" l="1"/>
  <c r="O18" i="7" s="1"/>
  <c r="B3" i="4" l="1"/>
  <c r="B4" i="4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B9" i="4" l="1"/>
  <c r="B8" i="4"/>
  <c r="B7" i="4"/>
  <c r="E3" i="7" s="1"/>
  <c r="F3" i="7" s="1"/>
  <c r="E6" i="7" l="1"/>
  <c r="F6" i="7" s="1"/>
  <c r="H6" i="7" s="1"/>
  <c r="F55" i="7"/>
  <c r="H55" i="7" s="1"/>
  <c r="E8" i="7"/>
  <c r="F8" i="7" s="1"/>
  <c r="H8" i="7" s="1"/>
  <c r="E5" i="7"/>
  <c r="F5" i="7" s="1"/>
  <c r="H5" i="7" s="1"/>
  <c r="E4" i="7"/>
  <c r="F4" i="7" s="1"/>
  <c r="E7" i="7"/>
  <c r="F7" i="7" s="1"/>
  <c r="H7" i="7" s="1"/>
  <c r="E2" i="7"/>
  <c r="F2" i="7" s="1"/>
  <c r="G50" i="4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H2" i="7" l="1"/>
  <c r="B53" i="4"/>
  <c r="B55" i="4" s="1"/>
  <c r="H3" i="7"/>
  <c r="H38" i="7"/>
  <c r="H39" i="7"/>
  <c r="O39" i="7"/>
  <c r="O43" i="7" s="1"/>
  <c r="H4" i="7"/>
  <c r="H63" i="7"/>
  <c r="H123" i="7"/>
  <c r="H43" i="7" l="1"/>
  <c r="F18" i="7"/>
  <c r="H18" i="7"/>
  <c r="H129" i="7" l="1"/>
  <c r="D44" i="7" l="1"/>
  <c r="F44" i="7"/>
  <c r="D138" i="7" s="1"/>
  <c r="H44" i="7"/>
  <c r="D139" i="7" s="1"/>
  <c r="I12" i="7" l="1"/>
  <c r="J12" i="7" s="1"/>
  <c r="K12" i="7" s="1"/>
  <c r="L12" i="7" s="1"/>
  <c r="I13" i="7"/>
  <c r="J13" i="7" s="1"/>
  <c r="K13" i="7" s="1"/>
  <c r="L13" i="7" s="1"/>
  <c r="D29" i="9" s="1"/>
  <c r="E29" i="9" s="1"/>
  <c r="I15" i="7"/>
  <c r="J15" i="7" s="1"/>
  <c r="K15" i="7" s="1"/>
  <c r="L15" i="7" s="1"/>
  <c r="D31" i="9" s="1"/>
  <c r="E31" i="9" s="1"/>
  <c r="I14" i="7"/>
  <c r="J14" i="7" s="1"/>
  <c r="K14" i="7" s="1"/>
  <c r="L14" i="7" s="1"/>
  <c r="D30" i="9" s="1"/>
  <c r="E30" i="9" s="1"/>
  <c r="I16" i="7"/>
  <c r="J16" i="7" s="1"/>
  <c r="K16" i="7" s="1"/>
  <c r="L16" i="7" s="1"/>
  <c r="D32" i="9" s="1"/>
  <c r="E32" i="9" s="1"/>
  <c r="I9" i="7"/>
  <c r="J9" i="7" s="1"/>
  <c r="K9" i="7" s="1"/>
  <c r="L9" i="7" s="1"/>
  <c r="D23" i="9" s="1"/>
  <c r="E23" i="9" s="1"/>
  <c r="I11" i="7"/>
  <c r="J11" i="7" s="1"/>
  <c r="K11" i="7" s="1"/>
  <c r="L11" i="7" s="1"/>
  <c r="D25" i="9" s="1"/>
  <c r="E25" i="9" s="1"/>
  <c r="I10" i="7"/>
  <c r="J10" i="7" s="1"/>
  <c r="K10" i="7" s="1"/>
  <c r="L10" i="7" s="1"/>
  <c r="D24" i="9" s="1"/>
  <c r="E24" i="9" s="1"/>
  <c r="I47" i="7"/>
  <c r="J47" i="7" s="1"/>
  <c r="K47" i="7" s="1"/>
  <c r="L47" i="7" s="1"/>
  <c r="I51" i="7"/>
  <c r="J51" i="7" s="1"/>
  <c r="K51" i="7" s="1"/>
  <c r="L51" i="7" s="1"/>
  <c r="D28" i="9" s="1"/>
  <c r="E28" i="9" s="1"/>
  <c r="I50" i="7"/>
  <c r="J50" i="7" s="1"/>
  <c r="K50" i="7" s="1"/>
  <c r="L50" i="7" s="1"/>
  <c r="D27" i="9" s="1"/>
  <c r="E27" i="9" s="1"/>
  <c r="I52" i="7"/>
  <c r="J52" i="7" s="1"/>
  <c r="K52" i="7" s="1"/>
  <c r="L52" i="7" s="1"/>
  <c r="I54" i="7"/>
  <c r="J54" i="7" s="1"/>
  <c r="K54" i="7" s="1"/>
  <c r="L54" i="7" s="1"/>
  <c r="I53" i="7"/>
  <c r="J53" i="7" s="1"/>
  <c r="K53" i="7" s="1"/>
  <c r="L53" i="7" s="1"/>
  <c r="I34" i="7"/>
  <c r="J34" i="7" s="1"/>
  <c r="K34" i="7" s="1"/>
  <c r="L34" i="7" s="1"/>
  <c r="I30" i="7"/>
  <c r="J30" i="7" s="1"/>
  <c r="K30" i="7" s="1"/>
  <c r="I39" i="7"/>
  <c r="J39" i="7" s="1"/>
  <c r="K39" i="7" s="1"/>
  <c r="L39" i="7" s="1"/>
  <c r="S39" i="7" s="1"/>
  <c r="I40" i="7"/>
  <c r="I41" i="7"/>
  <c r="J41" i="7" s="1"/>
  <c r="K41" i="7" s="1"/>
  <c r="L41" i="7" s="1"/>
  <c r="S41" i="7" s="1"/>
  <c r="I71" i="7"/>
  <c r="J71" i="7" s="1"/>
  <c r="K71" i="7" s="1"/>
  <c r="L71" i="7" s="1"/>
  <c r="I118" i="7"/>
  <c r="J118" i="7" s="1"/>
  <c r="K118" i="7" s="1"/>
  <c r="L118" i="7" s="1"/>
  <c r="I125" i="7"/>
  <c r="J125" i="7" s="1"/>
  <c r="K125" i="7" s="1"/>
  <c r="L125" i="7" s="1"/>
  <c r="I115" i="7"/>
  <c r="J115" i="7" s="1"/>
  <c r="K115" i="7" s="1"/>
  <c r="L115" i="7" s="1"/>
  <c r="O115" i="7" s="1"/>
  <c r="I79" i="7"/>
  <c r="J79" i="7" s="1"/>
  <c r="K79" i="7" s="1"/>
  <c r="L79" i="7" s="1"/>
  <c r="I110" i="7"/>
  <c r="J110" i="7" s="1"/>
  <c r="K110" i="7" s="1"/>
  <c r="L110" i="7" s="1"/>
  <c r="I87" i="7"/>
  <c r="J87" i="7" s="1"/>
  <c r="K87" i="7" s="1"/>
  <c r="L87" i="7" s="1"/>
  <c r="O87" i="7" s="1"/>
  <c r="I26" i="7"/>
  <c r="J26" i="7" s="1"/>
  <c r="K26" i="7" s="1"/>
  <c r="L26" i="7" s="1"/>
  <c r="S26" i="7" s="1"/>
  <c r="I92" i="7"/>
  <c r="J92" i="7" s="1"/>
  <c r="K92" i="7" s="1"/>
  <c r="L92" i="7" s="1"/>
  <c r="O92" i="7" s="1"/>
  <c r="I60" i="7"/>
  <c r="J60" i="7" s="1"/>
  <c r="K60" i="7" s="1"/>
  <c r="L60" i="7" s="1"/>
  <c r="O60" i="7" s="1"/>
  <c r="I8" i="7"/>
  <c r="J8" i="7" s="1"/>
  <c r="K8" i="7" s="1"/>
  <c r="L8" i="7" s="1"/>
  <c r="S8" i="7" s="1"/>
  <c r="I22" i="7"/>
  <c r="J22" i="7" s="1"/>
  <c r="K22" i="7" s="1"/>
  <c r="L22" i="7" s="1"/>
  <c r="S22" i="7" s="1"/>
  <c r="I84" i="7"/>
  <c r="J84" i="7" s="1"/>
  <c r="K84" i="7" s="1"/>
  <c r="L84" i="7" s="1"/>
  <c r="O84" i="7" s="1"/>
  <c r="I55" i="7"/>
  <c r="J55" i="7" s="1"/>
  <c r="K55" i="7" s="1"/>
  <c r="L55" i="7" s="1"/>
  <c r="I102" i="7"/>
  <c r="J102" i="7" s="1"/>
  <c r="K102" i="7" s="1"/>
  <c r="L102" i="7" s="1"/>
  <c r="O102" i="7" s="1"/>
  <c r="I23" i="7"/>
  <c r="J23" i="7" s="1"/>
  <c r="K23" i="7" s="1"/>
  <c r="L23" i="7" s="1"/>
  <c r="S23" i="7" s="1"/>
  <c r="I27" i="7"/>
  <c r="J27" i="7" s="1"/>
  <c r="K27" i="7" s="1"/>
  <c r="L27" i="7" s="1"/>
  <c r="S27" i="7" s="1"/>
  <c r="I32" i="7"/>
  <c r="J32" i="7" s="1"/>
  <c r="K32" i="7" s="1"/>
  <c r="L32" i="7" s="1"/>
  <c r="S32" i="7" s="1"/>
  <c r="I62" i="7"/>
  <c r="J62" i="7" s="1"/>
  <c r="K62" i="7" s="1"/>
  <c r="L62" i="7" s="1"/>
  <c r="O62" i="7" s="1"/>
  <c r="I70" i="7"/>
  <c r="J70" i="7" s="1"/>
  <c r="K70" i="7" s="1"/>
  <c r="L70" i="7" s="1"/>
  <c r="O70" i="7" s="1"/>
  <c r="I78" i="7"/>
  <c r="J78" i="7" s="1"/>
  <c r="K78" i="7" s="1"/>
  <c r="L78" i="7" s="1"/>
  <c r="O78" i="7" s="1"/>
  <c r="I86" i="7"/>
  <c r="J86" i="7" s="1"/>
  <c r="K86" i="7" s="1"/>
  <c r="L86" i="7" s="1"/>
  <c r="O86" i="7" s="1"/>
  <c r="I94" i="7"/>
  <c r="J94" i="7" s="1"/>
  <c r="K94" i="7" s="1"/>
  <c r="L94" i="7" s="1"/>
  <c r="O94" i="7" s="1"/>
  <c r="I109" i="7"/>
  <c r="J109" i="7" s="1"/>
  <c r="K109" i="7" s="1"/>
  <c r="L109" i="7" s="1"/>
  <c r="O109" i="7" s="1"/>
  <c r="I117" i="7"/>
  <c r="J117" i="7" s="1"/>
  <c r="K117" i="7" s="1"/>
  <c r="L117" i="7" s="1"/>
  <c r="O117" i="7" s="1"/>
  <c r="I124" i="7"/>
  <c r="J124" i="7" s="1"/>
  <c r="K124" i="7" s="1"/>
  <c r="L124" i="7" s="1"/>
  <c r="O124" i="7" s="1"/>
  <c r="I3" i="7"/>
  <c r="J3" i="7" s="1"/>
  <c r="K3" i="7" s="1"/>
  <c r="L3" i="7" s="1"/>
  <c r="S3" i="7" s="1"/>
  <c r="I6" i="7"/>
  <c r="J6" i="7" s="1"/>
  <c r="K6" i="7" s="1"/>
  <c r="L6" i="7" s="1"/>
  <c r="S6" i="7" s="1"/>
  <c r="I37" i="7"/>
  <c r="I49" i="7"/>
  <c r="J49" i="7" s="1"/>
  <c r="K49" i="7" s="1"/>
  <c r="L49" i="7" s="1"/>
  <c r="O49" i="7" s="1"/>
  <c r="I59" i="7"/>
  <c r="J59" i="7" s="1"/>
  <c r="K59" i="7" s="1"/>
  <c r="L59" i="7" s="1"/>
  <c r="O59" i="7" s="1"/>
  <c r="I67" i="7"/>
  <c r="J67" i="7" s="1"/>
  <c r="K67" i="7" s="1"/>
  <c r="L67" i="7" s="1"/>
  <c r="O67" i="7" s="1"/>
  <c r="I75" i="7"/>
  <c r="J75" i="7" s="1"/>
  <c r="K75" i="7" s="1"/>
  <c r="L75" i="7" s="1"/>
  <c r="O75" i="7" s="1"/>
  <c r="I83" i="7"/>
  <c r="J83" i="7" s="1"/>
  <c r="K83" i="7" s="1"/>
  <c r="L83" i="7" s="1"/>
  <c r="O83" i="7" s="1"/>
  <c r="I91" i="7"/>
  <c r="J91" i="7" s="1"/>
  <c r="K91" i="7" s="1"/>
  <c r="L91" i="7" s="1"/>
  <c r="O91" i="7" s="1"/>
  <c r="I99" i="7"/>
  <c r="J99" i="7" s="1"/>
  <c r="K99" i="7" s="1"/>
  <c r="L99" i="7" s="1"/>
  <c r="O99" i="7" s="1"/>
  <c r="I106" i="7"/>
  <c r="J106" i="7" s="1"/>
  <c r="K106" i="7" s="1"/>
  <c r="L106" i="7" s="1"/>
  <c r="O106" i="7" s="1"/>
  <c r="I114" i="7"/>
  <c r="J114" i="7" s="1"/>
  <c r="K114" i="7" s="1"/>
  <c r="L114" i="7" s="1"/>
  <c r="O114" i="7" s="1"/>
  <c r="I122" i="7"/>
  <c r="J122" i="7" s="1"/>
  <c r="K122" i="7" s="1"/>
  <c r="L122" i="7" s="1"/>
  <c r="O122" i="7" s="1"/>
  <c r="I129" i="7"/>
  <c r="J129" i="7" s="1"/>
  <c r="K129" i="7" s="1"/>
  <c r="L129" i="7" s="1"/>
  <c r="O129" i="7" s="1"/>
  <c r="I24" i="7"/>
  <c r="J24" i="7" s="1"/>
  <c r="K24" i="7" s="1"/>
  <c r="L24" i="7" s="1"/>
  <c r="S24" i="7" s="1"/>
  <c r="I28" i="7"/>
  <c r="J28" i="7" s="1"/>
  <c r="K28" i="7" s="1"/>
  <c r="L28" i="7" s="1"/>
  <c r="S28" i="7" s="1"/>
  <c r="I33" i="7"/>
  <c r="J33" i="7" s="1"/>
  <c r="K33" i="7" s="1"/>
  <c r="L33" i="7" s="1"/>
  <c r="S33" i="7" s="1"/>
  <c r="I56" i="7"/>
  <c r="J56" i="7" s="1"/>
  <c r="K56" i="7" s="1"/>
  <c r="L56" i="7" s="1"/>
  <c r="O56" i="7" s="1"/>
  <c r="I64" i="7"/>
  <c r="J64" i="7" s="1"/>
  <c r="K64" i="7" s="1"/>
  <c r="L64" i="7" s="1"/>
  <c r="O64" i="7" s="1"/>
  <c r="I72" i="7"/>
  <c r="J72" i="7" s="1"/>
  <c r="K72" i="7" s="1"/>
  <c r="L72" i="7" s="1"/>
  <c r="O72" i="7" s="1"/>
  <c r="I80" i="7"/>
  <c r="J80" i="7" s="1"/>
  <c r="K80" i="7" s="1"/>
  <c r="L80" i="7" s="1"/>
  <c r="O80" i="7" s="1"/>
  <c r="I88" i="7"/>
  <c r="J88" i="7" s="1"/>
  <c r="K88" i="7" s="1"/>
  <c r="L88" i="7" s="1"/>
  <c r="O88" i="7" s="1"/>
  <c r="I96" i="7"/>
  <c r="J96" i="7" s="1"/>
  <c r="K96" i="7" s="1"/>
  <c r="L96" i="7" s="1"/>
  <c r="O96" i="7" s="1"/>
  <c r="I103" i="7"/>
  <c r="J103" i="7" s="1"/>
  <c r="K103" i="7" s="1"/>
  <c r="L103" i="7" s="1"/>
  <c r="O103" i="7" s="1"/>
  <c r="I111" i="7"/>
  <c r="J111" i="7" s="1"/>
  <c r="K111" i="7" s="1"/>
  <c r="L111" i="7" s="1"/>
  <c r="O111" i="7" s="1"/>
  <c r="I119" i="7"/>
  <c r="J119" i="7" s="1"/>
  <c r="K119" i="7" s="1"/>
  <c r="L119" i="7" s="1"/>
  <c r="O119" i="7" s="1"/>
  <c r="I126" i="7"/>
  <c r="J126" i="7" s="1"/>
  <c r="K126" i="7" s="1"/>
  <c r="L126" i="7" s="1"/>
  <c r="O126" i="7" s="1"/>
  <c r="I4" i="7"/>
  <c r="J4" i="7" s="1"/>
  <c r="K4" i="7" s="1"/>
  <c r="L4" i="7" s="1"/>
  <c r="S4" i="7" s="1"/>
  <c r="I7" i="7"/>
  <c r="J7" i="7" s="1"/>
  <c r="K7" i="7" s="1"/>
  <c r="L7" i="7" s="1"/>
  <c r="S7" i="7" s="1"/>
  <c r="I38" i="7"/>
  <c r="J38" i="7" s="1"/>
  <c r="K38" i="7" s="1"/>
  <c r="L38" i="7" s="1"/>
  <c r="S38" i="7" s="1"/>
  <c r="I61" i="7"/>
  <c r="J61" i="7" s="1"/>
  <c r="K61" i="7" s="1"/>
  <c r="L61" i="7" s="1"/>
  <c r="O61" i="7" s="1"/>
  <c r="I69" i="7"/>
  <c r="J69" i="7" s="1"/>
  <c r="K69" i="7" s="1"/>
  <c r="L69" i="7" s="1"/>
  <c r="O69" i="7" s="1"/>
  <c r="I77" i="7"/>
  <c r="J77" i="7" s="1"/>
  <c r="K77" i="7" s="1"/>
  <c r="L77" i="7" s="1"/>
  <c r="O77" i="7" s="1"/>
  <c r="I85" i="7"/>
  <c r="J85" i="7" s="1"/>
  <c r="K85" i="7" s="1"/>
  <c r="L85" i="7" s="1"/>
  <c r="O85" i="7" s="1"/>
  <c r="I93" i="7"/>
  <c r="J93" i="7" s="1"/>
  <c r="K93" i="7" s="1"/>
  <c r="I101" i="7"/>
  <c r="J101" i="7" s="1"/>
  <c r="K101" i="7" s="1"/>
  <c r="L101" i="7" s="1"/>
  <c r="O101" i="7" s="1"/>
  <c r="I108" i="7"/>
  <c r="J108" i="7" s="1"/>
  <c r="K108" i="7" s="1"/>
  <c r="L108" i="7" s="1"/>
  <c r="O108" i="7" s="1"/>
  <c r="I116" i="7"/>
  <c r="J116" i="7" s="1"/>
  <c r="K116" i="7" s="1"/>
  <c r="L116" i="7" s="1"/>
  <c r="O116" i="7" s="1"/>
  <c r="I123" i="7"/>
  <c r="J123" i="7" s="1"/>
  <c r="K123" i="7" s="1"/>
  <c r="L123" i="7" s="1"/>
  <c r="O123" i="7" s="1"/>
  <c r="I21" i="7"/>
  <c r="I25" i="7"/>
  <c r="J25" i="7" s="1"/>
  <c r="K25" i="7" s="1"/>
  <c r="L25" i="7" s="1"/>
  <c r="S25" i="7" s="1"/>
  <c r="I29" i="7"/>
  <c r="J29" i="7" s="1"/>
  <c r="K29" i="7" s="1"/>
  <c r="L29" i="7" s="1"/>
  <c r="S29" i="7" s="1"/>
  <c r="I48" i="7"/>
  <c r="J48" i="7" s="1"/>
  <c r="K48" i="7" s="1"/>
  <c r="L48" i="7" s="1"/>
  <c r="O48" i="7" s="1"/>
  <c r="I58" i="7"/>
  <c r="J58" i="7" s="1"/>
  <c r="K58" i="7" s="1"/>
  <c r="L58" i="7" s="1"/>
  <c r="O58" i="7" s="1"/>
  <c r="I66" i="7"/>
  <c r="J66" i="7" s="1"/>
  <c r="K66" i="7" s="1"/>
  <c r="L66" i="7" s="1"/>
  <c r="O66" i="7" s="1"/>
  <c r="I74" i="7"/>
  <c r="J74" i="7" s="1"/>
  <c r="K74" i="7" s="1"/>
  <c r="L74" i="7" s="1"/>
  <c r="O74" i="7" s="1"/>
  <c r="I82" i="7"/>
  <c r="J82" i="7" s="1"/>
  <c r="K82" i="7" s="1"/>
  <c r="L82" i="7" s="1"/>
  <c r="O82" i="7" s="1"/>
  <c r="I90" i="7"/>
  <c r="J90" i="7" s="1"/>
  <c r="K90" i="7" s="1"/>
  <c r="L90" i="7" s="1"/>
  <c r="O90" i="7" s="1"/>
  <c r="I98" i="7"/>
  <c r="J98" i="7" s="1"/>
  <c r="K98" i="7" s="1"/>
  <c r="L98" i="7" s="1"/>
  <c r="O98" i="7" s="1"/>
  <c r="I105" i="7"/>
  <c r="J105" i="7" s="1"/>
  <c r="K105" i="7" s="1"/>
  <c r="L105" i="7" s="1"/>
  <c r="O105" i="7" s="1"/>
  <c r="I113" i="7"/>
  <c r="J113" i="7" s="1"/>
  <c r="K113" i="7" s="1"/>
  <c r="L113" i="7" s="1"/>
  <c r="O113" i="7" s="1"/>
  <c r="I121" i="7"/>
  <c r="J121" i="7" s="1"/>
  <c r="K121" i="7" s="1"/>
  <c r="L121" i="7" s="1"/>
  <c r="O121" i="7" s="1"/>
  <c r="I128" i="7"/>
  <c r="J128" i="7" s="1"/>
  <c r="K128" i="7" s="1"/>
  <c r="L128" i="7" s="1"/>
  <c r="O128" i="7" s="1"/>
  <c r="I2" i="7"/>
  <c r="I5" i="7"/>
  <c r="J5" i="7" s="1"/>
  <c r="K5" i="7" s="1"/>
  <c r="L5" i="7" s="1"/>
  <c r="S5" i="7" s="1"/>
  <c r="J40" i="7"/>
  <c r="K40" i="7" s="1"/>
  <c r="L40" i="7" s="1"/>
  <c r="S40" i="7" s="1"/>
  <c r="I57" i="7"/>
  <c r="J57" i="7" s="1"/>
  <c r="K57" i="7" s="1"/>
  <c r="L57" i="7" s="1"/>
  <c r="O57" i="7" s="1"/>
  <c r="I65" i="7"/>
  <c r="J65" i="7" s="1"/>
  <c r="K65" i="7" s="1"/>
  <c r="L65" i="7" s="1"/>
  <c r="O65" i="7" s="1"/>
  <c r="I73" i="7"/>
  <c r="J73" i="7" s="1"/>
  <c r="K73" i="7" s="1"/>
  <c r="L73" i="7" s="1"/>
  <c r="O73" i="7" s="1"/>
  <c r="I81" i="7"/>
  <c r="J81" i="7" s="1"/>
  <c r="K81" i="7" s="1"/>
  <c r="L81" i="7" s="1"/>
  <c r="O81" i="7" s="1"/>
  <c r="I89" i="7"/>
  <c r="J89" i="7" s="1"/>
  <c r="K89" i="7" s="1"/>
  <c r="L89" i="7" s="1"/>
  <c r="O89" i="7" s="1"/>
  <c r="I97" i="7"/>
  <c r="J97" i="7" s="1"/>
  <c r="K97" i="7" s="1"/>
  <c r="L97" i="7" s="1"/>
  <c r="O97" i="7" s="1"/>
  <c r="I104" i="7"/>
  <c r="J104" i="7" s="1"/>
  <c r="K104" i="7" s="1"/>
  <c r="L104" i="7" s="1"/>
  <c r="O104" i="7" s="1"/>
  <c r="I112" i="7"/>
  <c r="J112" i="7" s="1"/>
  <c r="K112" i="7" s="1"/>
  <c r="L112" i="7" s="1"/>
  <c r="O112" i="7" s="1"/>
  <c r="I120" i="7"/>
  <c r="J120" i="7" s="1"/>
  <c r="K120" i="7" s="1"/>
  <c r="L120" i="7" s="1"/>
  <c r="O120" i="7" s="1"/>
  <c r="I127" i="7"/>
  <c r="J127" i="7" s="1"/>
  <c r="K127" i="7" s="1"/>
  <c r="L127" i="7" s="1"/>
  <c r="O127" i="7" s="1"/>
  <c r="I107" i="7"/>
  <c r="J107" i="7" s="1"/>
  <c r="K107" i="7" s="1"/>
  <c r="L107" i="7" s="1"/>
  <c r="O107" i="7" s="1"/>
  <c r="I76" i="7"/>
  <c r="J76" i="7" s="1"/>
  <c r="K76" i="7" s="1"/>
  <c r="L76" i="7" s="1"/>
  <c r="O76" i="7" s="1"/>
  <c r="I95" i="7"/>
  <c r="J95" i="7" s="1"/>
  <c r="K95" i="7" s="1"/>
  <c r="L95" i="7" s="1"/>
  <c r="O95" i="7" s="1"/>
  <c r="I63" i="7"/>
  <c r="J63" i="7" s="1"/>
  <c r="K63" i="7" s="1"/>
  <c r="I31" i="7"/>
  <c r="J31" i="7" s="1"/>
  <c r="K31" i="7" s="1"/>
  <c r="L31" i="7" s="1"/>
  <c r="S31" i="7" s="1"/>
  <c r="I100" i="7"/>
  <c r="J100" i="7" s="1"/>
  <c r="K100" i="7" s="1"/>
  <c r="I68" i="7"/>
  <c r="J68" i="7" s="1"/>
  <c r="K68" i="7" s="1"/>
  <c r="L68" i="7" s="1"/>
  <c r="O68" i="7" s="1"/>
  <c r="L63" i="7" l="1"/>
  <c r="O63" i="7" s="1"/>
  <c r="D18" i="9"/>
  <c r="E18" i="9" s="1"/>
  <c r="D33" i="9"/>
  <c r="E33" i="9" s="1"/>
  <c r="L100" i="7"/>
  <c r="O100" i="7" s="1"/>
  <c r="L93" i="7"/>
  <c r="O93" i="7" s="1"/>
  <c r="O47" i="7"/>
  <c r="D11" i="9"/>
  <c r="E11" i="9" s="1"/>
  <c r="L30" i="7"/>
  <c r="D19" i="9"/>
  <c r="E19" i="9" s="1"/>
  <c r="D34" i="9"/>
  <c r="E34" i="9" s="1"/>
  <c r="D20" i="9"/>
  <c r="E20" i="9" s="1"/>
  <c r="D35" i="9"/>
  <c r="E35" i="9" s="1"/>
  <c r="N12" i="7"/>
  <c r="D26" i="9"/>
  <c r="E26" i="9" s="1"/>
  <c r="O55" i="7"/>
  <c r="D39" i="9"/>
  <c r="E39" i="9" s="1"/>
  <c r="S34" i="7"/>
  <c r="N34" i="7"/>
  <c r="P34" i="7" s="1"/>
  <c r="Q34" i="7" s="1"/>
  <c r="S12" i="7"/>
  <c r="S16" i="7"/>
  <c r="N16" i="7"/>
  <c r="S14" i="7"/>
  <c r="N14" i="7"/>
  <c r="S15" i="7"/>
  <c r="N15" i="7"/>
  <c r="S13" i="7"/>
  <c r="N13" i="7"/>
  <c r="T12" i="7"/>
  <c r="P12" i="7"/>
  <c r="Q12" i="7" s="1"/>
  <c r="N47" i="7"/>
  <c r="P47" i="7" s="1"/>
  <c r="S10" i="7"/>
  <c r="N10" i="7"/>
  <c r="N11" i="7"/>
  <c r="S11" i="7"/>
  <c r="N9" i="7"/>
  <c r="S9" i="7"/>
  <c r="O50" i="7"/>
  <c r="N50" i="7"/>
  <c r="P50" i="7" s="1"/>
  <c r="N51" i="7"/>
  <c r="P51" i="7" s="1"/>
  <c r="O51" i="7"/>
  <c r="O53" i="7"/>
  <c r="N53" i="7"/>
  <c r="P53" i="7" s="1"/>
  <c r="O54" i="7"/>
  <c r="N54" i="7"/>
  <c r="P54" i="7" s="1"/>
  <c r="O52" i="7"/>
  <c r="N52" i="7"/>
  <c r="P52" i="7" s="1"/>
  <c r="D147" i="9"/>
  <c r="E147" i="9" s="1"/>
  <c r="O110" i="7"/>
  <c r="N79" i="7"/>
  <c r="P79" i="7" s="1"/>
  <c r="O79" i="7"/>
  <c r="N125" i="7"/>
  <c r="P125" i="7" s="1"/>
  <c r="O125" i="7"/>
  <c r="N118" i="7"/>
  <c r="P118" i="7" s="1"/>
  <c r="O118" i="7"/>
  <c r="N71" i="7"/>
  <c r="P71" i="7" s="1"/>
  <c r="O71" i="7"/>
  <c r="D82" i="9"/>
  <c r="E82" i="9" s="1"/>
  <c r="D62" i="9"/>
  <c r="E62" i="9" s="1"/>
  <c r="D121" i="9"/>
  <c r="E121" i="9" s="1"/>
  <c r="N110" i="7"/>
  <c r="P110" i="7" s="1"/>
  <c r="I43" i="7"/>
  <c r="N115" i="7"/>
  <c r="P115" i="7" s="1"/>
  <c r="D166" i="9"/>
  <c r="E166" i="9" s="1"/>
  <c r="D159" i="9"/>
  <c r="E159" i="9" s="1"/>
  <c r="D72" i="9"/>
  <c r="E72" i="9" s="1"/>
  <c r="N107" i="7"/>
  <c r="P107" i="7" s="1"/>
  <c r="D144" i="9"/>
  <c r="E144" i="9" s="1"/>
  <c r="N73" i="7"/>
  <c r="P73" i="7" s="1"/>
  <c r="D64" i="9"/>
  <c r="E64" i="9" s="1"/>
  <c r="N113" i="7"/>
  <c r="P113" i="7" s="1"/>
  <c r="D164" i="9"/>
  <c r="E164" i="9" s="1"/>
  <c r="D157" i="9"/>
  <c r="E157" i="9" s="1"/>
  <c r="N48" i="7"/>
  <c r="P48" i="7" s="1"/>
  <c r="D12" i="9"/>
  <c r="E12" i="9" s="1"/>
  <c r="N93" i="7"/>
  <c r="P93" i="7" s="1"/>
  <c r="D102" i="9"/>
  <c r="E102" i="9" s="1"/>
  <c r="N4" i="7"/>
  <c r="T4" i="7" s="1"/>
  <c r="D10" i="9"/>
  <c r="E10" i="9" s="1"/>
  <c r="D63" i="9"/>
  <c r="E63" i="9" s="1"/>
  <c r="N72" i="7"/>
  <c r="P72" i="7" s="1"/>
  <c r="N114" i="7"/>
  <c r="P114" i="7" s="1"/>
  <c r="D165" i="9"/>
  <c r="E165" i="9" s="1"/>
  <c r="D158" i="9"/>
  <c r="E158" i="9" s="1"/>
  <c r="N49" i="7"/>
  <c r="P49" i="7" s="1"/>
  <c r="D13" i="9"/>
  <c r="E13" i="9" s="1"/>
  <c r="N27" i="7"/>
  <c r="D109" i="9"/>
  <c r="E109" i="9" s="1"/>
  <c r="N39" i="7"/>
  <c r="T39" i="7" s="1"/>
  <c r="D51" i="9"/>
  <c r="E51" i="9" s="1"/>
  <c r="N127" i="7"/>
  <c r="P127" i="7" s="1"/>
  <c r="D150" i="9"/>
  <c r="E150" i="9" s="1"/>
  <c r="N65" i="7"/>
  <c r="P65" i="7" s="1"/>
  <c r="D56" i="9"/>
  <c r="E56" i="9" s="1"/>
  <c r="N105" i="7"/>
  <c r="P105" i="7" s="1"/>
  <c r="D138" i="9"/>
  <c r="E138" i="9" s="1"/>
  <c r="N29" i="7"/>
  <c r="D111" i="9"/>
  <c r="E111" i="9" s="1"/>
  <c r="N85" i="7"/>
  <c r="P85" i="7" s="1"/>
  <c r="D87" i="9"/>
  <c r="E87" i="9" s="1"/>
  <c r="D149" i="9"/>
  <c r="E149" i="9" s="1"/>
  <c r="N126" i="7"/>
  <c r="P126" i="7" s="1"/>
  <c r="D55" i="9"/>
  <c r="E55" i="9" s="1"/>
  <c r="N64" i="7"/>
  <c r="P64" i="7" s="1"/>
  <c r="N106" i="7"/>
  <c r="P106" i="7" s="1"/>
  <c r="D139" i="9"/>
  <c r="E139" i="9" s="1"/>
  <c r="N41" i="7"/>
  <c r="T41" i="7" s="1"/>
  <c r="D70" i="9"/>
  <c r="E70" i="9" s="1"/>
  <c r="N94" i="7"/>
  <c r="P94" i="7" s="1"/>
  <c r="D113" i="9"/>
  <c r="E113" i="9" s="1"/>
  <c r="N23" i="7"/>
  <c r="D105" i="9"/>
  <c r="E105" i="9" s="1"/>
  <c r="N60" i="7"/>
  <c r="P60" i="7" s="1"/>
  <c r="D48" i="9"/>
  <c r="E48" i="9" s="1"/>
  <c r="N57" i="7"/>
  <c r="P57" i="7" s="1"/>
  <c r="D43" i="9"/>
  <c r="E43" i="9" s="1"/>
  <c r="N98" i="7"/>
  <c r="P98" i="7" s="1"/>
  <c r="D125" i="9"/>
  <c r="E125" i="9" s="1"/>
  <c r="N25" i="7"/>
  <c r="D107" i="9"/>
  <c r="E107" i="9" s="1"/>
  <c r="N77" i="7"/>
  <c r="P77" i="7" s="1"/>
  <c r="D69" i="9"/>
  <c r="E69" i="9" s="1"/>
  <c r="N119" i="7"/>
  <c r="P119" i="7" s="1"/>
  <c r="D83" i="9"/>
  <c r="E83" i="9" s="1"/>
  <c r="N56" i="7"/>
  <c r="P56" i="7" s="1"/>
  <c r="D42" i="9"/>
  <c r="E42" i="9" s="1"/>
  <c r="D126" i="9"/>
  <c r="E126" i="9" s="1"/>
  <c r="N99" i="7"/>
  <c r="P99" i="7" s="1"/>
  <c r="J37" i="7"/>
  <c r="K37" i="7" s="1"/>
  <c r="L37" i="7" s="1"/>
  <c r="N86" i="7"/>
  <c r="P86" i="7" s="1"/>
  <c r="D88" i="9"/>
  <c r="E88" i="9" s="1"/>
  <c r="N102" i="7"/>
  <c r="P102" i="7" s="1"/>
  <c r="D134" i="9"/>
  <c r="E134" i="9" s="1"/>
  <c r="N92" i="7"/>
  <c r="P92" i="7" s="1"/>
  <c r="D96" i="9"/>
  <c r="E96" i="9" s="1"/>
  <c r="N112" i="7"/>
  <c r="P112" i="7" s="1"/>
  <c r="D156" i="9"/>
  <c r="E156" i="9" s="1"/>
  <c r="D163" i="9"/>
  <c r="E163" i="9" s="1"/>
  <c r="N40" i="7"/>
  <c r="T40" i="7" s="1"/>
  <c r="D52" i="9"/>
  <c r="E52" i="9" s="1"/>
  <c r="N90" i="7"/>
  <c r="P90" i="7" s="1"/>
  <c r="D92" i="9"/>
  <c r="E92" i="9" s="1"/>
  <c r="I36" i="7"/>
  <c r="J21" i="7"/>
  <c r="K21" i="7" s="1"/>
  <c r="L21" i="7" s="1"/>
  <c r="S21" i="7" s="1"/>
  <c r="N69" i="7"/>
  <c r="P69" i="7" s="1"/>
  <c r="D60" i="9"/>
  <c r="E60" i="9" s="1"/>
  <c r="N111" i="7"/>
  <c r="P111" i="7" s="1"/>
  <c r="D155" i="9"/>
  <c r="E155" i="9" s="1"/>
  <c r="D162" i="9"/>
  <c r="E162" i="9" s="1"/>
  <c r="D130" i="9"/>
  <c r="E130" i="9" s="1"/>
  <c r="N33" i="7"/>
  <c r="D95" i="9"/>
  <c r="E95" i="9" s="1"/>
  <c r="N91" i="7"/>
  <c r="P91" i="7" s="1"/>
  <c r="D15" i="9"/>
  <c r="E15" i="9" s="1"/>
  <c r="N6" i="7"/>
  <c r="T6" i="7" s="1"/>
  <c r="N78" i="7"/>
  <c r="P78" i="7" s="1"/>
  <c r="D71" i="9"/>
  <c r="E71" i="9" s="1"/>
  <c r="N26" i="7"/>
  <c r="D108" i="9"/>
  <c r="E108" i="9" s="1"/>
  <c r="N104" i="7"/>
  <c r="P104" i="7" s="1"/>
  <c r="D137" i="9"/>
  <c r="E137" i="9" s="1"/>
  <c r="N82" i="7"/>
  <c r="P82" i="7" s="1"/>
  <c r="D77" i="9"/>
  <c r="E77" i="9" s="1"/>
  <c r="N123" i="7"/>
  <c r="P123" i="7" s="1"/>
  <c r="D119" i="9"/>
  <c r="E119" i="9" s="1"/>
  <c r="N61" i="7"/>
  <c r="P61" i="7" s="1"/>
  <c r="D49" i="9"/>
  <c r="E49" i="9" s="1"/>
  <c r="D135" i="9"/>
  <c r="E135" i="9" s="1"/>
  <c r="N103" i="7"/>
  <c r="P103" i="7" s="1"/>
  <c r="N28" i="7"/>
  <c r="D110" i="9"/>
  <c r="E110" i="9" s="1"/>
  <c r="N83" i="7"/>
  <c r="P83" i="7" s="1"/>
  <c r="D78" i="9"/>
  <c r="E78" i="9" s="1"/>
  <c r="N3" i="7"/>
  <c r="T3" i="7" s="1"/>
  <c r="D9" i="9"/>
  <c r="E9" i="9" s="1"/>
  <c r="N70" i="7"/>
  <c r="P70" i="7" s="1"/>
  <c r="D61" i="9"/>
  <c r="E61" i="9" s="1"/>
  <c r="N55" i="7"/>
  <c r="P55" i="7" s="1"/>
  <c r="N100" i="7"/>
  <c r="P100" i="7" s="1"/>
  <c r="D127" i="9"/>
  <c r="E127" i="9" s="1"/>
  <c r="N5" i="7"/>
  <c r="T5" i="7" s="1"/>
  <c r="D14" i="9"/>
  <c r="E14" i="9" s="1"/>
  <c r="N63" i="7"/>
  <c r="P63" i="7" s="1"/>
  <c r="D53" i="9"/>
  <c r="E53" i="9" s="1"/>
  <c r="N97" i="7"/>
  <c r="P97" i="7" s="1"/>
  <c r="D124" i="9"/>
  <c r="E124" i="9" s="1"/>
  <c r="J2" i="7"/>
  <c r="K2" i="7" s="1"/>
  <c r="L2" i="7" s="1"/>
  <c r="S2" i="7" s="1"/>
  <c r="I18" i="7"/>
  <c r="N74" i="7"/>
  <c r="P74" i="7" s="1"/>
  <c r="D65" i="9"/>
  <c r="E65" i="9" s="1"/>
  <c r="N116" i="7"/>
  <c r="P116" i="7" s="1"/>
  <c r="D160" i="9"/>
  <c r="E160" i="9" s="1"/>
  <c r="D167" i="9"/>
  <c r="E167" i="9" s="1"/>
  <c r="N96" i="7"/>
  <c r="P96" i="7" s="1"/>
  <c r="D115" i="9"/>
  <c r="E115" i="9" s="1"/>
  <c r="N24" i="7"/>
  <c r="D106" i="9"/>
  <c r="E106" i="9" s="1"/>
  <c r="N75" i="7"/>
  <c r="P75" i="7" s="1"/>
  <c r="D67" i="9"/>
  <c r="E67" i="9" s="1"/>
  <c r="N124" i="7"/>
  <c r="P124" i="7" s="1"/>
  <c r="D120" i="9"/>
  <c r="E120" i="9" s="1"/>
  <c r="N62" i="7"/>
  <c r="P62" i="7" s="1"/>
  <c r="D50" i="9"/>
  <c r="E50" i="9" s="1"/>
  <c r="N84" i="7"/>
  <c r="P84" i="7" s="1"/>
  <c r="D79" i="9"/>
  <c r="E79" i="9" s="1"/>
  <c r="N87" i="7"/>
  <c r="P87" i="7" s="1"/>
  <c r="D89" i="9"/>
  <c r="E89" i="9" s="1"/>
  <c r="N68" i="7"/>
  <c r="P68" i="7" s="1"/>
  <c r="D59" i="9"/>
  <c r="E59" i="9" s="1"/>
  <c r="N95" i="7"/>
  <c r="P95" i="7" s="1"/>
  <c r="D114" i="9"/>
  <c r="E114" i="9" s="1"/>
  <c r="N128" i="7"/>
  <c r="P128" i="7" s="1"/>
  <c r="D151" i="9"/>
  <c r="E151" i="9" s="1"/>
  <c r="N66" i="7"/>
  <c r="P66" i="7" s="1"/>
  <c r="D57" i="9"/>
  <c r="E57" i="9" s="1"/>
  <c r="N108" i="7"/>
  <c r="P108" i="7" s="1"/>
  <c r="D145" i="9"/>
  <c r="E145" i="9" s="1"/>
  <c r="N38" i="7"/>
  <c r="T38" i="7" s="1"/>
  <c r="D46" i="9"/>
  <c r="E46" i="9" s="1"/>
  <c r="N88" i="7"/>
  <c r="P88" i="7" s="1"/>
  <c r="D90" i="9"/>
  <c r="E90" i="9" s="1"/>
  <c r="N129" i="7"/>
  <c r="P129" i="7" s="1"/>
  <c r="D152" i="9"/>
  <c r="E152" i="9" s="1"/>
  <c r="D58" i="9"/>
  <c r="E58" i="9" s="1"/>
  <c r="N67" i="7"/>
  <c r="P67" i="7" s="1"/>
  <c r="N117" i="7"/>
  <c r="P117" i="7" s="1"/>
  <c r="D81" i="9"/>
  <c r="E81" i="9" s="1"/>
  <c r="N22" i="7"/>
  <c r="D104" i="9"/>
  <c r="E104" i="9" s="1"/>
  <c r="N120" i="7"/>
  <c r="P120" i="7" s="1"/>
  <c r="D84" i="9"/>
  <c r="E84" i="9" s="1"/>
  <c r="N31" i="7"/>
  <c r="D122" i="9"/>
  <c r="E122" i="9" s="1"/>
  <c r="N89" i="7"/>
  <c r="P89" i="7" s="1"/>
  <c r="D91" i="9"/>
  <c r="E91" i="9" s="1"/>
  <c r="N76" i="7"/>
  <c r="P76" i="7" s="1"/>
  <c r="D68" i="9"/>
  <c r="E68" i="9" s="1"/>
  <c r="N81" i="7"/>
  <c r="P81" i="7" s="1"/>
  <c r="D76" i="9"/>
  <c r="E76" i="9" s="1"/>
  <c r="N121" i="7"/>
  <c r="P121" i="7" s="1"/>
  <c r="D116" i="9"/>
  <c r="E116" i="9" s="1"/>
  <c r="N58" i="7"/>
  <c r="P58" i="7" s="1"/>
  <c r="D44" i="9"/>
  <c r="E44" i="9" s="1"/>
  <c r="N101" i="7"/>
  <c r="P101" i="7" s="1"/>
  <c r="D128" i="9"/>
  <c r="E128" i="9" s="1"/>
  <c r="N7" i="7"/>
  <c r="T7" i="7" s="1"/>
  <c r="D16" i="9"/>
  <c r="E16" i="9" s="1"/>
  <c r="N80" i="7"/>
  <c r="P80" i="7" s="1"/>
  <c r="D73" i="9"/>
  <c r="E73" i="9" s="1"/>
  <c r="D117" i="9"/>
  <c r="E117" i="9" s="1"/>
  <c r="N122" i="7"/>
  <c r="P122" i="7" s="1"/>
  <c r="N59" i="7"/>
  <c r="P59" i="7" s="1"/>
  <c r="D47" i="9"/>
  <c r="E47" i="9" s="1"/>
  <c r="N109" i="7"/>
  <c r="P109" i="7" s="1"/>
  <c r="D146" i="9"/>
  <c r="E146" i="9" s="1"/>
  <c r="N32" i="7"/>
  <c r="D129" i="9"/>
  <c r="E129" i="9" s="1"/>
  <c r="N8" i="7"/>
  <c r="T8" i="7" s="1"/>
  <c r="D17" i="9"/>
  <c r="E17" i="9" s="1"/>
  <c r="S30" i="7" l="1"/>
  <c r="D118" i="9"/>
  <c r="E118" i="9" s="1"/>
  <c r="N30" i="7"/>
  <c r="S37" i="7"/>
  <c r="D133" i="9"/>
  <c r="E133" i="9" s="1"/>
  <c r="T34" i="7"/>
  <c r="T13" i="7"/>
  <c r="P13" i="7"/>
  <c r="Q13" i="7" s="1"/>
  <c r="P15" i="7"/>
  <c r="Q15" i="7" s="1"/>
  <c r="T15" i="7"/>
  <c r="T14" i="7"/>
  <c r="P14" i="7"/>
  <c r="Q14" i="7" s="1"/>
  <c r="P16" i="7"/>
  <c r="Q16" i="7" s="1"/>
  <c r="T16" i="7"/>
  <c r="T9" i="7"/>
  <c r="P9" i="7"/>
  <c r="Q9" i="7" s="1"/>
  <c r="P11" i="7"/>
  <c r="Q11" i="7" s="1"/>
  <c r="T11" i="7"/>
  <c r="T10" i="7"/>
  <c r="P10" i="7"/>
  <c r="Q10" i="7" s="1"/>
  <c r="P31" i="7"/>
  <c r="Q31" i="7" s="1"/>
  <c r="T31" i="7"/>
  <c r="P28" i="7"/>
  <c r="Q28" i="7" s="1"/>
  <c r="T28" i="7"/>
  <c r="P26" i="7"/>
  <c r="Q26" i="7" s="1"/>
  <c r="T26" i="7"/>
  <c r="P23" i="7"/>
  <c r="Q23" i="7" s="1"/>
  <c r="T23" i="7"/>
  <c r="P27" i="7"/>
  <c r="Q27" i="7" s="1"/>
  <c r="T27" i="7"/>
  <c r="P24" i="7"/>
  <c r="Q24" i="7" s="1"/>
  <c r="T24" i="7"/>
  <c r="P33" i="7"/>
  <c r="Q33" i="7" s="1"/>
  <c r="T33" i="7"/>
  <c r="P29" i="7"/>
  <c r="Q29" i="7" s="1"/>
  <c r="T29" i="7"/>
  <c r="P32" i="7"/>
  <c r="Q32" i="7" s="1"/>
  <c r="T32" i="7"/>
  <c r="P25" i="7"/>
  <c r="Q25" i="7" s="1"/>
  <c r="T25" i="7"/>
  <c r="P22" i="7"/>
  <c r="Q22" i="7" s="1"/>
  <c r="T22" i="7"/>
  <c r="P41" i="7"/>
  <c r="Q41" i="7" s="1"/>
  <c r="P8" i="7"/>
  <c r="Q8" i="7" s="1"/>
  <c r="P6" i="7"/>
  <c r="Q6" i="7" s="1"/>
  <c r="P40" i="7"/>
  <c r="Q40" i="7" s="1"/>
  <c r="P4" i="7"/>
  <c r="Q4" i="7" s="1"/>
  <c r="P38" i="7"/>
  <c r="Q38" i="7" s="1"/>
  <c r="P7" i="7"/>
  <c r="Q7" i="7" s="1"/>
  <c r="P5" i="7"/>
  <c r="Q5" i="7" s="1"/>
  <c r="N2" i="7"/>
  <c r="T2" i="7" s="1"/>
  <c r="D8" i="9"/>
  <c r="E8" i="9" s="1"/>
  <c r="P3" i="7"/>
  <c r="Q3" i="7" s="1"/>
  <c r="N21" i="7"/>
  <c r="T21" i="7" s="1"/>
  <c r="D103" i="9"/>
  <c r="E103" i="9" s="1"/>
  <c r="D45" i="9"/>
  <c r="E45" i="9" s="1"/>
  <c r="N37" i="7"/>
  <c r="T37" i="7" s="1"/>
  <c r="P39" i="7"/>
  <c r="Q39" i="7" s="1"/>
  <c r="T30" i="7" l="1"/>
  <c r="P30" i="7"/>
  <c r="Q30" i="7" s="1"/>
  <c r="P2" i="7"/>
  <c r="P18" i="7" s="1"/>
  <c r="P37" i="7"/>
  <c r="P43" i="7" s="1"/>
  <c r="P21" i="7"/>
  <c r="Q37" i="7" l="1"/>
  <c r="Q43" i="7" s="1"/>
  <c r="Q21" i="7"/>
  <c r="Q36" i="7" s="1"/>
  <c r="P36" i="7"/>
  <c r="Q2" i="7"/>
  <c r="Q18" i="7" s="1"/>
  <c r="I44" i="7"/>
  <c r="O44" i="7"/>
  <c r="Q44" i="7" l="1"/>
  <c r="P44" i="7"/>
  <c r="B60" i="4" l="1"/>
  <c r="B61" i="4" s="1"/>
  <c r="Q4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Easley, Maria</author>
  </authors>
  <commentList>
    <comment ref="B48" authorId="0" shapeId="0" xr:uid="{6A5CAB29-B9B5-411A-856A-83E56D8D5077}">
      <text>
        <r>
          <rPr>
            <sz val="9"/>
            <color indexed="81"/>
            <rFont val="Tahoma"/>
            <family val="2"/>
          </rPr>
          <t xml:space="preserve">This represents the rate per ton plus an allocation of the fixed charges per ton per the King Co FAC Allocation Schedule.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Easley, Maria</author>
  </authors>
  <commentList>
    <comment ref="F68" authorId="0" shapeId="0" xr:uid="{AE1A1B7F-0C54-4A64-AA53-C92F6EE5A7F3}">
      <text>
        <r>
          <rPr>
            <b/>
            <sz val="9"/>
            <color indexed="81"/>
            <rFont val="Tahoma"/>
            <family val="2"/>
          </rPr>
          <t>Easley, Maria:</t>
        </r>
        <r>
          <rPr>
            <sz val="9"/>
            <color indexed="81"/>
            <rFont val="Tahoma"/>
            <family val="2"/>
          </rPr>
          <t xml:space="preserve">
Per King Co disposal rates effective Jan 1, 2022
</t>
        </r>
      </text>
    </comment>
  </commentList>
</comments>
</file>

<file path=xl/sharedStrings.xml><?xml version="1.0" encoding="utf-8"?>
<sst xmlns="http://schemas.openxmlformats.org/spreadsheetml/2006/main" count="720" uniqueCount="317">
  <si>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</si>
  <si>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</si>
  <si>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</si>
  <si>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</si>
  <si>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</si>
  <si>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</si>
  <si>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</si>
  <si>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</si>
  <si>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</si>
  <si>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</si>
  <si>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</si>
  <si>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</si>
  <si>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</si>
  <si>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</si>
  <si>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</si>
  <si>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</si>
  <si>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</si>
  <si>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</si>
  <si>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</si>
  <si>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</si>
  <si>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</si>
  <si>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</si>
  <si>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</si>
  <si>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</si>
  <si>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</si>
  <si>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</si>
  <si>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</si>
  <si>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</si>
  <si>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</si>
  <si>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</si>
  <si>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</si>
  <si>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</si>
  <si>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</si>
  <si>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</si>
  <si>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</si>
  <si>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</si>
  <si>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</si>
  <si>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</si>
  <si>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</si>
  <si>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</si>
  <si>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</si>
  <si>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</si>
  <si>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</si>
  <si>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</si>
  <si>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</si>
  <si>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</si>
  <si>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</si>
  <si>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</si>
  <si>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</si>
  <si>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</si>
  <si>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</si>
  <si>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</si>
  <si>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</si>
  <si>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</si>
  <si>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</si>
  <si>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</si>
  <si>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</si>
  <si>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</si>
  <si>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</si>
  <si>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</si>
  <si>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</si>
  <si>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</si>
  <si>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</si>
  <si>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</si>
  <si>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</si>
  <si>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</si>
  <si>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</si>
  <si>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</si>
  <si>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</si>
  <si>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</si>
  <si>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</si>
  <si>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</si>
  <si>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</si>
  <si>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</si>
  <si>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</si>
  <si>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</si>
  <si>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</si>
  <si>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</si>
  <si>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</si>
  <si>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</si>
  <si>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</si>
  <si>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</si>
  <si>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</si>
  <si>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</si>
  <si>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</si>
  <si>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</si>
  <si>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</si>
  <si>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</si>
  <si>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</si>
  <si>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</si>
  <si>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</si>
  <si>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</si>
  <si>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</si>
  <si>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1 Can Monthly</t>
  </si>
  <si>
    <t>* not on meeks - calculated by staff in previous cases</t>
  </si>
  <si>
    <t>Multi-Family</t>
  </si>
  <si>
    <t>King County</t>
  </si>
  <si>
    <t>20 Gallon Can</t>
  </si>
  <si>
    <t>1 Can</t>
  </si>
  <si>
    <t>2 Can</t>
  </si>
  <si>
    <t>3 Can</t>
  </si>
  <si>
    <t>32 Gal Toter</t>
  </si>
  <si>
    <t>64 Gal Toter</t>
  </si>
  <si>
    <t>96 Gal Toter</t>
  </si>
  <si>
    <t>4 Can</t>
  </si>
  <si>
    <t>32 Gallon First Pickup</t>
  </si>
  <si>
    <t>64 Gallon First Pickup</t>
  </si>
  <si>
    <t>96 Gallon First Pickup</t>
  </si>
  <si>
    <t>1 Yard First Pickup</t>
  </si>
  <si>
    <t>1.5 Yard First Pickup</t>
  </si>
  <si>
    <t>2 Yard First Pickup</t>
  </si>
  <si>
    <t>3 Yard First Pickup</t>
  </si>
  <si>
    <t>4 Yard First Pickup</t>
  </si>
  <si>
    <t>6 Yard First Pickup</t>
  </si>
  <si>
    <t>8 Yard First Pickup</t>
  </si>
  <si>
    <t>3 Yard Pickup Temp</t>
  </si>
  <si>
    <t>8 Yard Pickup Temp</t>
  </si>
  <si>
    <t>5 Can</t>
  </si>
  <si>
    <t>32 Can or Bag, Extra</t>
  </si>
  <si>
    <t>20 Gallon</t>
  </si>
  <si>
    <t>20 Gallon Special</t>
  </si>
  <si>
    <t>32 Gallon Special</t>
  </si>
  <si>
    <t>64 Gallon Special</t>
  </si>
  <si>
    <t>96 Gallon Special</t>
  </si>
  <si>
    <t>1 Yard</t>
  </si>
  <si>
    <t>1 Yard Special</t>
  </si>
  <si>
    <t>1.5 Yard Special</t>
  </si>
  <si>
    <t>2 Yard Special</t>
  </si>
  <si>
    <t>3 Yard Special</t>
  </si>
  <si>
    <t>4 Yard Special</t>
  </si>
  <si>
    <t>6 Yard</t>
  </si>
  <si>
    <t>8 Yard Special</t>
  </si>
  <si>
    <t>3 Yard</t>
  </si>
  <si>
    <t>4 Yard</t>
  </si>
  <si>
    <t>5 Yard</t>
  </si>
  <si>
    <t>2 Yard</t>
  </si>
  <si>
    <t xml:space="preserve">Item 150, pg 38 </t>
  </si>
  <si>
    <t>Bulky</t>
  </si>
  <si>
    <t>Loose Material</t>
  </si>
  <si>
    <t>1 Yard Pickup Temp</t>
  </si>
  <si>
    <t>1.5 Yard Pickup Temp</t>
  </si>
  <si>
    <t>2 Yard Pickup Temp</t>
  </si>
  <si>
    <t>4 Yard Pickup Temp</t>
  </si>
  <si>
    <t>6 Yard Pickup Temp</t>
  </si>
  <si>
    <t>No Customers</t>
  </si>
  <si>
    <t>32 Gal Special</t>
  </si>
  <si>
    <t>64 Gal Special</t>
  </si>
  <si>
    <t>96 Gal Special</t>
  </si>
  <si>
    <t xml:space="preserve">Item 100, pg 21 Appendix A </t>
  </si>
  <si>
    <t>Item 105, pg 31</t>
  </si>
  <si>
    <t>Item 106, pg 34 Compacted</t>
  </si>
  <si>
    <t>Item 106, pg 35 Compacted</t>
  </si>
  <si>
    <t>Item 240, pg 45</t>
  </si>
  <si>
    <t>Item 245, pg 46</t>
  </si>
  <si>
    <t>Item 255, pg 47 Compacted</t>
  </si>
  <si>
    <t>Item 255, pg 48 Compacted</t>
  </si>
  <si>
    <t>Monthly Pickups</t>
  </si>
  <si>
    <t>Annual Frequency</t>
  </si>
  <si>
    <t>Company Calculated Revenue</t>
  </si>
  <si>
    <t>Alternative to 32 Gal. - Blue Bag</t>
  </si>
  <si>
    <t>1 Yard temp</t>
  </si>
  <si>
    <t>1.5 Yard temp</t>
  </si>
  <si>
    <t>2 Yard temp</t>
  </si>
  <si>
    <t>4 Yard temp</t>
  </si>
  <si>
    <t>8 Yard temp</t>
  </si>
  <si>
    <t>5 Yard Special</t>
  </si>
  <si>
    <t>6 Yard Special</t>
  </si>
  <si>
    <t>1 Yard Pickup Special</t>
  </si>
  <si>
    <t>1.5 Yard Pickup Special</t>
  </si>
  <si>
    <t>2 Yard Pickup Special</t>
  </si>
  <si>
    <t>4 Yard Pickup Special</t>
  </si>
  <si>
    <t>3 Yard Pickup Special</t>
  </si>
  <si>
    <t>6 Yard Pickup Special</t>
  </si>
  <si>
    <t>6 Yard temp</t>
  </si>
  <si>
    <t>Disposal Summary Report</t>
  </si>
  <si>
    <t>LOB</t>
  </si>
  <si>
    <t>Matrl</t>
  </si>
  <si>
    <t>Rev Dist</t>
  </si>
  <si>
    <t>TOTAL</t>
  </si>
  <si>
    <t>TONNAGE</t>
  </si>
  <si>
    <t>Per GL</t>
  </si>
  <si>
    <t>Roll-off / Industrial garbage</t>
  </si>
  <si>
    <t>Roll-off / Industrial RCY</t>
  </si>
  <si>
    <t>Commercial Garbage</t>
  </si>
  <si>
    <t>Commercial RCY</t>
  </si>
  <si>
    <t>Residential MSW</t>
  </si>
  <si>
    <t>Residential RCY</t>
  </si>
  <si>
    <t>Roll-off / Industrial</t>
  </si>
  <si>
    <t>I</t>
  </si>
  <si>
    <t>MSW</t>
  </si>
  <si>
    <t>R</t>
  </si>
  <si>
    <t>Regulated Garbage</t>
  </si>
  <si>
    <t>U</t>
  </si>
  <si>
    <t>Unregulated Garbage</t>
  </si>
  <si>
    <t>RCY</t>
  </si>
  <si>
    <t>Regulated RCY</t>
  </si>
  <si>
    <t>Unregulated RCY / COGS</t>
  </si>
  <si>
    <t>YW</t>
  </si>
  <si>
    <t>(Account #)</t>
  </si>
  <si>
    <t>LESS: King County Transfer Hauls</t>
  </si>
  <si>
    <t>Variance to GL</t>
  </si>
  <si>
    <t>Regulated Pass Thru Disposal Tons</t>
  </si>
  <si>
    <t>Unregulated Pass Thru Disposal Tons</t>
  </si>
  <si>
    <t>C</t>
  </si>
  <si>
    <t>Regulated RCY (MF)</t>
  </si>
  <si>
    <t>Regulated Yardwaste</t>
  </si>
  <si>
    <t>Unregulated Yardwaste</t>
  </si>
  <si>
    <t>Unregulated RCY</t>
  </si>
  <si>
    <t>Total Garbage</t>
  </si>
  <si>
    <t>Total Recycling</t>
  </si>
  <si>
    <t>Total Yardwaste</t>
  </si>
  <si>
    <t xml:space="preserve">Total Disposal/COGS Tons </t>
  </si>
  <si>
    <t>PRICE</t>
  </si>
  <si>
    <t>Regulated Pass Thru Disposal Rate</t>
  </si>
  <si>
    <t>Unregulated Pass Thru Disposal Rate</t>
  </si>
  <si>
    <t>COST</t>
  </si>
  <si>
    <t>Disposal Expense per GL</t>
  </si>
  <si>
    <t>COGS Expense per GL</t>
  </si>
  <si>
    <t>Calculated:</t>
  </si>
  <si>
    <t>Less: Renton MSW</t>
  </si>
  <si>
    <t>Regulated Pass Thru Disposal $</t>
  </si>
  <si>
    <t>Unregulated Pass Thru Disposal $</t>
  </si>
  <si>
    <t>TOTAL REGULATED DISP COST</t>
  </si>
  <si>
    <t>TOTAL CALC'D DISP COST</t>
  </si>
  <si>
    <t>no customers</t>
  </si>
  <si>
    <t>Company</t>
  </si>
  <si>
    <t>Current</t>
  </si>
  <si>
    <t>Proposed Increase</t>
  </si>
  <si>
    <t>Proposed</t>
  </si>
  <si>
    <t>Tariff</t>
  </si>
  <si>
    <t>1 Mini Can</t>
  </si>
  <si>
    <t>1 Can wk</t>
  </si>
  <si>
    <t>2  Can wk</t>
  </si>
  <si>
    <t>3 Can wk</t>
  </si>
  <si>
    <t>4 Can wk</t>
  </si>
  <si>
    <t>5 Can wk</t>
  </si>
  <si>
    <t>32 Gal Tote wk</t>
  </si>
  <si>
    <t>64 Gal Tote wk</t>
  </si>
  <si>
    <t>96 Gal Tote wk</t>
  </si>
  <si>
    <t>32 Gallon or Bag, Extra</t>
  </si>
  <si>
    <t>Each</t>
  </si>
  <si>
    <t>64 Gallon</t>
  </si>
  <si>
    <t>32 Gallon Special Pickup</t>
  </si>
  <si>
    <t>96 Gallon Special Pickup</t>
  </si>
  <si>
    <t>1 Yard Special Pickup</t>
  </si>
  <si>
    <t>1.5 Yard Special Pickup</t>
  </si>
  <si>
    <t>2 Yard Special Pickup</t>
  </si>
  <si>
    <t>3 Yard Special Pickup</t>
  </si>
  <si>
    <t>4 Yard Special Pickup</t>
  </si>
  <si>
    <t>6 Yard Special Pickup</t>
  </si>
  <si>
    <t>8 Yard Special Pickup</t>
  </si>
  <si>
    <t>1 Yard Temp</t>
  </si>
  <si>
    <t>1.5 Yard Temp</t>
  </si>
  <si>
    <t>2 Yard Temp</t>
  </si>
  <si>
    <t>3 Yard Temp</t>
  </si>
  <si>
    <t>4 Yard Temp</t>
  </si>
  <si>
    <t>6 Yard Temp</t>
  </si>
  <si>
    <t>8 Yard Temp</t>
  </si>
  <si>
    <t>1 Yard Temp Pickup</t>
  </si>
  <si>
    <t>1.5 Yard Temp Pickup</t>
  </si>
  <si>
    <t>2 Yard Temp Pickup</t>
  </si>
  <si>
    <t>3 Yard Temp Pickup</t>
  </si>
  <si>
    <t>4 Yard Temp Pickup</t>
  </si>
  <si>
    <t>6 Yard Temp Pickup</t>
  </si>
  <si>
    <t>8 Yard Temp Pickup</t>
  </si>
  <si>
    <t>Sea-Tac Disposal</t>
  </si>
  <si>
    <t>Residential YW</t>
  </si>
  <si>
    <t>3 Yard Pickup temp</t>
  </si>
  <si>
    <t>2G</t>
  </si>
  <si>
    <t>Check</t>
  </si>
  <si>
    <t>Tons</t>
  </si>
  <si>
    <t>Expense</t>
  </si>
  <si>
    <t>From last General Rate Case in 2023</t>
  </si>
  <si>
    <t>% Increase</t>
  </si>
  <si>
    <t>Rate check</t>
  </si>
  <si>
    <t>1 Yard first/special</t>
  </si>
  <si>
    <t>2 Yard first/special</t>
  </si>
  <si>
    <t>3 Yard first/special</t>
  </si>
  <si>
    <t>4 Yard first/special</t>
  </si>
  <si>
    <t>5 Yard first/special</t>
  </si>
  <si>
    <t>6 Yard first/special</t>
  </si>
  <si>
    <t>King County TS</t>
  </si>
  <si>
    <t>Per ton</t>
  </si>
  <si>
    <t>Item 230, pg 44</t>
  </si>
  <si>
    <t>Item 100, pg 21/25 Appendix A/B</t>
  </si>
  <si>
    <t>32 Gal Bear Proof Toter</t>
  </si>
  <si>
    <t>64 Gal Bear Proof Toter</t>
  </si>
  <si>
    <t>96 Gal Bear Proof Toter</t>
  </si>
  <si>
    <t>Item 100, pg 21 Appendix A</t>
  </si>
  <si>
    <t>Item 100, pg 25 Appendix B</t>
  </si>
  <si>
    <t xml:space="preserve">Item 100, pg 25 Appendix B </t>
  </si>
  <si>
    <t>Item 100, pg 22/26</t>
  </si>
  <si>
    <t>2025 Annual FAC</t>
  </si>
  <si>
    <t>2023 tons</t>
  </si>
  <si>
    <t>DF Effective 1/1/2025</t>
  </si>
  <si>
    <t>96 Gallon First/Additional Pickup</t>
  </si>
  <si>
    <t>64 Gallon First/Additional Pickup</t>
  </si>
  <si>
    <t>32 Gallon First/Additional Pickup</t>
  </si>
  <si>
    <t>IND</t>
  </si>
  <si>
    <t>COM</t>
  </si>
  <si>
    <t>RES</t>
  </si>
  <si>
    <t>Sea-Tac Disposal tons from last rate case</t>
  </si>
  <si>
    <t>Kent-Meridian Disposal tons from last rate case</t>
  </si>
  <si>
    <t>Auburn</t>
  </si>
  <si>
    <t>Black Diamond</t>
  </si>
  <si>
    <t>Unincorporated South</t>
  </si>
  <si>
    <t>Summary</t>
  </si>
  <si>
    <t>FAC</t>
  </si>
  <si>
    <t>Cost/ton</t>
  </si>
  <si>
    <t>2022 Tons</t>
  </si>
  <si>
    <t>Kent-Meridian Disposal</t>
  </si>
  <si>
    <t>&lt;&lt;== Cost per ton to recover FAC for 2025</t>
  </si>
  <si>
    <t>Cost/ton difference using 2022 tons vs 2023 tons</t>
  </si>
  <si>
    <t>Impact of using 2022 tons vs 2023 tons</t>
  </si>
  <si>
    <t>Per-ton fee (Contract)</t>
  </si>
  <si>
    <t>&lt;&lt;=== See above</t>
  </si>
  <si>
    <t>Disposal cost/ton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</si>
</sst>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[$-409]mmmm\-yy;@"/>
    <numFmt numFmtId="173" formatCode="_(* #,##0.0_);_(* \(#,##0.0\);_(* &quot;-&quot;??_);_(@_)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dashed">
        <color auto="1"/>
      </top>
      <bottom style="thin">
        <color rgb="FFB2B2B2"/>
      </bottom>
      <diagonal/>
    </border>
    <border>
      <left/>
      <right/>
      <top style="dashed">
        <color auto="1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0" fillId="0" borderId="28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9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35" borderId="0" applyNumberFormat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29" fillId="12" borderId="16" applyNumberFormat="0" applyAlignment="0" applyProtection="0"/>
    <xf numFmtId="37" fontId="58" fillId="0" borderId="0"/>
    <xf numFmtId="0" fontId="59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0" fillId="0" borderId="0"/>
    <xf numFmtId="43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60" fillId="10" borderId="15" applyNumberFormat="0" applyFont="0" applyAlignment="0" applyProtection="0"/>
    <xf numFmtId="9" fontId="60" fillId="0" borderId="0" applyFont="0" applyFill="0" applyBorder="0" applyAlignment="0" applyProtection="0"/>
    <xf numFmtId="0" fontId="1" fillId="39" borderId="37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0" fontId="28" fillId="39" borderId="37" applyNumberFormat="0" applyFont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333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3" xfId="1" applyNumberFormat="1" applyFont="1" applyFill="1" applyBorder="1"/>
    <xf numFmtId="44" fontId="0" fillId="0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22" xfId="0" applyFont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44" fontId="1" fillId="0" borderId="22" xfId="2" applyFont="1" applyBorder="1"/>
    <xf numFmtId="0" fontId="0" fillId="0" borderId="23" xfId="0" applyFont="1" applyBorder="1" applyAlignment="1">
      <alignment horizontal="left"/>
    </xf>
    <xf numFmtId="44" fontId="0" fillId="0" borderId="24" xfId="2" applyFont="1" applyBorder="1"/>
    <xf numFmtId="0" fontId="3" fillId="6" borderId="1" xfId="0" applyFont="1" applyFill="1" applyBorder="1" applyAlignment="1">
      <alignment wrapText="1"/>
    </xf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3" xfId="0" applyFont="1" applyBorder="1" applyAlignment="1">
      <alignment horizontal="left" vertical="top" indent="1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44" fontId="3" fillId="6" borderId="1" xfId="2" applyFont="1" applyFill="1" applyBorder="1" applyAlignment="1">
      <alignment horizontal="right"/>
    </xf>
    <xf numFmtId="0" fontId="0" fillId="0" borderId="0" xfId="0" applyFont="1" applyBorder="1" applyAlignment="1">
      <alignment horizontal="left" vertical="top" indent="1"/>
    </xf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44" fontId="11" fillId="0" borderId="0" xfId="10" applyFont="1" applyBorder="1"/>
    <xf numFmtId="0" fontId="11" fillId="0" borderId="0" xfId="0" applyFont="1"/>
    <xf numFmtId="0" fontId="0" fillId="6" borderId="36" xfId="0" applyFont="1" applyFill="1" applyBorder="1"/>
    <xf numFmtId="0" fontId="0" fillId="6" borderId="34" xfId="0" applyFont="1" applyFill="1" applyBorder="1" applyAlignment="1">
      <alignment horizontal="center"/>
    </xf>
    <xf numFmtId="0" fontId="3" fillId="6" borderId="34" xfId="0" applyFont="1" applyFill="1" applyBorder="1"/>
    <xf numFmtId="0" fontId="0" fillId="6" borderId="34" xfId="0" applyFont="1" applyFill="1" applyBorder="1" applyAlignment="1">
      <alignment horizontal="right"/>
    </xf>
    <xf numFmtId="0" fontId="0" fillId="6" borderId="34" xfId="0" applyFont="1" applyFill="1" applyBorder="1"/>
    <xf numFmtId="166" fontId="0" fillId="6" borderId="34" xfId="1" applyNumberFormat="1" applyFont="1" applyFill="1" applyBorder="1" applyAlignment="1">
      <alignment horizontal="left" indent="2"/>
    </xf>
    <xf numFmtId="166" fontId="0" fillId="6" borderId="34" xfId="1" applyNumberFormat="1" applyFont="1" applyFill="1" applyBorder="1"/>
    <xf numFmtId="44" fontId="0" fillId="6" borderId="34" xfId="1" applyNumberFormat="1" applyFont="1" applyFill="1" applyBorder="1"/>
    <xf numFmtId="0" fontId="0" fillId="0" borderId="35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43" fontId="0" fillId="0" borderId="0" xfId="1" applyNumberFormat="1" applyFont="1" applyFill="1" applyBorder="1"/>
    <xf numFmtId="0" fontId="11" fillId="0" borderId="0" xfId="4" applyFont="1" applyFill="1" applyBorder="1" applyAlignment="1">
      <alignment horizontal="left"/>
    </xf>
    <xf numFmtId="166" fontId="0" fillId="6" borderId="0" xfId="1" applyNumberFormat="1" applyFont="1" applyFill="1" applyBorder="1" applyAlignment="1">
      <alignment horizontal="left" indent="2"/>
    </xf>
    <xf numFmtId="44" fontId="0" fillId="6" borderId="0" xfId="2" applyFont="1" applyFill="1" applyBorder="1"/>
    <xf numFmtId="44" fontId="3" fillId="6" borderId="0" xfId="2" applyFont="1" applyFill="1" applyBorder="1" applyAlignment="1">
      <alignment horizontal="right"/>
    </xf>
    <xf numFmtId="0" fontId="0" fillId="6" borderId="0" xfId="0" applyFill="1" applyAlignment="1">
      <alignment vertical="center" textRotation="90"/>
    </xf>
    <xf numFmtId="0" fontId="0" fillId="6" borderId="0" xfId="0" applyFill="1" applyAlignment="1">
      <alignment horizontal="center" vertical="center"/>
    </xf>
    <xf numFmtId="0" fontId="12" fillId="6" borderId="0" xfId="4" applyFont="1" applyFill="1" applyAlignment="1">
      <alignment horizontal="left"/>
    </xf>
    <xf numFmtId="3" fontId="3" fillId="6" borderId="0" xfId="0" applyNumberFormat="1" applyFont="1" applyFill="1" applyAlignment="1">
      <alignment horizontal="center"/>
    </xf>
    <xf numFmtId="43" fontId="3" fillId="6" borderId="0" xfId="1" applyFont="1" applyFill="1" applyBorder="1" applyAlignment="1">
      <alignment horizontal="center" wrapText="1"/>
    </xf>
    <xf numFmtId="3" fontId="3" fillId="6" borderId="0" xfId="0" applyNumberFormat="1" applyFont="1" applyFill="1" applyAlignment="1">
      <alignment horizontal="right"/>
    </xf>
    <xf numFmtId="37" fontId="11" fillId="0" borderId="0" xfId="4" applyNumberFormat="1" applyFont="1" applyAlignment="1">
      <alignment horizontal="right"/>
    </xf>
    <xf numFmtId="0" fontId="3" fillId="6" borderId="0" xfId="0" applyFont="1" applyFill="1" applyAlignment="1">
      <alignment horizontal="center" wrapText="1"/>
    </xf>
    <xf numFmtId="167" fontId="0" fillId="38" borderId="0" xfId="1" applyNumberFormat="1" applyFont="1" applyFill="1"/>
    <xf numFmtId="167" fontId="0" fillId="38" borderId="0" xfId="1" applyNumberFormat="1" applyFont="1" applyFill="1" applyBorder="1"/>
    <xf numFmtId="167" fontId="0" fillId="38" borderId="1" xfId="1" applyNumberFormat="1" applyFont="1" applyFill="1" applyBorder="1"/>
    <xf numFmtId="166" fontId="0" fillId="38" borderId="0" xfId="1" applyNumberFormat="1" applyFont="1" applyFill="1" applyBorder="1" applyAlignment="1">
      <alignment horizontal="right"/>
    </xf>
    <xf numFmtId="0" fontId="1" fillId="0" borderId="0" xfId="23"/>
    <xf numFmtId="0" fontId="3" fillId="0" borderId="0" xfId="23" applyFont="1"/>
    <xf numFmtId="172" fontId="3" fillId="39" borderId="37" xfId="411" applyNumberFormat="1" applyFont="1"/>
    <xf numFmtId="172" fontId="3" fillId="0" borderId="0" xfId="23" applyNumberFormat="1" applyFont="1"/>
    <xf numFmtId="0" fontId="61" fillId="0" borderId="0" xfId="23" applyFont="1" applyAlignment="1">
      <alignment horizontal="center"/>
    </xf>
    <xf numFmtId="0" fontId="61" fillId="0" borderId="0" xfId="23" applyFont="1"/>
    <xf numFmtId="0" fontId="62" fillId="0" borderId="0" xfId="23" applyFont="1"/>
    <xf numFmtId="0" fontId="1" fillId="0" borderId="0" xfId="23" applyAlignment="1">
      <alignment horizontal="center"/>
    </xf>
    <xf numFmtId="0" fontId="3" fillId="0" borderId="2" xfId="23" applyFont="1" applyBorder="1"/>
    <xf numFmtId="0" fontId="1" fillId="0" borderId="2" xfId="23" applyBorder="1"/>
    <xf numFmtId="166" fontId="1" fillId="0" borderId="0" xfId="23" applyNumberFormat="1"/>
    <xf numFmtId="166" fontId="3" fillId="0" borderId="0" xfId="23" applyNumberFormat="1" applyFont="1"/>
    <xf numFmtId="0" fontId="1" fillId="0" borderId="1" xfId="23" applyBorder="1"/>
    <xf numFmtId="0" fontId="11" fillId="39" borderId="37" xfId="411" applyFont="1" applyAlignment="1">
      <alignment horizontal="center"/>
    </xf>
    <xf numFmtId="0" fontId="63" fillId="0" borderId="38" xfId="23" applyFont="1" applyBorder="1" applyAlignment="1">
      <alignment horizontal="center"/>
    </xf>
    <xf numFmtId="0" fontId="63" fillId="0" borderId="38" xfId="23" applyFont="1" applyBorder="1"/>
    <xf numFmtId="166" fontId="64" fillId="2" borderId="38" xfId="23" applyNumberFormat="1" applyFont="1" applyFill="1" applyBorder="1"/>
    <xf numFmtId="0" fontId="63" fillId="0" borderId="0" xfId="23" applyFont="1"/>
    <xf numFmtId="0" fontId="65" fillId="0" borderId="38" xfId="23" applyFont="1" applyBorder="1" applyAlignment="1">
      <alignment horizontal="center"/>
    </xf>
    <xf numFmtId="0" fontId="65" fillId="0" borderId="38" xfId="23" applyFont="1" applyBorder="1"/>
    <xf numFmtId="166" fontId="65" fillId="0" borderId="0" xfId="413" applyNumberFormat="1" applyFont="1"/>
    <xf numFmtId="166" fontId="66" fillId="0" borderId="0" xfId="413" applyNumberFormat="1" applyFont="1"/>
    <xf numFmtId="166" fontId="63" fillId="0" borderId="0" xfId="413" applyNumberFormat="1" applyFont="1"/>
    <xf numFmtId="0" fontId="1" fillId="0" borderId="3" xfId="23" applyBorder="1" applyAlignment="1">
      <alignment horizontal="center"/>
    </xf>
    <xf numFmtId="0" fontId="1" fillId="0" borderId="3" xfId="23" applyBorder="1"/>
    <xf numFmtId="166" fontId="11" fillId="0" borderId="3" xfId="413" applyNumberFormat="1" applyFont="1" applyBorder="1"/>
    <xf numFmtId="166" fontId="3" fillId="0" borderId="3" xfId="23" applyNumberFormat="1" applyFont="1" applyBorder="1"/>
    <xf numFmtId="166" fontId="11" fillId="0" borderId="0" xfId="413" applyNumberFormat="1" applyFont="1"/>
    <xf numFmtId="43" fontId="11" fillId="0" borderId="0" xfId="413" applyFont="1"/>
    <xf numFmtId="166" fontId="3" fillId="0" borderId="0" xfId="413" applyNumberFormat="1" applyFont="1"/>
    <xf numFmtId="166" fontId="63" fillId="0" borderId="38" xfId="413" applyNumberFormat="1" applyFont="1" applyBorder="1"/>
    <xf numFmtId="166" fontId="64" fillId="0" borderId="38" xfId="23" applyNumberFormat="1" applyFont="1" applyBorder="1"/>
    <xf numFmtId="0" fontId="63" fillId="2" borderId="38" xfId="23" applyFont="1" applyFill="1" applyBorder="1"/>
    <xf numFmtId="166" fontId="63" fillId="2" borderId="38" xfId="413" applyNumberFormat="1" applyFont="1" applyFill="1" applyBorder="1"/>
    <xf numFmtId="0" fontId="9" fillId="0" borderId="0" xfId="23" applyFont="1"/>
    <xf numFmtId="0" fontId="9" fillId="0" borderId="3" xfId="23" applyFont="1" applyBorder="1"/>
    <xf numFmtId="44" fontId="11" fillId="39" borderId="37" xfId="411" applyNumberFormat="1" applyFont="1"/>
    <xf numFmtId="166" fontId="11" fillId="0" borderId="1" xfId="413" applyNumberFormat="1" applyFont="1" applyBorder="1"/>
    <xf numFmtId="166" fontId="3" fillId="0" borderId="1" xfId="23" applyNumberFormat="1" applyFont="1" applyBorder="1"/>
    <xf numFmtId="0" fontId="1" fillId="5" borderId="0" xfId="23" applyFill="1"/>
    <xf numFmtId="166" fontId="11" fillId="0" borderId="0" xfId="413" applyNumberFormat="1" applyFont="1" applyBorder="1"/>
    <xf numFmtId="0" fontId="67" fillId="0" borderId="0" xfId="414" applyFont="1"/>
    <xf numFmtId="43" fontId="1" fillId="0" borderId="0" xfId="1" applyFont="1" applyFill="1"/>
    <xf numFmtId="43" fontId="1" fillId="0" borderId="0" xfId="1" applyFont="1"/>
    <xf numFmtId="0" fontId="67" fillId="0" borderId="0" xfId="415" applyFont="1"/>
    <xf numFmtId="0" fontId="68" fillId="0" borderId="0" xfId="414" applyFont="1"/>
    <xf numFmtId="43" fontId="49" fillId="0" borderId="0" xfId="1" applyFont="1" applyFill="1" applyBorder="1"/>
    <xf numFmtId="43" fontId="2" fillId="0" borderId="0" xfId="1" applyFont="1"/>
    <xf numFmtId="0" fontId="2" fillId="0" borderId="0" xfId="415"/>
    <xf numFmtId="0" fontId="0" fillId="5" borderId="0" xfId="0" applyFill="1"/>
    <xf numFmtId="43" fontId="67" fillId="0" borderId="0" xfId="1" applyFont="1" applyFill="1" applyAlignment="1">
      <alignment horizontal="center"/>
    </xf>
    <xf numFmtId="43" fontId="67" fillId="0" borderId="0" xfId="1" applyFont="1" applyAlignment="1">
      <alignment horizontal="center"/>
    </xf>
    <xf numFmtId="0" fontId="2" fillId="0" borderId="0" xfId="415" applyAlignment="1">
      <alignment horizontal="center"/>
    </xf>
    <xf numFmtId="14" fontId="3" fillId="0" borderId="0" xfId="1" applyNumberFormat="1" applyFont="1" applyAlignment="1">
      <alignment horizontal="center"/>
    </xf>
    <xf numFmtId="43" fontId="2" fillId="0" borderId="0" xfId="1" applyFont="1" applyFill="1"/>
    <xf numFmtId="0" fontId="0" fillId="0" borderId="0" xfId="0" applyAlignment="1">
      <alignment horizontal="left" vertical="top" indent="1"/>
    </xf>
    <xf numFmtId="0" fontId="0" fillId="5" borderId="0" xfId="0" applyFill="1" applyAlignment="1">
      <alignment horizontal="left" vertical="top" indent="1"/>
    </xf>
    <xf numFmtId="0" fontId="2" fillId="5" borderId="0" xfId="415" applyFill="1"/>
    <xf numFmtId="43" fontId="2" fillId="5" borderId="0" xfId="1" applyFont="1" applyFill="1"/>
    <xf numFmtId="0" fontId="11" fillId="5" borderId="0" xfId="4" applyFont="1" applyFill="1" applyAlignment="1">
      <alignment horizontal="left"/>
    </xf>
    <xf numFmtId="0" fontId="11" fillId="0" borderId="0" xfId="4" applyFont="1" applyAlignment="1">
      <alignment horizontal="left"/>
    </xf>
    <xf numFmtId="43" fontId="1" fillId="5" borderId="0" xfId="1" applyFont="1" applyFill="1"/>
    <xf numFmtId="0" fontId="3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65" fillId="0" borderId="0" xfId="23" applyFont="1"/>
    <xf numFmtId="0" fontId="1" fillId="0" borderId="39" xfId="23" applyBorder="1" applyAlignment="1">
      <alignment horizontal="center"/>
    </xf>
    <xf numFmtId="166" fontId="12" fillId="0" borderId="39" xfId="413" applyNumberFormat="1" applyFont="1" applyBorder="1" applyAlignment="1">
      <alignment horizontal="center"/>
    </xf>
    <xf numFmtId="0" fontId="1" fillId="0" borderId="0" xfId="23" applyAlignment="1">
      <alignment horizontal="center" vertical="center"/>
    </xf>
    <xf numFmtId="0" fontId="11" fillId="39" borderId="41" xfId="411" applyFont="1" applyBorder="1" applyAlignment="1">
      <alignment horizontal="center"/>
    </xf>
    <xf numFmtId="173" fontId="63" fillId="0" borderId="40" xfId="413" applyNumberFormat="1" applyFont="1" applyBorder="1"/>
    <xf numFmtId="173" fontId="11" fillId="40" borderId="40" xfId="413" applyNumberFormat="1" applyFont="1" applyFill="1" applyBorder="1"/>
    <xf numFmtId="173" fontId="11" fillId="0" borderId="40" xfId="413" applyNumberFormat="1" applyFont="1" applyBorder="1"/>
    <xf numFmtId="0" fontId="63" fillId="0" borderId="42" xfId="23" applyFont="1" applyBorder="1"/>
    <xf numFmtId="166" fontId="63" fillId="0" borderId="40" xfId="413" applyNumberFormat="1" applyFont="1" applyBorder="1"/>
    <xf numFmtId="0" fontId="1" fillId="2" borderId="3" xfId="23" applyFill="1" applyBorder="1"/>
    <xf numFmtId="166" fontId="11" fillId="2" borderId="3" xfId="413" applyNumberFormat="1" applyFont="1" applyFill="1" applyBorder="1"/>
    <xf numFmtId="166" fontId="3" fillId="2" borderId="3" xfId="23" applyNumberFormat="1" applyFont="1" applyFill="1" applyBorder="1"/>
    <xf numFmtId="166" fontId="11" fillId="0" borderId="40" xfId="413" applyNumberFormat="1" applyFont="1" applyBorder="1"/>
    <xf numFmtId="173" fontId="1" fillId="40" borderId="40" xfId="23" applyNumberFormat="1" applyFill="1" applyBorder="1"/>
    <xf numFmtId="173" fontId="12" fillId="0" borderId="39" xfId="413" applyNumberFormat="1" applyFont="1" applyBorder="1"/>
    <xf numFmtId="0" fontId="69" fillId="41" borderId="43" xfId="23" applyFont="1" applyFill="1" applyBorder="1"/>
    <xf numFmtId="166" fontId="69" fillId="41" borderId="43" xfId="413" applyNumberFormat="1" applyFont="1" applyFill="1" applyBorder="1"/>
    <xf numFmtId="166" fontId="70" fillId="41" borderId="43" xfId="23" applyNumberFormat="1" applyFont="1" applyFill="1" applyBorder="1"/>
    <xf numFmtId="0" fontId="11" fillId="0" borderId="0" xfId="4" applyFont="1" applyFill="1" applyAlignment="1">
      <alignment horizontal="left"/>
    </xf>
    <xf numFmtId="0" fontId="2" fillId="0" borderId="0" xfId="415" applyFill="1"/>
    <xf numFmtId="44" fontId="0" fillId="38" borderId="22" xfId="2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  <xf numFmtId="44" fontId="11" fillId="42" borderId="0" xfId="10" applyFont="1" applyFill="1"/>
    <xf numFmtId="166" fontId="11" fillId="42" borderId="0" xfId="1" applyNumberFormat="1" applyFont="1" applyFill="1" applyAlignment="1">
      <alignment horizontal="left" indent="2"/>
    </xf>
    <xf numFmtId="166" fontId="11" fillId="42" borderId="0" xfId="1" applyNumberFormat="1" applyFont="1" applyFill="1" applyBorder="1" applyAlignment="1">
      <alignment horizontal="left" indent="2"/>
    </xf>
    <xf numFmtId="44" fontId="11" fillId="42" borderId="0" xfId="10" applyFont="1" applyFill="1" applyBorder="1"/>
    <xf numFmtId="44" fontId="0" fillId="42" borderId="0" xfId="2" applyFont="1" applyFill="1" applyBorder="1"/>
    <xf numFmtId="166" fontId="11" fillId="0" borderId="0" xfId="413" applyNumberFormat="1" applyFont="1" applyFill="1"/>
    <xf numFmtId="166" fontId="11" fillId="0" borderId="1" xfId="413" applyNumberFormat="1" applyFont="1" applyFill="1" applyBorder="1"/>
    <xf numFmtId="171" fontId="11" fillId="0" borderId="0" xfId="417" applyNumberFormat="1" applyFont="1"/>
    <xf numFmtId="1" fontId="65" fillId="39" borderId="37" xfId="418" applyNumberFormat="1" applyFont="1" applyAlignment="1">
      <alignment horizontal="center"/>
    </xf>
    <xf numFmtId="0" fontId="73" fillId="0" borderId="0" xfId="23" applyFont="1" applyAlignment="1">
      <alignment horizontal="left" vertical="center"/>
    </xf>
    <xf numFmtId="0" fontId="63" fillId="0" borderId="0" xfId="419" applyNumberFormat="1" applyFont="1"/>
    <xf numFmtId="171" fontId="63" fillId="0" borderId="0" xfId="419" applyNumberFormat="1" applyFont="1"/>
    <xf numFmtId="171" fontId="63" fillId="0" borderId="0" xfId="419" applyNumberFormat="1" applyFont="1" applyFill="1"/>
    <xf numFmtId="0" fontId="65" fillId="0" borderId="0" xfId="419" applyNumberFormat="1" applyFont="1"/>
    <xf numFmtId="44" fontId="11" fillId="0" borderId="0" xfId="420" applyFont="1"/>
    <xf numFmtId="44" fontId="3" fillId="0" borderId="0" xfId="420" applyFont="1"/>
    <xf numFmtId="8" fontId="11" fillId="39" borderId="37" xfId="411" applyNumberFormat="1" applyFont="1"/>
    <xf numFmtId="44" fontId="11" fillId="0" borderId="0" xfId="420" applyFont="1" applyFill="1"/>
    <xf numFmtId="166" fontId="9" fillId="0" borderId="1" xfId="413" applyNumberFormat="1" applyFont="1" applyFill="1" applyBorder="1"/>
    <xf numFmtId="0" fontId="1" fillId="43" borderId="0" xfId="23" applyFill="1" applyAlignment="1">
      <alignment horizontal="center"/>
    </xf>
    <xf numFmtId="0" fontId="1" fillId="43" borderId="0" xfId="23" applyFill="1"/>
    <xf numFmtId="166" fontId="11" fillId="43" borderId="0" xfId="413" applyNumberFormat="1" applyFont="1" applyFill="1"/>
    <xf numFmtId="166" fontId="3" fillId="43" borderId="0" xfId="23" applyNumberFormat="1" applyFont="1" applyFill="1"/>
    <xf numFmtId="166" fontId="11" fillId="44" borderId="0" xfId="413" applyNumberFormat="1" applyFont="1" applyFill="1"/>
    <xf numFmtId="166" fontId="3" fillId="44" borderId="0" xfId="23" applyNumberFormat="1" applyFont="1" applyFill="1"/>
    <xf numFmtId="9" fontId="3" fillId="0" borderId="0" xfId="417" applyFont="1"/>
    <xf numFmtId="14" fontId="11" fillId="0" borderId="0" xfId="413" applyNumberFormat="1" applyFont="1"/>
    <xf numFmtId="166" fontId="12" fillId="0" borderId="0" xfId="413" applyNumberFormat="1" applyFont="1" applyAlignment="1">
      <alignment horizontal="center"/>
    </xf>
    <xf numFmtId="1" fontId="1" fillId="0" borderId="0" xfId="23" applyNumberFormat="1"/>
    <xf numFmtId="44" fontId="11" fillId="0" borderId="0" xfId="421" applyFont="1"/>
    <xf numFmtId="166" fontId="11" fillId="0" borderId="0" xfId="373" applyNumberFormat="1" applyFont="1" applyFill="1" applyBorder="1"/>
    <xf numFmtId="44" fontId="11" fillId="0" borderId="0" xfId="10" applyFont="1" applyFill="1" applyBorder="1"/>
    <xf numFmtId="44" fontId="0" fillId="38" borderId="1" xfId="2" applyFont="1" applyFill="1" applyBorder="1"/>
    <xf numFmtId="44" fontId="0" fillId="38" borderId="0" xfId="2" applyFont="1" applyFill="1"/>
    <xf numFmtId="10" fontId="0" fillId="0" borderId="0" xfId="3" applyNumberFormat="1" applyFont="1"/>
    <xf numFmtId="10" fontId="0" fillId="0" borderId="0" xfId="3" applyNumberFormat="1" applyFont="1" applyFill="1" applyBorder="1"/>
    <xf numFmtId="44" fontId="0" fillId="0" borderId="0" xfId="0" applyNumberFormat="1"/>
    <xf numFmtId="0" fontId="0" fillId="0" borderId="0" xfId="0" applyFont="1" applyFill="1" applyBorder="1" applyAlignment="1">
      <alignment horizontal="left"/>
    </xf>
    <xf numFmtId="37" fontId="11" fillId="0" borderId="0" xfId="4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left" vertical="top"/>
    </xf>
    <xf numFmtId="10" fontId="2" fillId="0" borderId="0" xfId="3" applyNumberFormat="1" applyFont="1" applyFill="1"/>
    <xf numFmtId="43" fontId="11" fillId="0" borderId="0" xfId="1" applyNumberFormat="1" applyFont="1" applyFill="1" applyBorder="1"/>
    <xf numFmtId="0" fontId="3" fillId="0" borderId="0" xfId="0" applyFont="1" applyAlignment="1">
      <alignment horizontal="center"/>
    </xf>
    <xf numFmtId="164" fontId="0" fillId="0" borderId="0" xfId="2" applyNumberFormat="1" applyFont="1"/>
    <xf numFmtId="44" fontId="0" fillId="0" borderId="0" xfId="2" applyFont="1"/>
    <xf numFmtId="44" fontId="0" fillId="38" borderId="0" xfId="2" applyFont="1" applyFill="1" applyBorder="1"/>
    <xf numFmtId="166" fontId="11" fillId="38" borderId="0" xfId="373" applyNumberFormat="1" applyFont="1" applyFill="1"/>
    <xf numFmtId="166" fontId="11" fillId="38" borderId="0" xfId="373" applyNumberFormat="1" applyFont="1" applyFill="1" applyBorder="1"/>
    <xf numFmtId="166" fontId="11" fillId="38" borderId="0" xfId="405" applyNumberFormat="1" applyFont="1" applyFill="1"/>
    <xf numFmtId="0" fontId="3" fillId="45" borderId="0" xfId="0" applyFont="1" applyFill="1"/>
    <xf numFmtId="0" fontId="0" fillId="0" borderId="0" xfId="0" applyAlignment="1">
      <alignment horizontal="right"/>
    </xf>
    <xf numFmtId="44" fontId="0" fillId="46" borderId="0" xfId="0" applyNumberFormat="1" applyFill="1"/>
    <xf numFmtId="0" fontId="3" fillId="0" borderId="0" xfId="0" applyFont="1" applyAlignment="1">
      <alignment horizontal="right"/>
    </xf>
    <xf numFmtId="164" fontId="3" fillId="0" borderId="0" xfId="2" applyNumberFormat="1" applyFont="1"/>
    <xf numFmtId="0" fontId="74" fillId="0" borderId="0" xfId="0" applyFont="1"/>
    <xf numFmtId="0" fontId="0" fillId="45" borderId="20" xfId="0" applyFill="1" applyBorder="1"/>
    <xf numFmtId="0" fontId="0" fillId="45" borderId="44" xfId="0" applyFill="1" applyBorder="1"/>
    <xf numFmtId="0" fontId="3" fillId="45" borderId="44" xfId="0" applyFont="1" applyFill="1" applyBorder="1" applyAlignment="1">
      <alignment horizontal="center"/>
    </xf>
    <xf numFmtId="0" fontId="3" fillId="45" borderId="44" xfId="0" applyFont="1" applyFill="1" applyBorder="1"/>
    <xf numFmtId="0" fontId="0" fillId="45" borderId="45" xfId="0" applyFill="1" applyBorder="1"/>
    <xf numFmtId="0" fontId="0" fillId="45" borderId="21" xfId="0" applyFill="1" applyBorder="1"/>
    <xf numFmtId="0" fontId="0" fillId="45" borderId="0" xfId="0" applyFill="1" applyAlignment="1">
      <alignment horizontal="right"/>
    </xf>
    <xf numFmtId="164" fontId="0" fillId="45" borderId="0" xfId="2" applyNumberFormat="1" applyFont="1" applyFill="1" applyBorder="1"/>
    <xf numFmtId="166" fontId="0" fillId="45" borderId="0" xfId="1" applyNumberFormat="1" applyFont="1" applyFill="1" applyBorder="1"/>
    <xf numFmtId="44" fontId="0" fillId="45" borderId="0" xfId="2" applyFont="1" applyFill="1" applyBorder="1"/>
    <xf numFmtId="0" fontId="0" fillId="45" borderId="0" xfId="0" applyFill="1"/>
    <xf numFmtId="0" fontId="0" fillId="45" borderId="22" xfId="0" applyFill="1" applyBorder="1"/>
    <xf numFmtId="164" fontId="0" fillId="45" borderId="1" xfId="2" applyNumberFormat="1" applyFont="1" applyFill="1" applyBorder="1"/>
    <xf numFmtId="166" fontId="0" fillId="45" borderId="1" xfId="1" applyNumberFormat="1" applyFont="1" applyFill="1" applyBorder="1"/>
    <xf numFmtId="44" fontId="0" fillId="45" borderId="1" xfId="2" applyFont="1" applyFill="1" applyBorder="1"/>
    <xf numFmtId="164" fontId="3" fillId="45" borderId="0" xfId="2" applyNumberFormat="1" applyFont="1" applyFill="1" applyBorder="1"/>
    <xf numFmtId="166" fontId="3" fillId="45" borderId="0" xfId="0" applyNumberFormat="1" applyFont="1" applyFill="1"/>
    <xf numFmtId="166" fontId="3" fillId="45" borderId="0" xfId="1" applyNumberFormat="1" applyFont="1" applyFill="1" applyBorder="1"/>
    <xf numFmtId="0" fontId="3" fillId="45" borderId="0" xfId="0" applyFont="1" applyFill="1" applyAlignment="1">
      <alignment horizontal="center"/>
    </xf>
    <xf numFmtId="37" fontId="0" fillId="45" borderId="0" xfId="2" applyNumberFormat="1" applyFont="1" applyFill="1" applyBorder="1"/>
    <xf numFmtId="37" fontId="0" fillId="45" borderId="1" xfId="2" applyNumberFormat="1" applyFont="1" applyFill="1" applyBorder="1"/>
    <xf numFmtId="37" fontId="3" fillId="45" borderId="0" xfId="0" applyNumberFormat="1" applyFont="1" applyFill="1"/>
    <xf numFmtId="0" fontId="75" fillId="45" borderId="0" xfId="0" applyFont="1" applyFill="1"/>
    <xf numFmtId="44" fontId="0" fillId="45" borderId="0" xfId="0" applyNumberFormat="1" applyFill="1"/>
    <xf numFmtId="0" fontId="3" fillId="45" borderId="21" xfId="0" applyFont="1" applyFill="1" applyBorder="1"/>
    <xf numFmtId="44" fontId="3" fillId="46" borderId="0" xfId="0" applyNumberFormat="1" applyFont="1" applyFill="1"/>
    <xf numFmtId="0" fontId="0" fillId="45" borderId="23" xfId="0" applyFill="1" applyBorder="1"/>
    <xf numFmtId="0" fontId="0" fillId="45" borderId="2" xfId="0" applyFill="1" applyBorder="1"/>
    <xf numFmtId="0" fontId="0" fillId="45" borderId="24" xfId="0" applyFill="1" applyBorder="1"/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0" xfId="23" applyFont="1" applyAlignment="1">
      <alignment horizontal="left"/>
    </xf>
    <xf numFmtId="0" fontId="3" fillId="0" borderId="0" xfId="23" applyFont="1" applyAlignment="1">
      <alignment horizontal="center"/>
    </xf>
  </cellXfs>
  <cellStyles count="422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0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1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2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3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4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395" xr:uid="{00000000-0005-0000-0000-000040000000}"/>
    <cellStyle name="Accent5 2" xfId="84" xr:uid="{00000000-0005-0000-0000-000041000000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0" xfId="370" xr:uid="{00000000-0005-0000-0000-00006B000000}"/>
    <cellStyle name="Comma 20 2" xfId="402" xr:uid="{00000000-0005-0000-0000-00006C000000}"/>
    <cellStyle name="Comma 21" xfId="407" xr:uid="{00000000-0005-0000-0000-00006D000000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7 3" xfId="413" xr:uid="{5561E8A5-6EBF-43B3-9744-28E0D767F4EF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403" xr:uid="{00000000-0005-0000-0000-000088000000}"/>
    <cellStyle name="Currency 12" xfId="408" xr:uid="{00000000-0005-0000-0000-000089000000}"/>
    <cellStyle name="Currency 13" xfId="421" xr:uid="{BF9A8D1D-10FA-4D22-BE48-310924DE364D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7 2" xfId="420" xr:uid="{C9351244-ABFF-48A2-A09D-46F81CFCC395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396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397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89" xr:uid="{00000000-0005-0000-0000-0000D8000000}"/>
    <cellStyle name="Normal 109 2" xfId="406" xr:uid="{00000000-0005-0000-0000-0000D9000000}"/>
    <cellStyle name="Normal 11" xfId="157" xr:uid="{00000000-0005-0000-0000-0000DA000000}"/>
    <cellStyle name="Normal 12" xfId="158" xr:uid="{00000000-0005-0000-0000-0000DB000000}"/>
    <cellStyle name="Normal 12 2" xfId="341" xr:uid="{00000000-0005-0000-0000-0000DC000000}"/>
    <cellStyle name="Normal 13" xfId="159" xr:uid="{00000000-0005-0000-0000-0000DD000000}"/>
    <cellStyle name="Normal 13 2" xfId="342" xr:uid="{00000000-0005-0000-0000-0000DE000000}"/>
    <cellStyle name="Normal 14" xfId="160" xr:uid="{00000000-0005-0000-0000-0000DF000000}"/>
    <cellStyle name="Normal 14 2" xfId="343" xr:uid="{00000000-0005-0000-0000-0000E0000000}"/>
    <cellStyle name="Normal 15" xfId="161" xr:uid="{00000000-0005-0000-0000-0000E1000000}"/>
    <cellStyle name="Normal 15 2" xfId="344" xr:uid="{00000000-0005-0000-0000-0000E2000000}"/>
    <cellStyle name="Normal 16" xfId="162" xr:uid="{00000000-0005-0000-0000-0000E3000000}"/>
    <cellStyle name="Normal 16 2" xfId="345" xr:uid="{00000000-0005-0000-0000-0000E4000000}"/>
    <cellStyle name="Normal 163" xfId="416" xr:uid="{AB7D9197-7765-4449-8613-D4AA4ABAA054}"/>
    <cellStyle name="Normal 17" xfId="163" xr:uid="{00000000-0005-0000-0000-0000E5000000}"/>
    <cellStyle name="Normal 17 2" xfId="346" xr:uid="{00000000-0005-0000-0000-0000E6000000}"/>
    <cellStyle name="Normal 18" xfId="164" xr:uid="{00000000-0005-0000-0000-0000E7000000}"/>
    <cellStyle name="Normal 18 2" xfId="347" xr:uid="{00000000-0005-0000-0000-0000E8000000}"/>
    <cellStyle name="Normal 19" xfId="165" xr:uid="{00000000-0005-0000-0000-0000E9000000}"/>
    <cellStyle name="Normal 19 2" xfId="348" xr:uid="{00000000-0005-0000-0000-0000EA000000}"/>
    <cellStyle name="Normal 2" xfId="18" xr:uid="{00000000-0005-0000-0000-0000EB000000}"/>
    <cellStyle name="Normal 2 2" xfId="19" xr:uid="{00000000-0005-0000-0000-0000EC000000}"/>
    <cellStyle name="Normal 2 2 2" xfId="167" xr:uid="{00000000-0005-0000-0000-0000ED000000}"/>
    <cellStyle name="Normal 2 2 3" xfId="166" xr:uid="{00000000-0005-0000-0000-0000EE000000}"/>
    <cellStyle name="Normal 2 2_Actual_Fuel" xfId="168" xr:uid="{00000000-0005-0000-0000-0000EF000000}"/>
    <cellStyle name="Normal 2 3" xfId="169" xr:uid="{00000000-0005-0000-0000-0000F0000000}"/>
    <cellStyle name="Normal 2 3 2" xfId="170" xr:uid="{00000000-0005-0000-0000-0000F1000000}"/>
    <cellStyle name="Normal 2 3 3" xfId="296" xr:uid="{00000000-0005-0000-0000-0000F2000000}"/>
    <cellStyle name="Normal 2 4" xfId="297" xr:uid="{00000000-0005-0000-0000-0000F3000000}"/>
    <cellStyle name="Normal 2 5" xfId="298" xr:uid="{00000000-0005-0000-0000-0000F4000000}"/>
    <cellStyle name="Normal 2_2012-10" xfId="171" xr:uid="{00000000-0005-0000-0000-0000F5000000}"/>
    <cellStyle name="Normal 20" xfId="172" xr:uid="{00000000-0005-0000-0000-0000F6000000}"/>
    <cellStyle name="Normal 21" xfId="173" xr:uid="{00000000-0005-0000-0000-0000F7000000}"/>
    <cellStyle name="Normal 22" xfId="174" xr:uid="{00000000-0005-0000-0000-0000F8000000}"/>
    <cellStyle name="Normal 23" xfId="175" xr:uid="{00000000-0005-0000-0000-0000F9000000}"/>
    <cellStyle name="Normal 24" xfId="176" xr:uid="{00000000-0005-0000-0000-0000FA000000}"/>
    <cellStyle name="Normal 25" xfId="177" xr:uid="{00000000-0005-0000-0000-0000FB000000}"/>
    <cellStyle name="Normal 26" xfId="178" xr:uid="{00000000-0005-0000-0000-0000FC000000}"/>
    <cellStyle name="Normal 27" xfId="179" xr:uid="{00000000-0005-0000-0000-0000FD000000}"/>
    <cellStyle name="Normal 28" xfId="180" xr:uid="{00000000-0005-0000-0000-0000FE000000}"/>
    <cellStyle name="Normal 29" xfId="181" xr:uid="{00000000-0005-0000-0000-0000FF000000}"/>
    <cellStyle name="Normal 3" xfId="20" xr:uid="{00000000-0005-0000-0000-000000010000}"/>
    <cellStyle name="Normal 3 2" xfId="183" xr:uid="{00000000-0005-0000-0000-000001010000}"/>
    <cellStyle name="Normal 3 3" xfId="182" xr:uid="{00000000-0005-0000-0000-000002010000}"/>
    <cellStyle name="Normal 3 4" xfId="281" xr:uid="{00000000-0005-0000-0000-000003010000}"/>
    <cellStyle name="Normal 3_2012 PR" xfId="184" xr:uid="{00000000-0005-0000-0000-000004010000}"/>
    <cellStyle name="Normal 30" xfId="185" xr:uid="{00000000-0005-0000-0000-000005010000}"/>
    <cellStyle name="Normal 31" xfId="186" xr:uid="{00000000-0005-0000-0000-000006010000}"/>
    <cellStyle name="Normal 32" xfId="187" xr:uid="{00000000-0005-0000-0000-000007010000}"/>
    <cellStyle name="Normal 33" xfId="188" xr:uid="{00000000-0005-0000-0000-000008010000}"/>
    <cellStyle name="Normal 34" xfId="189" xr:uid="{00000000-0005-0000-0000-000009010000}"/>
    <cellStyle name="Normal 35" xfId="190" xr:uid="{00000000-0005-0000-0000-00000A010000}"/>
    <cellStyle name="Normal 36" xfId="191" xr:uid="{00000000-0005-0000-0000-00000B010000}"/>
    <cellStyle name="Normal 37" xfId="192" xr:uid="{00000000-0005-0000-0000-00000C010000}"/>
    <cellStyle name="Normal 38" xfId="193" xr:uid="{00000000-0005-0000-0000-00000D010000}"/>
    <cellStyle name="Normal 39" xfId="194" xr:uid="{00000000-0005-0000-0000-00000E010000}"/>
    <cellStyle name="Normal 4" xfId="21" xr:uid="{00000000-0005-0000-0000-00000F010000}"/>
    <cellStyle name="Normal 4 2" xfId="195" xr:uid="{00000000-0005-0000-0000-000010010000}"/>
    <cellStyle name="Normal 40" xfId="196" xr:uid="{00000000-0005-0000-0000-000011010000}"/>
    <cellStyle name="Normal 41" xfId="197" xr:uid="{00000000-0005-0000-0000-000012010000}"/>
    <cellStyle name="Normal 42" xfId="198" xr:uid="{00000000-0005-0000-0000-000013010000}"/>
    <cellStyle name="Normal 43" xfId="199" xr:uid="{00000000-0005-0000-0000-000014010000}"/>
    <cellStyle name="Normal 44" xfId="200" xr:uid="{00000000-0005-0000-0000-000015010000}"/>
    <cellStyle name="Normal 45" xfId="201" xr:uid="{00000000-0005-0000-0000-000016010000}"/>
    <cellStyle name="Normal 46" xfId="202" xr:uid="{00000000-0005-0000-0000-000017010000}"/>
    <cellStyle name="Normal 47" xfId="203" xr:uid="{00000000-0005-0000-0000-000018010000}"/>
    <cellStyle name="Normal 48" xfId="204" xr:uid="{00000000-0005-0000-0000-000019010000}"/>
    <cellStyle name="Normal 49" xfId="205" xr:uid="{00000000-0005-0000-0000-00001A010000}"/>
    <cellStyle name="Normal 5" xfId="22" xr:uid="{00000000-0005-0000-0000-00001B010000}"/>
    <cellStyle name="Normal 5 2" xfId="206" xr:uid="{00000000-0005-0000-0000-00001C010000}"/>
    <cellStyle name="Normal 5 3" xfId="400" xr:uid="{00000000-0005-0000-0000-00001D010000}"/>
    <cellStyle name="Normal 5_2112 DF Schedule" xfId="349" xr:uid="{00000000-0005-0000-0000-00001E010000}"/>
    <cellStyle name="Normal 50" xfId="207" xr:uid="{00000000-0005-0000-0000-00001F010000}"/>
    <cellStyle name="Normal 51" xfId="208" xr:uid="{00000000-0005-0000-0000-000020010000}"/>
    <cellStyle name="Normal 52" xfId="209" xr:uid="{00000000-0005-0000-0000-000021010000}"/>
    <cellStyle name="Normal 53" xfId="210" xr:uid="{00000000-0005-0000-0000-000022010000}"/>
    <cellStyle name="Normal 54" xfId="211" xr:uid="{00000000-0005-0000-0000-000023010000}"/>
    <cellStyle name="Normal 55" xfId="212" xr:uid="{00000000-0005-0000-0000-000024010000}"/>
    <cellStyle name="Normal 56" xfId="213" xr:uid="{00000000-0005-0000-0000-000025010000}"/>
    <cellStyle name="Normal 57" xfId="214" xr:uid="{00000000-0005-0000-0000-000026010000}"/>
    <cellStyle name="Normal 58" xfId="215" xr:uid="{00000000-0005-0000-0000-000027010000}"/>
    <cellStyle name="Normal 59" xfId="216" xr:uid="{00000000-0005-0000-0000-000028010000}"/>
    <cellStyle name="Normal 6" xfId="23" xr:uid="{00000000-0005-0000-0000-000029010000}"/>
    <cellStyle name="Normal 6 2" xfId="217" xr:uid="{00000000-0005-0000-0000-00002A010000}"/>
    <cellStyle name="Normal 6 6" xfId="412" xr:uid="{E1158C85-F9ED-472A-B9C5-77235F4F3279}"/>
    <cellStyle name="Normal 60" xfId="218" xr:uid="{00000000-0005-0000-0000-00002B010000}"/>
    <cellStyle name="Normal 61" xfId="219" xr:uid="{00000000-0005-0000-0000-00002C010000}"/>
    <cellStyle name="Normal 62" xfId="220" xr:uid="{00000000-0005-0000-0000-00002D010000}"/>
    <cellStyle name="Normal 63" xfId="221" xr:uid="{00000000-0005-0000-0000-00002E010000}"/>
    <cellStyle name="Normal 64" xfId="222" xr:uid="{00000000-0005-0000-0000-00002F010000}"/>
    <cellStyle name="Normal 65" xfId="223" xr:uid="{00000000-0005-0000-0000-000030010000}"/>
    <cellStyle name="Normal 66" xfId="224" xr:uid="{00000000-0005-0000-0000-000031010000}"/>
    <cellStyle name="Normal 67" xfId="225" xr:uid="{00000000-0005-0000-0000-000032010000}"/>
    <cellStyle name="Normal 68" xfId="226" xr:uid="{00000000-0005-0000-0000-000033010000}"/>
    <cellStyle name="Normal 69" xfId="227" xr:uid="{00000000-0005-0000-0000-000034010000}"/>
    <cellStyle name="Normal 7" xfId="228" xr:uid="{00000000-0005-0000-0000-000035010000}"/>
    <cellStyle name="Normal 70" xfId="229" xr:uid="{00000000-0005-0000-0000-000036010000}"/>
    <cellStyle name="Normal 71" xfId="230" xr:uid="{00000000-0005-0000-0000-000037010000}"/>
    <cellStyle name="Normal 72" xfId="231" xr:uid="{00000000-0005-0000-0000-000038010000}"/>
    <cellStyle name="Normal 73" xfId="232" xr:uid="{00000000-0005-0000-0000-000039010000}"/>
    <cellStyle name="Normal 74" xfId="233" xr:uid="{00000000-0005-0000-0000-00003A010000}"/>
    <cellStyle name="Normal 75" xfId="234" xr:uid="{00000000-0005-0000-0000-00003B010000}"/>
    <cellStyle name="Normal 76" xfId="235" xr:uid="{00000000-0005-0000-0000-00003C010000}"/>
    <cellStyle name="Normal 77" xfId="236" xr:uid="{00000000-0005-0000-0000-00003D010000}"/>
    <cellStyle name="Normal 78" xfId="237" xr:uid="{00000000-0005-0000-0000-00003E010000}"/>
    <cellStyle name="Normal 79" xfId="238" xr:uid="{00000000-0005-0000-0000-00003F010000}"/>
    <cellStyle name="Normal 8" xfId="239" xr:uid="{00000000-0005-0000-0000-000040010000}"/>
    <cellStyle name="Normal 80" xfId="240" xr:uid="{00000000-0005-0000-0000-000041010000}"/>
    <cellStyle name="Normal 81" xfId="241" xr:uid="{00000000-0005-0000-0000-000042010000}"/>
    <cellStyle name="Normal 82" xfId="242" xr:uid="{00000000-0005-0000-0000-000043010000}"/>
    <cellStyle name="Normal 83" xfId="243" xr:uid="{00000000-0005-0000-0000-000044010000}"/>
    <cellStyle name="Normal 84" xfId="38" xr:uid="{00000000-0005-0000-0000-000045010000}"/>
    <cellStyle name="Normal 84 2" xfId="278" xr:uid="{00000000-0005-0000-0000-000046010000}"/>
    <cellStyle name="Normal 84 3" xfId="350" xr:uid="{00000000-0005-0000-0000-000047010000}"/>
    <cellStyle name="Normal 85" xfId="252" xr:uid="{00000000-0005-0000-0000-000048010000}"/>
    <cellStyle name="Normal 86" xfId="270" xr:uid="{00000000-0005-0000-0000-000049010000}"/>
    <cellStyle name="Normal 87" xfId="271" xr:uid="{00000000-0005-0000-0000-00004A010000}"/>
    <cellStyle name="Normal 88" xfId="272" xr:uid="{00000000-0005-0000-0000-00004B010000}"/>
    <cellStyle name="Normal 89" xfId="273" xr:uid="{00000000-0005-0000-0000-00004C010000}"/>
    <cellStyle name="Normal 9" xfId="244" xr:uid="{00000000-0005-0000-0000-00004D010000}"/>
    <cellStyle name="Normal 90" xfId="274" xr:uid="{00000000-0005-0000-0000-00004E010000}"/>
    <cellStyle name="Normal 91" xfId="279" xr:uid="{00000000-0005-0000-0000-00004F010000}"/>
    <cellStyle name="Normal 92" xfId="369" xr:uid="{00000000-0005-0000-0000-000050010000}"/>
    <cellStyle name="Normal 92 2" xfId="401" xr:uid="{00000000-0005-0000-0000-000051010000}"/>
    <cellStyle name="Normal 93" xfId="373" xr:uid="{00000000-0005-0000-0000-000052010000}"/>
    <cellStyle name="Normal 93 2" xfId="405" xr:uid="{00000000-0005-0000-0000-000053010000}"/>
    <cellStyle name="Normal 94" xfId="374" xr:uid="{00000000-0005-0000-0000-000054010000}"/>
    <cellStyle name="Normal 95" xfId="375" xr:uid="{00000000-0005-0000-0000-000055010000}"/>
    <cellStyle name="Normal 96" xfId="376" xr:uid="{00000000-0005-0000-0000-000056010000}"/>
    <cellStyle name="Normal 97" xfId="377" xr:uid="{00000000-0005-0000-0000-000057010000}"/>
    <cellStyle name="Normal 98" xfId="378" xr:uid="{00000000-0005-0000-0000-000058010000}"/>
    <cellStyle name="Normal 99" xfId="379" xr:uid="{00000000-0005-0000-0000-000059010000}"/>
    <cellStyle name="Normal_Book3" xfId="414" xr:uid="{B4C48001-81DD-4528-A0E0-6EE034C522CA}"/>
    <cellStyle name="Normal_Price out" xfId="4" xr:uid="{00000000-0005-0000-0000-00005C010000}"/>
    <cellStyle name="Normal_Sheet1" xfId="415" xr:uid="{D473F732-17ED-4AE9-A686-D0298B42F512}"/>
    <cellStyle name="Note 2" xfId="246" xr:uid="{00000000-0005-0000-0000-00005E010000}"/>
    <cellStyle name="Note 2 2" xfId="351" xr:uid="{00000000-0005-0000-0000-00005F010000}"/>
    <cellStyle name="Note 3" xfId="245" xr:uid="{00000000-0005-0000-0000-000060010000}"/>
    <cellStyle name="Note 3 2" xfId="352" xr:uid="{00000000-0005-0000-0000-000061010000}"/>
    <cellStyle name="Note 4" xfId="409" xr:uid="{00000000-0005-0000-0000-000062010000}"/>
    <cellStyle name="Note 5" xfId="418" xr:uid="{D1107A38-2C76-44B8-87FF-E7F00577ABA1}"/>
    <cellStyle name="Note 6" xfId="411" xr:uid="{CCCBF242-15DF-4C64-B0F3-FEC883D5A9C9}"/>
    <cellStyle name="Notes" xfId="247" xr:uid="{00000000-0005-0000-0000-000063010000}"/>
    <cellStyle name="Output 2" xfId="249" xr:uid="{00000000-0005-0000-0000-000064010000}"/>
    <cellStyle name="Output 3" xfId="248" xr:uid="{00000000-0005-0000-0000-000065010000}"/>
    <cellStyle name="Output 4" xfId="398" xr:uid="{00000000-0005-0000-0000-000066010000}"/>
    <cellStyle name="Percent" xfId="3" builtinId="5"/>
    <cellStyle name="Percent 10" xfId="410" xr:uid="{00000000-0005-0000-0000-000068010000}"/>
    <cellStyle name="Percent 11" xfId="417" xr:uid="{8F323763-6242-4412-9729-0624BF9DE8C8}"/>
    <cellStyle name="Percent 2" xfId="24" xr:uid="{00000000-0005-0000-0000-000069010000}"/>
    <cellStyle name="Percent 2 2" xfId="25" xr:uid="{00000000-0005-0000-0000-00006A010000}"/>
    <cellStyle name="Percent 2 2 2" xfId="251" xr:uid="{00000000-0005-0000-0000-00006B010000}"/>
    <cellStyle name="Percent 2 3" xfId="353" xr:uid="{00000000-0005-0000-0000-00006C010000}"/>
    <cellStyle name="Percent 2 6" xfId="26" xr:uid="{00000000-0005-0000-0000-00006D010000}"/>
    <cellStyle name="Percent 3" xfId="27" xr:uid="{00000000-0005-0000-0000-00006E010000}"/>
    <cellStyle name="Percent 3 2" xfId="28" xr:uid="{00000000-0005-0000-0000-00006F010000}"/>
    <cellStyle name="Percent 4" xfId="29" xr:uid="{00000000-0005-0000-0000-000070010000}"/>
    <cellStyle name="Percent 4 2" xfId="355" xr:uid="{00000000-0005-0000-0000-000071010000}"/>
    <cellStyle name="Percent 4 3" xfId="354" xr:uid="{00000000-0005-0000-0000-000072010000}"/>
    <cellStyle name="Percent 5" xfId="253" xr:uid="{00000000-0005-0000-0000-000073010000}"/>
    <cellStyle name="Percent 5 2" xfId="419" xr:uid="{64494B18-2CEE-410E-A29F-0ECC86C0DF9E}"/>
    <cellStyle name="Percent 6" xfId="254" xr:uid="{00000000-0005-0000-0000-000074010000}"/>
    <cellStyle name="Percent 7" xfId="250" xr:uid="{00000000-0005-0000-0000-000075010000}"/>
    <cellStyle name="Percent 7 2" xfId="275" xr:uid="{00000000-0005-0000-0000-000076010000}"/>
    <cellStyle name="Percent 7 3" xfId="356" xr:uid="{00000000-0005-0000-0000-000077010000}"/>
    <cellStyle name="Percent 8" xfId="357" xr:uid="{00000000-0005-0000-0000-000078010000}"/>
    <cellStyle name="Percent 9" xfId="372" xr:uid="{00000000-0005-0000-0000-000079010000}"/>
    <cellStyle name="Percent 9 2" xfId="404" xr:uid="{00000000-0005-0000-0000-00007A010000}"/>
    <cellStyle name="Percent(1)" xfId="255" xr:uid="{00000000-0005-0000-0000-00007B010000}"/>
    <cellStyle name="Percent(2)" xfId="256" xr:uid="{00000000-0005-0000-0000-00007C010000}"/>
    <cellStyle name="PRM" xfId="257" xr:uid="{00000000-0005-0000-0000-00007D010000}"/>
    <cellStyle name="PRM 2" xfId="258" xr:uid="{00000000-0005-0000-0000-00007E010000}"/>
    <cellStyle name="PRM 3" xfId="259" xr:uid="{00000000-0005-0000-0000-00007F010000}"/>
    <cellStyle name="PRM_2011-11" xfId="260" xr:uid="{00000000-0005-0000-0000-000080010000}"/>
    <cellStyle name="PS_Comma" xfId="30" xr:uid="{00000000-0005-0000-0000-000081010000}"/>
    <cellStyle name="PSChar" xfId="31" xr:uid="{00000000-0005-0000-0000-000082010000}"/>
    <cellStyle name="PSDate" xfId="32" xr:uid="{00000000-0005-0000-0000-000083010000}"/>
    <cellStyle name="PSDec" xfId="33" xr:uid="{00000000-0005-0000-0000-000084010000}"/>
    <cellStyle name="PSHeading" xfId="34" xr:uid="{00000000-0005-0000-0000-000085010000}"/>
    <cellStyle name="PSInt" xfId="35" xr:uid="{00000000-0005-0000-0000-000086010000}"/>
    <cellStyle name="PSSpacer" xfId="36" xr:uid="{00000000-0005-0000-0000-000087010000}"/>
    <cellStyle name="STYL0 - Style1" xfId="358" xr:uid="{00000000-0005-0000-0000-000088010000}"/>
    <cellStyle name="STYL1 - Style2" xfId="359" xr:uid="{00000000-0005-0000-0000-000089010000}"/>
    <cellStyle name="STYL2 - Style3" xfId="360" xr:uid="{00000000-0005-0000-0000-00008A010000}"/>
    <cellStyle name="STYL3 - Style4" xfId="361" xr:uid="{00000000-0005-0000-0000-00008B010000}"/>
    <cellStyle name="STYL4 - Style5" xfId="362" xr:uid="{00000000-0005-0000-0000-00008C010000}"/>
    <cellStyle name="STYL5 - Style6" xfId="363" xr:uid="{00000000-0005-0000-0000-00008D010000}"/>
    <cellStyle name="STYL6 - Style7" xfId="364" xr:uid="{00000000-0005-0000-0000-00008E010000}"/>
    <cellStyle name="STYL7 - Style8" xfId="365" xr:uid="{00000000-0005-0000-0000-00008F010000}"/>
    <cellStyle name="Style 1" xfId="261" xr:uid="{00000000-0005-0000-0000-000090010000}"/>
    <cellStyle name="Style 1 2" xfId="262" xr:uid="{00000000-0005-0000-0000-000091010000}"/>
    <cellStyle name="STYLE1" xfId="263" xr:uid="{00000000-0005-0000-0000-000092010000}"/>
    <cellStyle name="sub heading" xfId="366" xr:uid="{00000000-0005-0000-0000-000093010000}"/>
    <cellStyle name="Title 2" xfId="265" xr:uid="{00000000-0005-0000-0000-000094010000}"/>
    <cellStyle name="Title 3" xfId="264" xr:uid="{00000000-0005-0000-0000-000095010000}"/>
    <cellStyle name="title 4" xfId="399" xr:uid="{00000000-0005-0000-0000-000096010000}"/>
    <cellStyle name="Total 2" xfId="267" xr:uid="{00000000-0005-0000-0000-000097010000}"/>
    <cellStyle name="Total 2 2" xfId="367" xr:uid="{00000000-0005-0000-0000-000098010000}"/>
    <cellStyle name="Total 3" xfId="266" xr:uid="{00000000-0005-0000-0000-000099010000}"/>
    <cellStyle name="Total 3 2" xfId="368" xr:uid="{00000000-0005-0000-0000-00009A010000}"/>
    <cellStyle name="Warning Text 2" xfId="269" xr:uid="{00000000-0005-0000-0000-00009B010000}"/>
    <cellStyle name="Warning Text 3" xfId="268" xr:uid="{00000000-0005-0000-0000-00009C010000}"/>
    <cellStyle name="WM_STANDARD" xfId="37" xr:uid="{00000000-0005-0000-0000-00009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</xdr:colOff>
      <xdr:row>1</xdr:row>
      <xdr:rowOff>129540</xdr:rowOff>
    </xdr:from>
    <xdr:to>
      <xdr:col>7</xdr:col>
      <xdr:colOff>461356</xdr:colOff>
      <xdr:row>22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B0DF0B-EEA5-468C-B92D-B637FDB3B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19" y="312420"/>
          <a:ext cx="5193377" cy="3840480"/>
        </a:xfrm>
        <a:prstGeom prst="rect">
          <a:avLst/>
        </a:prstGeom>
      </xdr:spPr>
    </xdr:pic>
    <xdr:clientData/>
  </xdr:twoCellAnchor>
  <xdr:twoCellAnchor editAs="oneCell">
    <xdr:from>
      <xdr:col>10</xdr:col>
      <xdr:colOff>502919</xdr:colOff>
      <xdr:row>1</xdr:row>
      <xdr:rowOff>75468</xdr:rowOff>
    </xdr:from>
    <xdr:to>
      <xdr:col>24</xdr:col>
      <xdr:colOff>318069</xdr:colOff>
      <xdr:row>23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6EE043-0096-42DB-971A-7605B78FD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199" y="258348"/>
          <a:ext cx="9126790" cy="4092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CA72-BF47-41A2-94AA-7D2EDE95AE09}">
  <dimension ref="A1:AA167"/>
  <sheetViews>
    <sheetView workbookViewId="0">
      <selection activeCell="E8" sqref="E8"/>
    </sheetView>
  </sheetViews>
  <sheetFormatPr defaultRowHeight="14.4"/>
  <cols>
    <col min="1" max="1" width="68.5546875" bestFit="1" customWidth="1"/>
    <col min="2" max="2" width="16.44140625" bestFit="1" customWidth="1"/>
    <col min="3" max="3" width="8.88671875" style="195" bestFit="1" customWidth="1"/>
    <col min="4" max="4" width="19.44140625" style="196" bestFit="1" customWidth="1"/>
    <col min="5" max="5" width="10.5546875" style="196" bestFit="1" customWidth="1"/>
    <col min="6" max="6" width="18.88671875" style="196" customWidth="1"/>
    <col min="7" max="7" width="26.88671875" customWidth="1"/>
    <col min="256" max="256" width="68.5546875" bestFit="1" customWidth="1"/>
    <col min="257" max="257" width="12.5546875" bestFit="1" customWidth="1"/>
    <col min="258" max="258" width="8.88671875" bestFit="1" customWidth="1"/>
    <col min="259" max="259" width="19.44140625" bestFit="1" customWidth="1"/>
    <col min="260" max="260" width="10.5546875" bestFit="1" customWidth="1"/>
    <col min="261" max="261" width="18.88671875" customWidth="1"/>
    <col min="262" max="262" width="11.109375" bestFit="1" customWidth="1"/>
    <col min="263" max="263" width="26.88671875" customWidth="1"/>
    <col min="512" max="512" width="68.5546875" bestFit="1" customWidth="1"/>
    <col min="513" max="513" width="12.5546875" bestFit="1" customWidth="1"/>
    <col min="514" max="514" width="8.88671875" bestFit="1" customWidth="1"/>
    <col min="515" max="515" width="19.44140625" bestFit="1" customWidth="1"/>
    <col min="516" max="516" width="10.5546875" bestFit="1" customWidth="1"/>
    <col min="517" max="517" width="18.88671875" customWidth="1"/>
    <col min="518" max="518" width="11.109375" bestFit="1" customWidth="1"/>
    <col min="519" max="519" width="26.88671875" customWidth="1"/>
    <col min="768" max="768" width="68.5546875" bestFit="1" customWidth="1"/>
    <col min="769" max="769" width="12.5546875" bestFit="1" customWidth="1"/>
    <col min="770" max="770" width="8.88671875" bestFit="1" customWidth="1"/>
    <col min="771" max="771" width="19.44140625" bestFit="1" customWidth="1"/>
    <col min="772" max="772" width="10.5546875" bestFit="1" customWidth="1"/>
    <col min="773" max="773" width="18.88671875" customWidth="1"/>
    <col min="774" max="774" width="11.109375" bestFit="1" customWidth="1"/>
    <col min="775" max="775" width="26.88671875" customWidth="1"/>
    <col min="1024" max="1024" width="68.5546875" bestFit="1" customWidth="1"/>
    <col min="1025" max="1025" width="12.5546875" bestFit="1" customWidth="1"/>
    <col min="1026" max="1026" width="8.88671875" bestFit="1" customWidth="1"/>
    <col min="1027" max="1027" width="19.44140625" bestFit="1" customWidth="1"/>
    <col min="1028" max="1028" width="10.5546875" bestFit="1" customWidth="1"/>
    <col min="1029" max="1029" width="18.88671875" customWidth="1"/>
    <col min="1030" max="1030" width="11.109375" bestFit="1" customWidth="1"/>
    <col min="1031" max="1031" width="26.88671875" customWidth="1"/>
    <col min="1280" max="1280" width="68.5546875" bestFit="1" customWidth="1"/>
    <col min="1281" max="1281" width="12.5546875" bestFit="1" customWidth="1"/>
    <col min="1282" max="1282" width="8.88671875" bestFit="1" customWidth="1"/>
    <col min="1283" max="1283" width="19.44140625" bestFit="1" customWidth="1"/>
    <col min="1284" max="1284" width="10.5546875" bestFit="1" customWidth="1"/>
    <col min="1285" max="1285" width="18.88671875" customWidth="1"/>
    <col min="1286" max="1286" width="11.109375" bestFit="1" customWidth="1"/>
    <col min="1287" max="1287" width="26.88671875" customWidth="1"/>
    <col min="1536" max="1536" width="68.5546875" bestFit="1" customWidth="1"/>
    <col min="1537" max="1537" width="12.5546875" bestFit="1" customWidth="1"/>
    <col min="1538" max="1538" width="8.88671875" bestFit="1" customWidth="1"/>
    <col min="1539" max="1539" width="19.44140625" bestFit="1" customWidth="1"/>
    <col min="1540" max="1540" width="10.5546875" bestFit="1" customWidth="1"/>
    <col min="1541" max="1541" width="18.88671875" customWidth="1"/>
    <col min="1542" max="1542" width="11.109375" bestFit="1" customWidth="1"/>
    <col min="1543" max="1543" width="26.88671875" customWidth="1"/>
    <col min="1792" max="1792" width="68.5546875" bestFit="1" customWidth="1"/>
    <col min="1793" max="1793" width="12.5546875" bestFit="1" customWidth="1"/>
    <col min="1794" max="1794" width="8.88671875" bestFit="1" customWidth="1"/>
    <col min="1795" max="1795" width="19.44140625" bestFit="1" customWidth="1"/>
    <col min="1796" max="1796" width="10.5546875" bestFit="1" customWidth="1"/>
    <col min="1797" max="1797" width="18.88671875" customWidth="1"/>
    <col min="1798" max="1798" width="11.109375" bestFit="1" customWidth="1"/>
    <col min="1799" max="1799" width="26.88671875" customWidth="1"/>
    <col min="2048" max="2048" width="68.5546875" bestFit="1" customWidth="1"/>
    <col min="2049" max="2049" width="12.5546875" bestFit="1" customWidth="1"/>
    <col min="2050" max="2050" width="8.88671875" bestFit="1" customWidth="1"/>
    <col min="2051" max="2051" width="19.44140625" bestFit="1" customWidth="1"/>
    <col min="2052" max="2052" width="10.5546875" bestFit="1" customWidth="1"/>
    <col min="2053" max="2053" width="18.88671875" customWidth="1"/>
    <col min="2054" max="2054" width="11.109375" bestFit="1" customWidth="1"/>
    <col min="2055" max="2055" width="26.88671875" customWidth="1"/>
    <col min="2304" max="2304" width="68.5546875" bestFit="1" customWidth="1"/>
    <col min="2305" max="2305" width="12.5546875" bestFit="1" customWidth="1"/>
    <col min="2306" max="2306" width="8.88671875" bestFit="1" customWidth="1"/>
    <col min="2307" max="2307" width="19.44140625" bestFit="1" customWidth="1"/>
    <col min="2308" max="2308" width="10.5546875" bestFit="1" customWidth="1"/>
    <col min="2309" max="2309" width="18.88671875" customWidth="1"/>
    <col min="2310" max="2310" width="11.109375" bestFit="1" customWidth="1"/>
    <col min="2311" max="2311" width="26.88671875" customWidth="1"/>
    <col min="2560" max="2560" width="68.5546875" bestFit="1" customWidth="1"/>
    <col min="2561" max="2561" width="12.5546875" bestFit="1" customWidth="1"/>
    <col min="2562" max="2562" width="8.88671875" bestFit="1" customWidth="1"/>
    <col min="2563" max="2563" width="19.44140625" bestFit="1" customWidth="1"/>
    <col min="2564" max="2564" width="10.5546875" bestFit="1" customWidth="1"/>
    <col min="2565" max="2565" width="18.88671875" customWidth="1"/>
    <col min="2566" max="2566" width="11.109375" bestFit="1" customWidth="1"/>
    <col min="2567" max="2567" width="26.88671875" customWidth="1"/>
    <col min="2816" max="2816" width="68.5546875" bestFit="1" customWidth="1"/>
    <col min="2817" max="2817" width="12.5546875" bestFit="1" customWidth="1"/>
    <col min="2818" max="2818" width="8.88671875" bestFit="1" customWidth="1"/>
    <col min="2819" max="2819" width="19.44140625" bestFit="1" customWidth="1"/>
    <col min="2820" max="2820" width="10.5546875" bestFit="1" customWidth="1"/>
    <col min="2821" max="2821" width="18.88671875" customWidth="1"/>
    <col min="2822" max="2822" width="11.109375" bestFit="1" customWidth="1"/>
    <col min="2823" max="2823" width="26.88671875" customWidth="1"/>
    <col min="3072" max="3072" width="68.5546875" bestFit="1" customWidth="1"/>
    <col min="3073" max="3073" width="12.5546875" bestFit="1" customWidth="1"/>
    <col min="3074" max="3074" width="8.88671875" bestFit="1" customWidth="1"/>
    <col min="3075" max="3075" width="19.44140625" bestFit="1" customWidth="1"/>
    <col min="3076" max="3076" width="10.5546875" bestFit="1" customWidth="1"/>
    <col min="3077" max="3077" width="18.88671875" customWidth="1"/>
    <col min="3078" max="3078" width="11.109375" bestFit="1" customWidth="1"/>
    <col min="3079" max="3079" width="26.88671875" customWidth="1"/>
    <col min="3328" max="3328" width="68.5546875" bestFit="1" customWidth="1"/>
    <col min="3329" max="3329" width="12.5546875" bestFit="1" customWidth="1"/>
    <col min="3330" max="3330" width="8.88671875" bestFit="1" customWidth="1"/>
    <col min="3331" max="3331" width="19.44140625" bestFit="1" customWidth="1"/>
    <col min="3332" max="3332" width="10.5546875" bestFit="1" customWidth="1"/>
    <col min="3333" max="3333" width="18.88671875" customWidth="1"/>
    <col min="3334" max="3334" width="11.109375" bestFit="1" customWidth="1"/>
    <col min="3335" max="3335" width="26.88671875" customWidth="1"/>
    <col min="3584" max="3584" width="68.5546875" bestFit="1" customWidth="1"/>
    <col min="3585" max="3585" width="12.5546875" bestFit="1" customWidth="1"/>
    <col min="3586" max="3586" width="8.88671875" bestFit="1" customWidth="1"/>
    <col min="3587" max="3587" width="19.44140625" bestFit="1" customWidth="1"/>
    <col min="3588" max="3588" width="10.5546875" bestFit="1" customWidth="1"/>
    <col min="3589" max="3589" width="18.88671875" customWidth="1"/>
    <col min="3590" max="3590" width="11.109375" bestFit="1" customWidth="1"/>
    <col min="3591" max="3591" width="26.88671875" customWidth="1"/>
    <col min="3840" max="3840" width="68.5546875" bestFit="1" customWidth="1"/>
    <col min="3841" max="3841" width="12.5546875" bestFit="1" customWidth="1"/>
    <col min="3842" max="3842" width="8.88671875" bestFit="1" customWidth="1"/>
    <col min="3843" max="3843" width="19.44140625" bestFit="1" customWidth="1"/>
    <col min="3844" max="3844" width="10.5546875" bestFit="1" customWidth="1"/>
    <col min="3845" max="3845" width="18.88671875" customWidth="1"/>
    <col min="3846" max="3846" width="11.109375" bestFit="1" customWidth="1"/>
    <col min="3847" max="3847" width="26.88671875" customWidth="1"/>
    <col min="4096" max="4096" width="68.5546875" bestFit="1" customWidth="1"/>
    <col min="4097" max="4097" width="12.5546875" bestFit="1" customWidth="1"/>
    <col min="4098" max="4098" width="8.88671875" bestFit="1" customWidth="1"/>
    <col min="4099" max="4099" width="19.44140625" bestFit="1" customWidth="1"/>
    <col min="4100" max="4100" width="10.5546875" bestFit="1" customWidth="1"/>
    <col min="4101" max="4101" width="18.88671875" customWidth="1"/>
    <col min="4102" max="4102" width="11.109375" bestFit="1" customWidth="1"/>
    <col min="4103" max="4103" width="26.88671875" customWidth="1"/>
    <col min="4352" max="4352" width="68.5546875" bestFit="1" customWidth="1"/>
    <col min="4353" max="4353" width="12.5546875" bestFit="1" customWidth="1"/>
    <col min="4354" max="4354" width="8.88671875" bestFit="1" customWidth="1"/>
    <col min="4355" max="4355" width="19.44140625" bestFit="1" customWidth="1"/>
    <col min="4356" max="4356" width="10.5546875" bestFit="1" customWidth="1"/>
    <col min="4357" max="4357" width="18.88671875" customWidth="1"/>
    <col min="4358" max="4358" width="11.109375" bestFit="1" customWidth="1"/>
    <col min="4359" max="4359" width="26.88671875" customWidth="1"/>
    <col min="4608" max="4608" width="68.5546875" bestFit="1" customWidth="1"/>
    <col min="4609" max="4609" width="12.5546875" bestFit="1" customWidth="1"/>
    <col min="4610" max="4610" width="8.88671875" bestFit="1" customWidth="1"/>
    <col min="4611" max="4611" width="19.44140625" bestFit="1" customWidth="1"/>
    <col min="4612" max="4612" width="10.5546875" bestFit="1" customWidth="1"/>
    <col min="4613" max="4613" width="18.88671875" customWidth="1"/>
    <col min="4614" max="4614" width="11.109375" bestFit="1" customWidth="1"/>
    <col min="4615" max="4615" width="26.88671875" customWidth="1"/>
    <col min="4864" max="4864" width="68.5546875" bestFit="1" customWidth="1"/>
    <col min="4865" max="4865" width="12.5546875" bestFit="1" customWidth="1"/>
    <col min="4866" max="4866" width="8.88671875" bestFit="1" customWidth="1"/>
    <col min="4867" max="4867" width="19.44140625" bestFit="1" customWidth="1"/>
    <col min="4868" max="4868" width="10.5546875" bestFit="1" customWidth="1"/>
    <col min="4869" max="4869" width="18.88671875" customWidth="1"/>
    <col min="4870" max="4870" width="11.109375" bestFit="1" customWidth="1"/>
    <col min="4871" max="4871" width="26.88671875" customWidth="1"/>
    <col min="5120" max="5120" width="68.5546875" bestFit="1" customWidth="1"/>
    <col min="5121" max="5121" width="12.5546875" bestFit="1" customWidth="1"/>
    <col min="5122" max="5122" width="8.88671875" bestFit="1" customWidth="1"/>
    <col min="5123" max="5123" width="19.44140625" bestFit="1" customWidth="1"/>
    <col min="5124" max="5124" width="10.5546875" bestFit="1" customWidth="1"/>
    <col min="5125" max="5125" width="18.88671875" customWidth="1"/>
    <col min="5126" max="5126" width="11.109375" bestFit="1" customWidth="1"/>
    <col min="5127" max="5127" width="26.88671875" customWidth="1"/>
    <col min="5376" max="5376" width="68.5546875" bestFit="1" customWidth="1"/>
    <col min="5377" max="5377" width="12.5546875" bestFit="1" customWidth="1"/>
    <col min="5378" max="5378" width="8.88671875" bestFit="1" customWidth="1"/>
    <col min="5379" max="5379" width="19.44140625" bestFit="1" customWidth="1"/>
    <col min="5380" max="5380" width="10.5546875" bestFit="1" customWidth="1"/>
    <col min="5381" max="5381" width="18.88671875" customWidth="1"/>
    <col min="5382" max="5382" width="11.109375" bestFit="1" customWidth="1"/>
    <col min="5383" max="5383" width="26.88671875" customWidth="1"/>
    <col min="5632" max="5632" width="68.5546875" bestFit="1" customWidth="1"/>
    <col min="5633" max="5633" width="12.5546875" bestFit="1" customWidth="1"/>
    <col min="5634" max="5634" width="8.88671875" bestFit="1" customWidth="1"/>
    <col min="5635" max="5635" width="19.44140625" bestFit="1" customWidth="1"/>
    <col min="5636" max="5636" width="10.5546875" bestFit="1" customWidth="1"/>
    <col min="5637" max="5637" width="18.88671875" customWidth="1"/>
    <col min="5638" max="5638" width="11.109375" bestFit="1" customWidth="1"/>
    <col min="5639" max="5639" width="26.88671875" customWidth="1"/>
    <col min="5888" max="5888" width="68.5546875" bestFit="1" customWidth="1"/>
    <col min="5889" max="5889" width="12.5546875" bestFit="1" customWidth="1"/>
    <col min="5890" max="5890" width="8.88671875" bestFit="1" customWidth="1"/>
    <col min="5891" max="5891" width="19.44140625" bestFit="1" customWidth="1"/>
    <col min="5892" max="5892" width="10.5546875" bestFit="1" customWidth="1"/>
    <col min="5893" max="5893" width="18.88671875" customWidth="1"/>
    <col min="5894" max="5894" width="11.109375" bestFit="1" customWidth="1"/>
    <col min="5895" max="5895" width="26.88671875" customWidth="1"/>
    <col min="6144" max="6144" width="68.5546875" bestFit="1" customWidth="1"/>
    <col min="6145" max="6145" width="12.5546875" bestFit="1" customWidth="1"/>
    <col min="6146" max="6146" width="8.88671875" bestFit="1" customWidth="1"/>
    <col min="6147" max="6147" width="19.44140625" bestFit="1" customWidth="1"/>
    <col min="6148" max="6148" width="10.5546875" bestFit="1" customWidth="1"/>
    <col min="6149" max="6149" width="18.88671875" customWidth="1"/>
    <col min="6150" max="6150" width="11.109375" bestFit="1" customWidth="1"/>
    <col min="6151" max="6151" width="26.88671875" customWidth="1"/>
    <col min="6400" max="6400" width="68.5546875" bestFit="1" customWidth="1"/>
    <col min="6401" max="6401" width="12.5546875" bestFit="1" customWidth="1"/>
    <col min="6402" max="6402" width="8.88671875" bestFit="1" customWidth="1"/>
    <col min="6403" max="6403" width="19.44140625" bestFit="1" customWidth="1"/>
    <col min="6404" max="6404" width="10.5546875" bestFit="1" customWidth="1"/>
    <col min="6405" max="6405" width="18.88671875" customWidth="1"/>
    <col min="6406" max="6406" width="11.109375" bestFit="1" customWidth="1"/>
    <col min="6407" max="6407" width="26.88671875" customWidth="1"/>
    <col min="6656" max="6656" width="68.5546875" bestFit="1" customWidth="1"/>
    <col min="6657" max="6657" width="12.5546875" bestFit="1" customWidth="1"/>
    <col min="6658" max="6658" width="8.88671875" bestFit="1" customWidth="1"/>
    <col min="6659" max="6659" width="19.44140625" bestFit="1" customWidth="1"/>
    <col min="6660" max="6660" width="10.5546875" bestFit="1" customWidth="1"/>
    <col min="6661" max="6661" width="18.88671875" customWidth="1"/>
    <col min="6662" max="6662" width="11.109375" bestFit="1" customWidth="1"/>
    <col min="6663" max="6663" width="26.88671875" customWidth="1"/>
    <col min="6912" max="6912" width="68.5546875" bestFit="1" customWidth="1"/>
    <col min="6913" max="6913" width="12.5546875" bestFit="1" customWidth="1"/>
    <col min="6914" max="6914" width="8.88671875" bestFit="1" customWidth="1"/>
    <col min="6915" max="6915" width="19.44140625" bestFit="1" customWidth="1"/>
    <col min="6916" max="6916" width="10.5546875" bestFit="1" customWidth="1"/>
    <col min="6917" max="6917" width="18.88671875" customWidth="1"/>
    <col min="6918" max="6918" width="11.109375" bestFit="1" customWidth="1"/>
    <col min="6919" max="6919" width="26.88671875" customWidth="1"/>
    <col min="7168" max="7168" width="68.5546875" bestFit="1" customWidth="1"/>
    <col min="7169" max="7169" width="12.5546875" bestFit="1" customWidth="1"/>
    <col min="7170" max="7170" width="8.88671875" bestFit="1" customWidth="1"/>
    <col min="7171" max="7171" width="19.44140625" bestFit="1" customWidth="1"/>
    <col min="7172" max="7172" width="10.5546875" bestFit="1" customWidth="1"/>
    <col min="7173" max="7173" width="18.88671875" customWidth="1"/>
    <col min="7174" max="7174" width="11.109375" bestFit="1" customWidth="1"/>
    <col min="7175" max="7175" width="26.88671875" customWidth="1"/>
    <col min="7424" max="7424" width="68.5546875" bestFit="1" customWidth="1"/>
    <col min="7425" max="7425" width="12.5546875" bestFit="1" customWidth="1"/>
    <col min="7426" max="7426" width="8.88671875" bestFit="1" customWidth="1"/>
    <col min="7427" max="7427" width="19.44140625" bestFit="1" customWidth="1"/>
    <col min="7428" max="7428" width="10.5546875" bestFit="1" customWidth="1"/>
    <col min="7429" max="7429" width="18.88671875" customWidth="1"/>
    <col min="7430" max="7430" width="11.109375" bestFit="1" customWidth="1"/>
    <col min="7431" max="7431" width="26.88671875" customWidth="1"/>
    <col min="7680" max="7680" width="68.5546875" bestFit="1" customWidth="1"/>
    <col min="7681" max="7681" width="12.5546875" bestFit="1" customWidth="1"/>
    <col min="7682" max="7682" width="8.88671875" bestFit="1" customWidth="1"/>
    <col min="7683" max="7683" width="19.44140625" bestFit="1" customWidth="1"/>
    <col min="7684" max="7684" width="10.5546875" bestFit="1" customWidth="1"/>
    <col min="7685" max="7685" width="18.88671875" customWidth="1"/>
    <col min="7686" max="7686" width="11.109375" bestFit="1" customWidth="1"/>
    <col min="7687" max="7687" width="26.88671875" customWidth="1"/>
    <col min="7936" max="7936" width="68.5546875" bestFit="1" customWidth="1"/>
    <col min="7937" max="7937" width="12.5546875" bestFit="1" customWidth="1"/>
    <col min="7938" max="7938" width="8.88671875" bestFit="1" customWidth="1"/>
    <col min="7939" max="7939" width="19.44140625" bestFit="1" customWidth="1"/>
    <col min="7940" max="7940" width="10.5546875" bestFit="1" customWidth="1"/>
    <col min="7941" max="7941" width="18.88671875" customWidth="1"/>
    <col min="7942" max="7942" width="11.109375" bestFit="1" customWidth="1"/>
    <col min="7943" max="7943" width="26.88671875" customWidth="1"/>
    <col min="8192" max="8192" width="68.5546875" bestFit="1" customWidth="1"/>
    <col min="8193" max="8193" width="12.5546875" bestFit="1" customWidth="1"/>
    <col min="8194" max="8194" width="8.88671875" bestFit="1" customWidth="1"/>
    <col min="8195" max="8195" width="19.44140625" bestFit="1" customWidth="1"/>
    <col min="8196" max="8196" width="10.5546875" bestFit="1" customWidth="1"/>
    <col min="8197" max="8197" width="18.88671875" customWidth="1"/>
    <col min="8198" max="8198" width="11.109375" bestFit="1" customWidth="1"/>
    <col min="8199" max="8199" width="26.88671875" customWidth="1"/>
    <col min="8448" max="8448" width="68.5546875" bestFit="1" customWidth="1"/>
    <col min="8449" max="8449" width="12.5546875" bestFit="1" customWidth="1"/>
    <col min="8450" max="8450" width="8.88671875" bestFit="1" customWidth="1"/>
    <col min="8451" max="8451" width="19.44140625" bestFit="1" customWidth="1"/>
    <col min="8452" max="8452" width="10.5546875" bestFit="1" customWidth="1"/>
    <col min="8453" max="8453" width="18.88671875" customWidth="1"/>
    <col min="8454" max="8454" width="11.109375" bestFit="1" customWidth="1"/>
    <col min="8455" max="8455" width="26.88671875" customWidth="1"/>
    <col min="8704" max="8704" width="68.5546875" bestFit="1" customWidth="1"/>
    <col min="8705" max="8705" width="12.5546875" bestFit="1" customWidth="1"/>
    <col min="8706" max="8706" width="8.88671875" bestFit="1" customWidth="1"/>
    <col min="8707" max="8707" width="19.44140625" bestFit="1" customWidth="1"/>
    <col min="8708" max="8708" width="10.5546875" bestFit="1" customWidth="1"/>
    <col min="8709" max="8709" width="18.88671875" customWidth="1"/>
    <col min="8710" max="8710" width="11.109375" bestFit="1" customWidth="1"/>
    <col min="8711" max="8711" width="26.88671875" customWidth="1"/>
    <col min="8960" max="8960" width="68.5546875" bestFit="1" customWidth="1"/>
    <col min="8961" max="8961" width="12.5546875" bestFit="1" customWidth="1"/>
    <col min="8962" max="8962" width="8.88671875" bestFit="1" customWidth="1"/>
    <col min="8963" max="8963" width="19.44140625" bestFit="1" customWidth="1"/>
    <col min="8964" max="8964" width="10.5546875" bestFit="1" customWidth="1"/>
    <col min="8965" max="8965" width="18.88671875" customWidth="1"/>
    <col min="8966" max="8966" width="11.109375" bestFit="1" customWidth="1"/>
    <col min="8967" max="8967" width="26.88671875" customWidth="1"/>
    <col min="9216" max="9216" width="68.5546875" bestFit="1" customWidth="1"/>
    <col min="9217" max="9217" width="12.5546875" bestFit="1" customWidth="1"/>
    <col min="9218" max="9218" width="8.88671875" bestFit="1" customWidth="1"/>
    <col min="9219" max="9219" width="19.44140625" bestFit="1" customWidth="1"/>
    <col min="9220" max="9220" width="10.5546875" bestFit="1" customWidth="1"/>
    <col min="9221" max="9221" width="18.88671875" customWidth="1"/>
    <col min="9222" max="9222" width="11.109375" bestFit="1" customWidth="1"/>
    <col min="9223" max="9223" width="26.88671875" customWidth="1"/>
    <col min="9472" max="9472" width="68.5546875" bestFit="1" customWidth="1"/>
    <col min="9473" max="9473" width="12.5546875" bestFit="1" customWidth="1"/>
    <col min="9474" max="9474" width="8.88671875" bestFit="1" customWidth="1"/>
    <col min="9475" max="9475" width="19.44140625" bestFit="1" customWidth="1"/>
    <col min="9476" max="9476" width="10.5546875" bestFit="1" customWidth="1"/>
    <col min="9477" max="9477" width="18.88671875" customWidth="1"/>
    <col min="9478" max="9478" width="11.109375" bestFit="1" customWidth="1"/>
    <col min="9479" max="9479" width="26.88671875" customWidth="1"/>
    <col min="9728" max="9728" width="68.5546875" bestFit="1" customWidth="1"/>
    <col min="9729" max="9729" width="12.5546875" bestFit="1" customWidth="1"/>
    <col min="9730" max="9730" width="8.88671875" bestFit="1" customWidth="1"/>
    <col min="9731" max="9731" width="19.44140625" bestFit="1" customWidth="1"/>
    <col min="9732" max="9732" width="10.5546875" bestFit="1" customWidth="1"/>
    <col min="9733" max="9733" width="18.88671875" customWidth="1"/>
    <col min="9734" max="9734" width="11.109375" bestFit="1" customWidth="1"/>
    <col min="9735" max="9735" width="26.88671875" customWidth="1"/>
    <col min="9984" max="9984" width="68.5546875" bestFit="1" customWidth="1"/>
    <col min="9985" max="9985" width="12.5546875" bestFit="1" customWidth="1"/>
    <col min="9986" max="9986" width="8.88671875" bestFit="1" customWidth="1"/>
    <col min="9987" max="9987" width="19.44140625" bestFit="1" customWidth="1"/>
    <col min="9988" max="9988" width="10.5546875" bestFit="1" customWidth="1"/>
    <col min="9989" max="9989" width="18.88671875" customWidth="1"/>
    <col min="9990" max="9990" width="11.109375" bestFit="1" customWidth="1"/>
    <col min="9991" max="9991" width="26.88671875" customWidth="1"/>
    <col min="10240" max="10240" width="68.5546875" bestFit="1" customWidth="1"/>
    <col min="10241" max="10241" width="12.5546875" bestFit="1" customWidth="1"/>
    <col min="10242" max="10242" width="8.88671875" bestFit="1" customWidth="1"/>
    <col min="10243" max="10243" width="19.44140625" bestFit="1" customWidth="1"/>
    <col min="10244" max="10244" width="10.5546875" bestFit="1" customWidth="1"/>
    <col min="10245" max="10245" width="18.88671875" customWidth="1"/>
    <col min="10246" max="10246" width="11.109375" bestFit="1" customWidth="1"/>
    <col min="10247" max="10247" width="26.88671875" customWidth="1"/>
    <col min="10496" max="10496" width="68.5546875" bestFit="1" customWidth="1"/>
    <col min="10497" max="10497" width="12.5546875" bestFit="1" customWidth="1"/>
    <col min="10498" max="10498" width="8.88671875" bestFit="1" customWidth="1"/>
    <col min="10499" max="10499" width="19.44140625" bestFit="1" customWidth="1"/>
    <col min="10500" max="10500" width="10.5546875" bestFit="1" customWidth="1"/>
    <col min="10501" max="10501" width="18.88671875" customWidth="1"/>
    <col min="10502" max="10502" width="11.109375" bestFit="1" customWidth="1"/>
    <col min="10503" max="10503" width="26.88671875" customWidth="1"/>
    <col min="10752" max="10752" width="68.5546875" bestFit="1" customWidth="1"/>
    <col min="10753" max="10753" width="12.5546875" bestFit="1" customWidth="1"/>
    <col min="10754" max="10754" width="8.88671875" bestFit="1" customWidth="1"/>
    <col min="10755" max="10755" width="19.44140625" bestFit="1" customWidth="1"/>
    <col min="10756" max="10756" width="10.5546875" bestFit="1" customWidth="1"/>
    <col min="10757" max="10757" width="18.88671875" customWidth="1"/>
    <col min="10758" max="10758" width="11.109375" bestFit="1" customWidth="1"/>
    <col min="10759" max="10759" width="26.88671875" customWidth="1"/>
    <col min="11008" max="11008" width="68.5546875" bestFit="1" customWidth="1"/>
    <col min="11009" max="11009" width="12.5546875" bestFit="1" customWidth="1"/>
    <col min="11010" max="11010" width="8.88671875" bestFit="1" customWidth="1"/>
    <col min="11011" max="11011" width="19.44140625" bestFit="1" customWidth="1"/>
    <col min="11012" max="11012" width="10.5546875" bestFit="1" customWidth="1"/>
    <col min="11013" max="11013" width="18.88671875" customWidth="1"/>
    <col min="11014" max="11014" width="11.109375" bestFit="1" customWidth="1"/>
    <col min="11015" max="11015" width="26.88671875" customWidth="1"/>
    <col min="11264" max="11264" width="68.5546875" bestFit="1" customWidth="1"/>
    <col min="11265" max="11265" width="12.5546875" bestFit="1" customWidth="1"/>
    <col min="11266" max="11266" width="8.88671875" bestFit="1" customWidth="1"/>
    <col min="11267" max="11267" width="19.44140625" bestFit="1" customWidth="1"/>
    <col min="11268" max="11268" width="10.5546875" bestFit="1" customWidth="1"/>
    <col min="11269" max="11269" width="18.88671875" customWidth="1"/>
    <col min="11270" max="11270" width="11.109375" bestFit="1" customWidth="1"/>
    <col min="11271" max="11271" width="26.88671875" customWidth="1"/>
    <col min="11520" max="11520" width="68.5546875" bestFit="1" customWidth="1"/>
    <col min="11521" max="11521" width="12.5546875" bestFit="1" customWidth="1"/>
    <col min="11522" max="11522" width="8.88671875" bestFit="1" customWidth="1"/>
    <col min="11523" max="11523" width="19.44140625" bestFit="1" customWidth="1"/>
    <col min="11524" max="11524" width="10.5546875" bestFit="1" customWidth="1"/>
    <col min="11525" max="11525" width="18.88671875" customWidth="1"/>
    <col min="11526" max="11526" width="11.109375" bestFit="1" customWidth="1"/>
    <col min="11527" max="11527" width="26.88671875" customWidth="1"/>
    <col min="11776" max="11776" width="68.5546875" bestFit="1" customWidth="1"/>
    <col min="11777" max="11777" width="12.5546875" bestFit="1" customWidth="1"/>
    <col min="11778" max="11778" width="8.88671875" bestFit="1" customWidth="1"/>
    <col min="11779" max="11779" width="19.44140625" bestFit="1" customWidth="1"/>
    <col min="11780" max="11780" width="10.5546875" bestFit="1" customWidth="1"/>
    <col min="11781" max="11781" width="18.88671875" customWidth="1"/>
    <col min="11782" max="11782" width="11.109375" bestFit="1" customWidth="1"/>
    <col min="11783" max="11783" width="26.88671875" customWidth="1"/>
    <col min="12032" max="12032" width="68.5546875" bestFit="1" customWidth="1"/>
    <col min="12033" max="12033" width="12.5546875" bestFit="1" customWidth="1"/>
    <col min="12034" max="12034" width="8.88671875" bestFit="1" customWidth="1"/>
    <col min="12035" max="12035" width="19.44140625" bestFit="1" customWidth="1"/>
    <col min="12036" max="12036" width="10.5546875" bestFit="1" customWidth="1"/>
    <col min="12037" max="12037" width="18.88671875" customWidth="1"/>
    <col min="12038" max="12038" width="11.109375" bestFit="1" customWidth="1"/>
    <col min="12039" max="12039" width="26.88671875" customWidth="1"/>
    <col min="12288" max="12288" width="68.5546875" bestFit="1" customWidth="1"/>
    <col min="12289" max="12289" width="12.5546875" bestFit="1" customWidth="1"/>
    <col min="12290" max="12290" width="8.88671875" bestFit="1" customWidth="1"/>
    <col min="12291" max="12291" width="19.44140625" bestFit="1" customWidth="1"/>
    <col min="12292" max="12292" width="10.5546875" bestFit="1" customWidth="1"/>
    <col min="12293" max="12293" width="18.88671875" customWidth="1"/>
    <col min="12294" max="12294" width="11.109375" bestFit="1" customWidth="1"/>
    <col min="12295" max="12295" width="26.88671875" customWidth="1"/>
    <col min="12544" max="12544" width="68.5546875" bestFit="1" customWidth="1"/>
    <col min="12545" max="12545" width="12.5546875" bestFit="1" customWidth="1"/>
    <col min="12546" max="12546" width="8.88671875" bestFit="1" customWidth="1"/>
    <col min="12547" max="12547" width="19.44140625" bestFit="1" customWidth="1"/>
    <col min="12548" max="12548" width="10.5546875" bestFit="1" customWidth="1"/>
    <col min="12549" max="12549" width="18.88671875" customWidth="1"/>
    <col min="12550" max="12550" width="11.109375" bestFit="1" customWidth="1"/>
    <col min="12551" max="12551" width="26.88671875" customWidth="1"/>
    <col min="12800" max="12800" width="68.5546875" bestFit="1" customWidth="1"/>
    <col min="12801" max="12801" width="12.5546875" bestFit="1" customWidth="1"/>
    <col min="12802" max="12802" width="8.88671875" bestFit="1" customWidth="1"/>
    <col min="12803" max="12803" width="19.44140625" bestFit="1" customWidth="1"/>
    <col min="12804" max="12804" width="10.5546875" bestFit="1" customWidth="1"/>
    <col min="12805" max="12805" width="18.88671875" customWidth="1"/>
    <col min="12806" max="12806" width="11.109375" bestFit="1" customWidth="1"/>
    <col min="12807" max="12807" width="26.88671875" customWidth="1"/>
    <col min="13056" max="13056" width="68.5546875" bestFit="1" customWidth="1"/>
    <col min="13057" max="13057" width="12.5546875" bestFit="1" customWidth="1"/>
    <col min="13058" max="13058" width="8.88671875" bestFit="1" customWidth="1"/>
    <col min="13059" max="13059" width="19.44140625" bestFit="1" customWidth="1"/>
    <col min="13060" max="13060" width="10.5546875" bestFit="1" customWidth="1"/>
    <col min="13061" max="13061" width="18.88671875" customWidth="1"/>
    <col min="13062" max="13062" width="11.109375" bestFit="1" customWidth="1"/>
    <col min="13063" max="13063" width="26.88671875" customWidth="1"/>
    <col min="13312" max="13312" width="68.5546875" bestFit="1" customWidth="1"/>
    <col min="13313" max="13313" width="12.5546875" bestFit="1" customWidth="1"/>
    <col min="13314" max="13314" width="8.88671875" bestFit="1" customWidth="1"/>
    <col min="13315" max="13315" width="19.44140625" bestFit="1" customWidth="1"/>
    <col min="13316" max="13316" width="10.5546875" bestFit="1" customWidth="1"/>
    <col min="13317" max="13317" width="18.88671875" customWidth="1"/>
    <col min="13318" max="13318" width="11.109375" bestFit="1" customWidth="1"/>
    <col min="13319" max="13319" width="26.88671875" customWidth="1"/>
    <col min="13568" max="13568" width="68.5546875" bestFit="1" customWidth="1"/>
    <col min="13569" max="13569" width="12.5546875" bestFit="1" customWidth="1"/>
    <col min="13570" max="13570" width="8.88671875" bestFit="1" customWidth="1"/>
    <col min="13571" max="13571" width="19.44140625" bestFit="1" customWidth="1"/>
    <col min="13572" max="13572" width="10.5546875" bestFit="1" customWidth="1"/>
    <col min="13573" max="13573" width="18.88671875" customWidth="1"/>
    <col min="13574" max="13574" width="11.109375" bestFit="1" customWidth="1"/>
    <col min="13575" max="13575" width="26.88671875" customWidth="1"/>
    <col min="13824" max="13824" width="68.5546875" bestFit="1" customWidth="1"/>
    <col min="13825" max="13825" width="12.5546875" bestFit="1" customWidth="1"/>
    <col min="13826" max="13826" width="8.88671875" bestFit="1" customWidth="1"/>
    <col min="13827" max="13827" width="19.44140625" bestFit="1" customWidth="1"/>
    <col min="13828" max="13828" width="10.5546875" bestFit="1" customWidth="1"/>
    <col min="13829" max="13829" width="18.88671875" customWidth="1"/>
    <col min="13830" max="13830" width="11.109375" bestFit="1" customWidth="1"/>
    <col min="13831" max="13831" width="26.88671875" customWidth="1"/>
    <col min="14080" max="14080" width="68.5546875" bestFit="1" customWidth="1"/>
    <col min="14081" max="14081" width="12.5546875" bestFit="1" customWidth="1"/>
    <col min="14082" max="14082" width="8.88671875" bestFit="1" customWidth="1"/>
    <col min="14083" max="14083" width="19.44140625" bestFit="1" customWidth="1"/>
    <col min="14084" max="14084" width="10.5546875" bestFit="1" customWidth="1"/>
    <col min="14085" max="14085" width="18.88671875" customWidth="1"/>
    <col min="14086" max="14086" width="11.109375" bestFit="1" customWidth="1"/>
    <col min="14087" max="14087" width="26.88671875" customWidth="1"/>
    <col min="14336" max="14336" width="68.5546875" bestFit="1" customWidth="1"/>
    <col min="14337" max="14337" width="12.5546875" bestFit="1" customWidth="1"/>
    <col min="14338" max="14338" width="8.88671875" bestFit="1" customWidth="1"/>
    <col min="14339" max="14339" width="19.44140625" bestFit="1" customWidth="1"/>
    <col min="14340" max="14340" width="10.5546875" bestFit="1" customWidth="1"/>
    <col min="14341" max="14341" width="18.88671875" customWidth="1"/>
    <col min="14342" max="14342" width="11.109375" bestFit="1" customWidth="1"/>
    <col min="14343" max="14343" width="26.88671875" customWidth="1"/>
    <col min="14592" max="14592" width="68.5546875" bestFit="1" customWidth="1"/>
    <col min="14593" max="14593" width="12.5546875" bestFit="1" customWidth="1"/>
    <col min="14594" max="14594" width="8.88671875" bestFit="1" customWidth="1"/>
    <col min="14595" max="14595" width="19.44140625" bestFit="1" customWidth="1"/>
    <col min="14596" max="14596" width="10.5546875" bestFit="1" customWidth="1"/>
    <col min="14597" max="14597" width="18.88671875" customWidth="1"/>
    <col min="14598" max="14598" width="11.109375" bestFit="1" customWidth="1"/>
    <col min="14599" max="14599" width="26.88671875" customWidth="1"/>
    <col min="14848" max="14848" width="68.5546875" bestFit="1" customWidth="1"/>
    <col min="14849" max="14849" width="12.5546875" bestFit="1" customWidth="1"/>
    <col min="14850" max="14850" width="8.88671875" bestFit="1" customWidth="1"/>
    <col min="14851" max="14851" width="19.44140625" bestFit="1" customWidth="1"/>
    <col min="14852" max="14852" width="10.5546875" bestFit="1" customWidth="1"/>
    <col min="14853" max="14853" width="18.88671875" customWidth="1"/>
    <col min="14854" max="14854" width="11.109375" bestFit="1" customWidth="1"/>
    <col min="14855" max="14855" width="26.88671875" customWidth="1"/>
    <col min="15104" max="15104" width="68.5546875" bestFit="1" customWidth="1"/>
    <col min="15105" max="15105" width="12.5546875" bestFit="1" customWidth="1"/>
    <col min="15106" max="15106" width="8.88671875" bestFit="1" customWidth="1"/>
    <col min="15107" max="15107" width="19.44140625" bestFit="1" customWidth="1"/>
    <col min="15108" max="15108" width="10.5546875" bestFit="1" customWidth="1"/>
    <col min="15109" max="15109" width="18.88671875" customWidth="1"/>
    <col min="15110" max="15110" width="11.109375" bestFit="1" customWidth="1"/>
    <col min="15111" max="15111" width="26.88671875" customWidth="1"/>
    <col min="15360" max="15360" width="68.5546875" bestFit="1" customWidth="1"/>
    <col min="15361" max="15361" width="12.5546875" bestFit="1" customWidth="1"/>
    <col min="15362" max="15362" width="8.88671875" bestFit="1" customWidth="1"/>
    <col min="15363" max="15363" width="19.44140625" bestFit="1" customWidth="1"/>
    <col min="15364" max="15364" width="10.5546875" bestFit="1" customWidth="1"/>
    <col min="15365" max="15365" width="18.88671875" customWidth="1"/>
    <col min="15366" max="15366" width="11.109375" bestFit="1" customWidth="1"/>
    <col min="15367" max="15367" width="26.88671875" customWidth="1"/>
    <col min="15616" max="15616" width="68.5546875" bestFit="1" customWidth="1"/>
    <col min="15617" max="15617" width="12.5546875" bestFit="1" customWidth="1"/>
    <col min="15618" max="15618" width="8.88671875" bestFit="1" customWidth="1"/>
    <col min="15619" max="15619" width="19.44140625" bestFit="1" customWidth="1"/>
    <col min="15620" max="15620" width="10.5546875" bestFit="1" customWidth="1"/>
    <col min="15621" max="15621" width="18.88671875" customWidth="1"/>
    <col min="15622" max="15622" width="11.109375" bestFit="1" customWidth="1"/>
    <col min="15623" max="15623" width="26.88671875" customWidth="1"/>
    <col min="15872" max="15872" width="68.5546875" bestFit="1" customWidth="1"/>
    <col min="15873" max="15873" width="12.5546875" bestFit="1" customWidth="1"/>
    <col min="15874" max="15874" width="8.88671875" bestFit="1" customWidth="1"/>
    <col min="15875" max="15875" width="19.44140625" bestFit="1" customWidth="1"/>
    <col min="15876" max="15876" width="10.5546875" bestFit="1" customWidth="1"/>
    <col min="15877" max="15877" width="18.88671875" customWidth="1"/>
    <col min="15878" max="15878" width="11.109375" bestFit="1" customWidth="1"/>
    <col min="15879" max="15879" width="26.88671875" customWidth="1"/>
    <col min="16128" max="16128" width="68.5546875" bestFit="1" customWidth="1"/>
    <col min="16129" max="16129" width="12.5546875" bestFit="1" customWidth="1"/>
    <col min="16130" max="16130" width="8.88671875" bestFit="1" customWidth="1"/>
    <col min="16131" max="16131" width="19.44140625" bestFit="1" customWidth="1"/>
    <col min="16132" max="16132" width="10.5546875" bestFit="1" customWidth="1"/>
    <col min="16133" max="16133" width="18.88671875" customWidth="1"/>
    <col min="16134" max="16134" width="11.109375" bestFit="1" customWidth="1"/>
    <col min="16135" max="16135" width="26.88671875" customWidth="1"/>
  </cols>
  <sheetData>
    <row r="1" spans="1:15">
      <c r="A1" s="194" t="s">
        <v>265</v>
      </c>
    </row>
    <row r="2" spans="1:15">
      <c r="A2" s="197" t="s">
        <v>294</v>
      </c>
      <c r="B2" s="198"/>
      <c r="C2" s="199"/>
      <c r="D2" s="200"/>
      <c r="E2" s="200"/>
      <c r="F2" s="200"/>
      <c r="G2" s="201"/>
      <c r="H2" s="201"/>
      <c r="I2" s="201"/>
      <c r="J2" s="201"/>
      <c r="K2" s="201"/>
    </row>
    <row r="3" spans="1:15">
      <c r="A3" s="202" t="s">
        <v>224</v>
      </c>
      <c r="B3" s="201"/>
      <c r="C3" s="203"/>
      <c r="D3" s="204"/>
      <c r="E3" s="204" t="s">
        <v>225</v>
      </c>
      <c r="F3" s="200"/>
      <c r="G3" s="201"/>
      <c r="H3" s="201"/>
      <c r="I3" s="205"/>
      <c r="J3" s="201"/>
      <c r="K3" s="201"/>
    </row>
    <row r="4" spans="1:15">
      <c r="A4" s="201"/>
      <c r="B4" s="201"/>
      <c r="C4" s="203" t="s">
        <v>226</v>
      </c>
      <c r="D4" s="204" t="s">
        <v>227</v>
      </c>
      <c r="E4" s="204" t="s">
        <v>228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5">
      <c r="A5" s="201"/>
      <c r="B5" s="201"/>
      <c r="C5" s="203" t="s">
        <v>229</v>
      </c>
      <c r="D5" s="204" t="s">
        <v>10</v>
      </c>
      <c r="E5" s="206">
        <v>45658</v>
      </c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1:15">
      <c r="A6" s="197"/>
      <c r="B6" s="197"/>
      <c r="C6" s="207"/>
      <c r="D6" s="200"/>
      <c r="E6" s="200"/>
      <c r="F6" s="207"/>
      <c r="G6" s="207"/>
      <c r="H6" s="207"/>
      <c r="I6" s="207"/>
      <c r="J6" s="207"/>
      <c r="K6" s="207"/>
      <c r="L6" s="207"/>
      <c r="M6" s="207"/>
      <c r="N6" s="207"/>
      <c r="O6" s="207"/>
    </row>
    <row r="7" spans="1:15">
      <c r="A7" s="197" t="s">
        <v>288</v>
      </c>
      <c r="B7" s="197"/>
      <c r="C7" s="207"/>
      <c r="D7" s="200"/>
      <c r="E7" s="200"/>
      <c r="F7" s="207"/>
      <c r="G7" s="207"/>
      <c r="H7" s="207"/>
      <c r="I7" s="207"/>
      <c r="J7" s="207"/>
      <c r="K7" s="207"/>
      <c r="L7" s="207"/>
      <c r="M7" s="207"/>
      <c r="N7" s="207"/>
      <c r="O7" s="207"/>
    </row>
    <row r="8" spans="1:15">
      <c r="A8" s="208" t="s">
        <v>230</v>
      </c>
      <c r="B8" s="201"/>
      <c r="C8" s="200">
        <f>'Calcs '!M2</f>
        <v>16.912509025532799</v>
      </c>
      <c r="D8" s="200">
        <f>'Calcs '!L2</f>
        <v>0.56677765482228903</v>
      </c>
      <c r="E8" s="207">
        <f>C8+D8</f>
        <v>17.479286680355088</v>
      </c>
      <c r="F8" s="207"/>
      <c r="G8" s="207"/>
      <c r="H8" s="207"/>
      <c r="I8" s="207"/>
      <c r="J8" s="207"/>
      <c r="K8" s="207"/>
      <c r="L8" s="207"/>
      <c r="M8" s="207"/>
      <c r="N8" s="207"/>
      <c r="O8" s="207"/>
    </row>
    <row r="9" spans="1:15">
      <c r="A9" s="208" t="s">
        <v>231</v>
      </c>
      <c r="B9" s="201"/>
      <c r="C9" s="200">
        <f>'Calcs '!M3</f>
        <v>24.744265343405758</v>
      </c>
      <c r="D9" s="200">
        <f>'Calcs '!L3</f>
        <v>0.96352201319789132</v>
      </c>
      <c r="E9" s="207">
        <f t="shared" ref="E9:E92" si="0">C9+D9</f>
        <v>25.707787356603649</v>
      </c>
      <c r="F9" s="207"/>
      <c r="G9" s="207"/>
      <c r="H9" s="207"/>
      <c r="I9" s="207"/>
      <c r="J9" s="207"/>
      <c r="K9" s="207"/>
      <c r="L9" s="207"/>
      <c r="M9" s="207"/>
      <c r="N9" s="207"/>
      <c r="O9" s="207"/>
    </row>
    <row r="10" spans="1:15">
      <c r="A10" s="208" t="s">
        <v>232</v>
      </c>
      <c r="B10" s="201"/>
      <c r="C10" s="200">
        <f>'Calcs '!M4</f>
        <v>41.341398015108638</v>
      </c>
      <c r="D10" s="200">
        <f>'Calcs '!L4</f>
        <v>1.4452830197968369</v>
      </c>
      <c r="E10" s="207">
        <f t="shared" si="0"/>
        <v>42.786681034905477</v>
      </c>
      <c r="F10" s="207"/>
      <c r="G10" s="207"/>
      <c r="H10" s="207"/>
      <c r="I10" s="207"/>
      <c r="J10" s="207"/>
      <c r="K10" s="207"/>
      <c r="L10" s="207"/>
      <c r="M10" s="207"/>
      <c r="N10" s="207"/>
      <c r="O10" s="207"/>
    </row>
    <row r="11" spans="1:15">
      <c r="A11" s="209" t="s">
        <v>233</v>
      </c>
      <c r="B11" s="210"/>
      <c r="C11" s="211">
        <f>'Calcs '!M47</f>
        <v>60.04317154849489</v>
      </c>
      <c r="D11" s="211">
        <f>'Calcs '!L47</f>
        <v>2.1804154372419164</v>
      </c>
      <c r="E11" s="211">
        <f t="shared" ref="E11" si="1">C11+D11</f>
        <v>62.223586985736809</v>
      </c>
      <c r="F11" s="207"/>
      <c r="G11" s="207"/>
      <c r="H11" s="207"/>
      <c r="I11" s="207"/>
      <c r="J11" s="207"/>
      <c r="K11" s="207"/>
      <c r="L11" s="207"/>
      <c r="M11" s="207"/>
      <c r="N11" s="207"/>
      <c r="O11" s="207"/>
    </row>
    <row r="12" spans="1:15">
      <c r="A12" s="209" t="s">
        <v>234</v>
      </c>
      <c r="B12" s="210"/>
      <c r="C12" s="211">
        <f>'Calcs '!M48</f>
        <v>77.625294028623429</v>
      </c>
      <c r="D12" s="211">
        <f>'Calcs '!L48</f>
        <v>2.7467571092528034</v>
      </c>
      <c r="E12" s="211">
        <f t="shared" si="0"/>
        <v>80.372051137876227</v>
      </c>
      <c r="F12" s="207"/>
      <c r="G12" s="207"/>
      <c r="H12" s="207"/>
      <c r="I12" s="207"/>
      <c r="J12" s="207"/>
      <c r="K12" s="207"/>
      <c r="L12" s="207"/>
      <c r="M12" s="207"/>
      <c r="N12" s="207"/>
      <c r="O12" s="207"/>
    </row>
    <row r="13" spans="1:15">
      <c r="A13" s="209" t="s">
        <v>235</v>
      </c>
      <c r="B13" s="210"/>
      <c r="C13" s="211">
        <f>'Calcs '!M49</f>
        <v>94.57741650875198</v>
      </c>
      <c r="D13" s="211">
        <f>'Calcs '!L49</f>
        <v>3.3130987812636912</v>
      </c>
      <c r="E13" s="211">
        <f t="shared" si="0"/>
        <v>97.890515290015671</v>
      </c>
      <c r="F13" s="207"/>
      <c r="G13" s="207"/>
      <c r="H13" s="207"/>
      <c r="I13" s="207"/>
      <c r="J13" s="207"/>
      <c r="K13" s="207"/>
      <c r="L13" s="207"/>
      <c r="M13" s="207"/>
      <c r="N13" s="207"/>
      <c r="O13" s="207"/>
    </row>
    <row r="14" spans="1:15">
      <c r="A14" s="208" t="s">
        <v>236</v>
      </c>
      <c r="B14" s="201"/>
      <c r="C14" s="200">
        <f>'Calcs '!M5</f>
        <v>25.579641697235676</v>
      </c>
      <c r="D14" s="200">
        <f>'Calcs '!L5</f>
        <v>1.0485386614212346</v>
      </c>
      <c r="E14" s="207">
        <f t="shared" si="0"/>
        <v>26.628180358656909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</row>
    <row r="15" spans="1:15">
      <c r="A15" s="208" t="s">
        <v>237</v>
      </c>
      <c r="B15" s="201"/>
      <c r="C15" s="200">
        <f>'Calcs '!M6</f>
        <v>37.770896210002078</v>
      </c>
      <c r="D15" s="200">
        <f>'Calcs '!L6</f>
        <v>1.3319274888323791</v>
      </c>
      <c r="E15" s="207">
        <f t="shared" si="0"/>
        <v>39.102823698834456</v>
      </c>
      <c r="F15" s="207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15">
      <c r="A16" s="208" t="s">
        <v>238</v>
      </c>
      <c r="B16" s="201"/>
      <c r="C16" s="200">
        <f>'Calcs '!M7</f>
        <v>52.478530686811517</v>
      </c>
      <c r="D16" s="200">
        <f>'Calcs '!L7</f>
        <v>1.9270440263957826</v>
      </c>
      <c r="E16" s="207">
        <f t="shared" si="0"/>
        <v>54.405574713207301</v>
      </c>
      <c r="F16" s="207"/>
      <c r="G16" s="207"/>
      <c r="H16" s="207"/>
      <c r="I16" s="207"/>
      <c r="J16" s="207"/>
      <c r="K16" s="207"/>
      <c r="L16" s="207"/>
      <c r="M16" s="207"/>
      <c r="N16" s="207"/>
      <c r="O16" s="207"/>
    </row>
    <row r="17" spans="1:15">
      <c r="A17" s="208" t="s">
        <v>93</v>
      </c>
      <c r="B17" s="201"/>
      <c r="C17" s="200">
        <f>'Calcs '!M8</f>
        <v>9.5771381561705606</v>
      </c>
      <c r="D17" s="200">
        <f>'Calcs '!L8</f>
        <v>0.22235123381489802</v>
      </c>
      <c r="E17" s="207">
        <f t="shared" si="0"/>
        <v>9.7994893899854585</v>
      </c>
      <c r="F17" s="207"/>
      <c r="G17" s="207"/>
      <c r="H17" s="207"/>
      <c r="I17" s="207"/>
      <c r="J17" s="207"/>
      <c r="K17" s="207"/>
      <c r="L17" s="207"/>
      <c r="M17" s="207"/>
      <c r="N17" s="207"/>
      <c r="O17" s="207"/>
    </row>
    <row r="18" spans="1:15">
      <c r="A18" s="208" t="s">
        <v>285</v>
      </c>
      <c r="B18" s="201"/>
      <c r="C18" s="200">
        <f>'Calcs '!M52</f>
        <v>32.838926588237804</v>
      </c>
      <c r="D18" s="200">
        <f>'Calcs '!L52</f>
        <v>1.0477320932201415</v>
      </c>
      <c r="E18" s="207">
        <f t="shared" si="0"/>
        <v>33.886658681457945</v>
      </c>
      <c r="F18" s="207"/>
      <c r="G18" s="207"/>
      <c r="H18" s="207"/>
      <c r="I18" s="207"/>
      <c r="J18" s="207"/>
      <c r="K18" s="207"/>
      <c r="L18" s="207"/>
      <c r="M18" s="207"/>
      <c r="N18" s="207"/>
      <c r="O18" s="207"/>
    </row>
    <row r="19" spans="1:15">
      <c r="A19" s="208" t="s">
        <v>286</v>
      </c>
      <c r="B19" s="201"/>
      <c r="C19" s="200">
        <f>'Calcs '!M53</f>
        <v>34.199987828302078</v>
      </c>
      <c r="D19" s="200">
        <f>'Calcs '!L53</f>
        <v>1.3309029292255852</v>
      </c>
      <c r="E19" s="207">
        <f t="shared" ref="E19:E20" si="2">C19+D19</f>
        <v>35.530890757527665</v>
      </c>
      <c r="F19" s="207"/>
      <c r="G19" s="207"/>
      <c r="H19" s="207"/>
      <c r="I19" s="207"/>
      <c r="J19" s="207"/>
      <c r="K19" s="207"/>
      <c r="L19" s="207"/>
      <c r="M19" s="207"/>
      <c r="N19" s="207"/>
      <c r="O19" s="207"/>
    </row>
    <row r="20" spans="1:15">
      <c r="A20" s="208" t="s">
        <v>287</v>
      </c>
      <c r="B20" s="201"/>
      <c r="C20" s="200">
        <f>'Calcs '!M54</f>
        <v>53.767216432437046</v>
      </c>
      <c r="D20" s="200">
        <f>'Calcs '!L54</f>
        <v>1.925561684837017</v>
      </c>
      <c r="E20" s="207">
        <f t="shared" si="2"/>
        <v>55.692778117274059</v>
      </c>
      <c r="F20" s="207"/>
      <c r="G20" s="207"/>
      <c r="H20" s="207"/>
      <c r="I20" s="207"/>
      <c r="J20" s="207"/>
      <c r="K20" s="207"/>
      <c r="L20" s="207"/>
      <c r="M20" s="207"/>
      <c r="N20" s="207"/>
      <c r="O20" s="207"/>
    </row>
    <row r="21" spans="1:15">
      <c r="A21" s="201"/>
      <c r="B21" s="201"/>
      <c r="C21" s="200"/>
      <c r="D21" s="200"/>
      <c r="E21" s="200"/>
      <c r="F21" s="207"/>
      <c r="G21" s="207"/>
      <c r="H21" s="207"/>
      <c r="I21" s="207"/>
      <c r="J21" s="207"/>
      <c r="K21" s="207"/>
      <c r="L21" s="207"/>
      <c r="M21" s="207"/>
      <c r="N21" s="207"/>
      <c r="O21" s="207"/>
    </row>
    <row r="22" spans="1:15">
      <c r="A22" s="197" t="s">
        <v>289</v>
      </c>
      <c r="B22" s="197"/>
      <c r="C22" s="200"/>
      <c r="D22" s="200"/>
      <c r="E22" s="200"/>
      <c r="F22" s="207"/>
      <c r="G22" s="207"/>
      <c r="H22" s="207"/>
      <c r="I22" s="207"/>
      <c r="J22" s="207"/>
      <c r="K22" s="207"/>
      <c r="L22" s="207"/>
      <c r="M22" s="207"/>
      <c r="N22" s="207"/>
      <c r="O22" s="207"/>
    </row>
    <row r="23" spans="1:15">
      <c r="A23" s="208" t="s">
        <v>230</v>
      </c>
      <c r="B23" s="201"/>
      <c r="C23" s="200">
        <f>'Calcs '!M9</f>
        <v>16.342509025532799</v>
      </c>
      <c r="D23" s="200">
        <f>'Calcs '!L9</f>
        <v>0.56677765482228892</v>
      </c>
      <c r="E23" s="207">
        <f t="shared" si="0"/>
        <v>16.909286680355088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</row>
    <row r="24" spans="1:15">
      <c r="A24" s="208" t="s">
        <v>231</v>
      </c>
      <c r="B24" s="201"/>
      <c r="C24" s="200">
        <f>'Calcs '!M10</f>
        <v>23.784265343405757</v>
      </c>
      <c r="D24" s="200">
        <f>'Calcs '!L10</f>
        <v>0.96352201319789121</v>
      </c>
      <c r="E24" s="207">
        <f t="shared" si="0"/>
        <v>24.747787356603649</v>
      </c>
      <c r="F24" s="207"/>
      <c r="G24" s="207"/>
      <c r="H24" s="207"/>
      <c r="I24" s="207"/>
      <c r="J24" s="207"/>
      <c r="K24" s="207"/>
      <c r="L24" s="207"/>
      <c r="M24" s="207"/>
      <c r="N24" s="207"/>
      <c r="O24" s="207"/>
    </row>
    <row r="25" spans="1:15">
      <c r="A25" s="208" t="s">
        <v>232</v>
      </c>
      <c r="B25" s="201"/>
      <c r="C25" s="200">
        <f>'Calcs '!M11</f>
        <v>39.891398015108635</v>
      </c>
      <c r="D25" s="200">
        <f>'Calcs '!L11</f>
        <v>1.4452830197968372</v>
      </c>
      <c r="E25" s="207">
        <f t="shared" si="0"/>
        <v>41.336681034905475</v>
      </c>
      <c r="F25" s="207"/>
      <c r="G25" s="207"/>
      <c r="H25" s="207"/>
      <c r="I25" s="207"/>
      <c r="J25" s="207"/>
      <c r="K25" s="207"/>
      <c r="L25" s="207"/>
      <c r="M25" s="207"/>
      <c r="N25" s="207"/>
      <c r="O25" s="207"/>
    </row>
    <row r="26" spans="1:15">
      <c r="A26" s="208" t="s">
        <v>233</v>
      </c>
      <c r="B26" s="201"/>
      <c r="C26" s="200">
        <f>'Calcs '!M12</f>
        <v>57.854659748301273</v>
      </c>
      <c r="D26" s="200">
        <f>'Calcs '!L12</f>
        <v>2.1820939710658127</v>
      </c>
      <c r="E26" s="207">
        <f t="shared" si="0"/>
        <v>60.036753719367084</v>
      </c>
      <c r="F26" s="207"/>
      <c r="G26" s="207"/>
      <c r="H26" s="207"/>
      <c r="I26" s="207"/>
      <c r="J26" s="207"/>
      <c r="K26" s="207"/>
      <c r="L26" s="207"/>
      <c r="M26" s="207"/>
      <c r="N26" s="207"/>
      <c r="O26" s="207"/>
    </row>
    <row r="27" spans="1:15">
      <c r="A27" s="209" t="s">
        <v>234</v>
      </c>
      <c r="B27" s="210"/>
      <c r="C27" s="211">
        <f>'Calcs '!M50</f>
        <v>76.995294028623434</v>
      </c>
      <c r="D27" s="211">
        <f>'Calcs '!L50</f>
        <v>2.7467571092528034</v>
      </c>
      <c r="E27" s="211">
        <f t="shared" si="0"/>
        <v>79.742051137876231</v>
      </c>
      <c r="F27" s="207"/>
      <c r="G27" s="207"/>
      <c r="H27" s="207"/>
      <c r="I27" s="207"/>
      <c r="J27" s="207"/>
      <c r="K27" s="207"/>
      <c r="L27" s="207"/>
      <c r="M27" s="207"/>
      <c r="N27" s="207"/>
      <c r="O27" s="207"/>
    </row>
    <row r="28" spans="1:15">
      <c r="A28" s="209" t="s">
        <v>235</v>
      </c>
      <c r="B28" s="210"/>
      <c r="C28" s="211">
        <f>'Calcs '!M51</f>
        <v>93.797416508751979</v>
      </c>
      <c r="D28" s="211">
        <f>'Calcs '!L51</f>
        <v>3.3130987812636912</v>
      </c>
      <c r="E28" s="211">
        <f t="shared" si="0"/>
        <v>97.11051529001567</v>
      </c>
      <c r="F28" s="207"/>
      <c r="G28" s="207"/>
      <c r="H28" s="207"/>
      <c r="I28" s="207"/>
      <c r="J28" s="207"/>
      <c r="K28" s="207"/>
      <c r="L28" s="207"/>
      <c r="M28" s="207"/>
      <c r="N28" s="207"/>
      <c r="O28" s="207"/>
    </row>
    <row r="29" spans="1:15">
      <c r="A29" s="208" t="s">
        <v>236</v>
      </c>
      <c r="B29" s="201"/>
      <c r="C29" s="200">
        <f>'Calcs '!M13</f>
        <v>24.609641697235677</v>
      </c>
      <c r="D29" s="200">
        <f>'Calcs '!L13</f>
        <v>1.0485386614212346</v>
      </c>
      <c r="E29" s="207">
        <f t="shared" si="0"/>
        <v>25.65818035865691</v>
      </c>
      <c r="F29" s="207"/>
      <c r="G29" s="207"/>
      <c r="H29" s="207"/>
      <c r="I29" s="207"/>
      <c r="J29" s="207"/>
      <c r="K29" s="207"/>
      <c r="L29" s="207"/>
      <c r="M29" s="207"/>
      <c r="N29" s="207"/>
      <c r="O29" s="207"/>
    </row>
    <row r="30" spans="1:15">
      <c r="A30" s="208" t="s">
        <v>237</v>
      </c>
      <c r="B30" s="201"/>
      <c r="C30" s="200">
        <f>'Calcs '!M14</f>
        <v>36.430896210002075</v>
      </c>
      <c r="D30" s="200">
        <f>'Calcs '!L14</f>
        <v>1.3319274888323793</v>
      </c>
      <c r="E30" s="207">
        <f t="shared" ref="E30:E33" si="3">C30+D30</f>
        <v>37.762823698834453</v>
      </c>
      <c r="F30" s="207"/>
      <c r="G30" s="207"/>
      <c r="H30" s="207"/>
      <c r="I30" s="207"/>
      <c r="J30" s="207"/>
      <c r="K30" s="207"/>
      <c r="L30" s="207"/>
      <c r="M30" s="207"/>
      <c r="N30" s="207"/>
      <c r="O30" s="207"/>
    </row>
    <row r="31" spans="1:15">
      <c r="A31" s="208" t="s">
        <v>238</v>
      </c>
      <c r="B31" s="201"/>
      <c r="C31" s="200">
        <f>'Calcs '!M15</f>
        <v>50.548530686811517</v>
      </c>
      <c r="D31" s="200">
        <f>'Calcs '!L15</f>
        <v>1.9270440263957824</v>
      </c>
      <c r="E31" s="207">
        <f t="shared" si="3"/>
        <v>52.475574713207301</v>
      </c>
      <c r="F31" s="207"/>
      <c r="G31" s="207"/>
      <c r="H31" s="207"/>
      <c r="I31" s="207"/>
      <c r="J31" s="207"/>
      <c r="K31" s="207"/>
      <c r="L31" s="207"/>
      <c r="M31" s="207"/>
      <c r="N31" s="207"/>
      <c r="O31" s="207"/>
    </row>
    <row r="32" spans="1:15">
      <c r="A32" s="208" t="s">
        <v>93</v>
      </c>
      <c r="B32" s="201"/>
      <c r="C32" s="200">
        <f>'Calcs '!M16</f>
        <v>9.3471381561705602</v>
      </c>
      <c r="D32" s="200">
        <f>'Calcs '!L16</f>
        <v>0.22235123381489802</v>
      </c>
      <c r="E32" s="207">
        <f t="shared" si="3"/>
        <v>9.5694893899854581</v>
      </c>
      <c r="F32" s="207"/>
      <c r="G32" s="207"/>
      <c r="H32" s="207"/>
      <c r="I32" s="207"/>
      <c r="J32" s="207"/>
      <c r="K32" s="207"/>
      <c r="L32" s="207"/>
      <c r="M32" s="207"/>
      <c r="N32" s="207"/>
      <c r="O32" s="207"/>
    </row>
    <row r="33" spans="1:27">
      <c r="A33" s="208" t="s">
        <v>285</v>
      </c>
      <c r="B33" s="201"/>
      <c r="C33" s="200">
        <f>'Calcs '!M52</f>
        <v>32.838926588237804</v>
      </c>
      <c r="D33" s="200">
        <f>'Calcs '!L52</f>
        <v>1.0477320932201415</v>
      </c>
      <c r="E33" s="207">
        <f t="shared" si="3"/>
        <v>33.886658681457945</v>
      </c>
      <c r="F33" s="207"/>
      <c r="G33" s="207"/>
      <c r="H33" s="207"/>
      <c r="I33" s="207"/>
      <c r="J33" s="207"/>
      <c r="K33" s="207"/>
      <c r="L33" s="207"/>
      <c r="M33" s="207"/>
      <c r="N33" s="207"/>
      <c r="O33" s="207"/>
    </row>
    <row r="34" spans="1:27">
      <c r="A34" s="208" t="s">
        <v>286</v>
      </c>
      <c r="B34" s="201"/>
      <c r="C34" s="200">
        <f>'Calcs '!M53</f>
        <v>34.199987828302078</v>
      </c>
      <c r="D34" s="200">
        <f>'Calcs '!L53</f>
        <v>1.3309029292255852</v>
      </c>
      <c r="E34" s="207">
        <f t="shared" ref="E34:E35" si="4">C34+D34</f>
        <v>35.530890757527665</v>
      </c>
      <c r="F34" s="207"/>
      <c r="G34" s="207"/>
      <c r="H34" s="207"/>
      <c r="I34" s="207"/>
      <c r="J34" s="207"/>
      <c r="K34" s="207"/>
      <c r="L34" s="207"/>
      <c r="M34" s="207"/>
      <c r="N34" s="207"/>
      <c r="O34" s="207"/>
    </row>
    <row r="35" spans="1:27">
      <c r="A35" s="208" t="s">
        <v>287</v>
      </c>
      <c r="B35" s="201"/>
      <c r="C35" s="200">
        <f>'Calcs '!M54</f>
        <v>53.767216432437046</v>
      </c>
      <c r="D35" s="200">
        <f>'Calcs '!L54</f>
        <v>1.925561684837017</v>
      </c>
      <c r="E35" s="207">
        <f t="shared" si="4"/>
        <v>55.692778117274059</v>
      </c>
      <c r="F35" s="207"/>
      <c r="G35" s="207"/>
      <c r="H35" s="207"/>
      <c r="I35" s="207"/>
      <c r="J35" s="207"/>
      <c r="K35" s="207"/>
      <c r="L35" s="207"/>
      <c r="M35" s="207"/>
      <c r="N35" s="207"/>
      <c r="O35" s="207"/>
    </row>
    <row r="36" spans="1:27">
      <c r="A36" s="208"/>
      <c r="B36" s="201"/>
      <c r="C36" s="200"/>
      <c r="D36" s="200"/>
      <c r="E36" s="200"/>
      <c r="F36" s="207"/>
      <c r="G36" s="207"/>
      <c r="H36" s="207"/>
      <c r="I36" s="207"/>
      <c r="J36" s="207"/>
      <c r="K36" s="207"/>
      <c r="L36" s="207"/>
      <c r="M36" s="207"/>
      <c r="N36" s="207"/>
      <c r="O36" s="207"/>
    </row>
    <row r="37" spans="1:27">
      <c r="A37" s="201"/>
      <c r="B37" s="201"/>
      <c r="C37" s="200"/>
      <c r="D37" s="200"/>
      <c r="E37" s="200"/>
      <c r="F37" s="207"/>
      <c r="G37" s="207"/>
      <c r="H37" s="207"/>
      <c r="I37" s="207"/>
      <c r="J37" s="207"/>
      <c r="K37" s="207"/>
      <c r="L37" s="207"/>
      <c r="M37" s="207"/>
      <c r="N37" s="207"/>
      <c r="O37" s="207"/>
    </row>
    <row r="38" spans="1:27">
      <c r="A38" s="197" t="s">
        <v>291</v>
      </c>
      <c r="B38" s="197"/>
      <c r="C38" s="200"/>
      <c r="D38" s="200"/>
      <c r="E38" s="200"/>
      <c r="F38" s="207"/>
      <c r="G38" s="207"/>
      <c r="H38" s="207"/>
      <c r="I38" s="207"/>
      <c r="J38" s="207"/>
      <c r="K38" s="207"/>
      <c r="L38" s="207"/>
      <c r="M38" s="207"/>
      <c r="N38" s="207"/>
      <c r="O38" s="207"/>
    </row>
    <row r="39" spans="1:27">
      <c r="A39" s="209" t="s">
        <v>239</v>
      </c>
      <c r="B39" s="210" t="s">
        <v>240</v>
      </c>
      <c r="C39" s="211">
        <f>'Calcs '!M55</f>
        <v>5.7371381561705599</v>
      </c>
      <c r="D39" s="211">
        <f>'Calcs '!L55</f>
        <v>0.22235123381489805</v>
      </c>
      <c r="E39" s="211">
        <f t="shared" si="0"/>
        <v>5.9594893899854577</v>
      </c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</row>
    <row r="40" spans="1:27">
      <c r="A40" s="201"/>
      <c r="B40" s="201"/>
      <c r="C40" s="200"/>
      <c r="D40" s="200"/>
      <c r="E40" s="200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</row>
    <row r="41" spans="1:27">
      <c r="A41" s="197" t="s">
        <v>149</v>
      </c>
      <c r="B41" s="201"/>
      <c r="C41" s="200"/>
      <c r="D41" s="200"/>
      <c r="E41" s="200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</row>
    <row r="42" spans="1:27">
      <c r="A42" s="212" t="s">
        <v>119</v>
      </c>
      <c r="B42" s="210" t="s">
        <v>240</v>
      </c>
      <c r="C42" s="211">
        <f>'Calcs '!M56</f>
        <v>7.3959636212767998</v>
      </c>
      <c r="D42" s="211">
        <f>'Calcs '!L56</f>
        <v>0.13079484342052825</v>
      </c>
      <c r="E42" s="211">
        <f t="shared" si="0"/>
        <v>7.5267584646973278</v>
      </c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</row>
    <row r="43" spans="1:27">
      <c r="A43" s="212" t="s">
        <v>159</v>
      </c>
      <c r="B43" s="210" t="s">
        <v>240</v>
      </c>
      <c r="C43" s="211">
        <f>+'Calcs '!M57</f>
        <v>7.6671381561705596</v>
      </c>
      <c r="D43" s="211">
        <f>+'Calcs '!L57</f>
        <v>0.22235123381489805</v>
      </c>
      <c r="E43" s="211">
        <f t="shared" si="0"/>
        <v>7.8894893899854575</v>
      </c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</row>
    <row r="44" spans="1:27">
      <c r="A44" s="212" t="s">
        <v>105</v>
      </c>
      <c r="B44" s="210" t="s">
        <v>240</v>
      </c>
      <c r="C44" s="211">
        <f>+'Calcs '!M58</f>
        <v>7.7271381561705601</v>
      </c>
      <c r="D44" s="211">
        <f>+'Calcs '!L58</f>
        <v>0.22235123381489805</v>
      </c>
      <c r="E44" s="211">
        <f t="shared" si="0"/>
        <v>7.949489389985458</v>
      </c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</row>
    <row r="45" spans="1:27">
      <c r="A45" s="213" t="s">
        <v>241</v>
      </c>
      <c r="B45" s="201" t="s">
        <v>240</v>
      </c>
      <c r="C45" s="207">
        <f>'Calcs '!M37</f>
        <v>12.772514510000478</v>
      </c>
      <c r="D45" s="207">
        <f>'Calcs '!L37</f>
        <v>0.30736788203824134</v>
      </c>
      <c r="E45" s="207">
        <f t="shared" si="0"/>
        <v>13.079882392038719</v>
      </c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</row>
    <row r="46" spans="1:27">
      <c r="A46" s="213" t="s">
        <v>107</v>
      </c>
      <c r="B46" s="201" t="s">
        <v>240</v>
      </c>
      <c r="C46" s="207">
        <f>'Calcs '!M38</f>
        <v>16.96427631234112</v>
      </c>
      <c r="D46" s="207">
        <f>'Calcs '!L38</f>
        <v>0.44470246762979604</v>
      </c>
      <c r="E46" s="207">
        <f t="shared" si="0"/>
        <v>17.408978779970916</v>
      </c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</row>
    <row r="47" spans="1:27">
      <c r="A47" s="212" t="s">
        <v>108</v>
      </c>
      <c r="B47" s="210" t="s">
        <v>240</v>
      </c>
      <c r="C47" s="211">
        <f>'Calcs '!M59</f>
        <v>34.854681686172</v>
      </c>
      <c r="D47" s="211">
        <f>'Calcs '!L59</f>
        <v>1.1444548799296221</v>
      </c>
      <c r="E47" s="211">
        <f t="shared" si="0"/>
        <v>35.999136566101626</v>
      </c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</row>
    <row r="48" spans="1:27">
      <c r="A48" s="212" t="s">
        <v>109</v>
      </c>
      <c r="B48" s="210" t="s">
        <v>240</v>
      </c>
      <c r="C48" s="211">
        <f>'Calcs '!M60</f>
        <v>48.039545265960001</v>
      </c>
      <c r="D48" s="211">
        <f>'Calcs '!L60</f>
        <v>1.634935542756603</v>
      </c>
      <c r="E48" s="211">
        <f t="shared" si="0"/>
        <v>49.674480808716602</v>
      </c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</row>
    <row r="49" spans="1:27">
      <c r="A49" s="212" t="s">
        <v>110</v>
      </c>
      <c r="B49" s="210" t="s">
        <v>240</v>
      </c>
      <c r="C49" s="211">
        <f>'Calcs '!M61</f>
        <v>62.85861066468415</v>
      </c>
      <c r="D49" s="211">
        <f>'Calcs '!L61</f>
        <v>2.1188764634125574</v>
      </c>
      <c r="E49" s="211">
        <f t="shared" si="0"/>
        <v>64.977487128096712</v>
      </c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</row>
    <row r="50" spans="1:27">
      <c r="A50" s="212" t="s">
        <v>111</v>
      </c>
      <c r="B50" s="210" t="s">
        <v>240</v>
      </c>
      <c r="C50" s="211">
        <f>'Calcs '!M62</f>
        <v>89.562539643196303</v>
      </c>
      <c r="D50" s="211">
        <f>'Calcs '!L62</f>
        <v>3.0932980468954931</v>
      </c>
      <c r="E50" s="211">
        <f t="shared" si="0"/>
        <v>92.655837690091801</v>
      </c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</row>
    <row r="51" spans="1:27">
      <c r="A51" s="213" t="s">
        <v>112</v>
      </c>
      <c r="B51" s="201" t="s">
        <v>240</v>
      </c>
      <c r="C51" s="207">
        <f>'Calcs '!M39</f>
        <v>126.38428499213391</v>
      </c>
      <c r="D51" s="207">
        <f>'Calcs '!L39</f>
        <v>4.0088619508391909</v>
      </c>
      <c r="E51" s="207">
        <f t="shared" si="0"/>
        <v>130.39314694297312</v>
      </c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</row>
    <row r="52" spans="1:27">
      <c r="A52" s="213" t="s">
        <v>113</v>
      </c>
      <c r="B52" s="201" t="s">
        <v>240</v>
      </c>
      <c r="C52" s="207">
        <f>'Calcs '!M40</f>
        <v>172.76047209362557</v>
      </c>
      <c r="D52" s="207">
        <f>'Calcs '!L40</f>
        <v>5.4933834236621868</v>
      </c>
      <c r="E52" s="207">
        <f t="shared" si="0"/>
        <v>178.25385551728775</v>
      </c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</row>
    <row r="53" spans="1:27">
      <c r="A53" s="212" t="s">
        <v>114</v>
      </c>
      <c r="B53" s="210" t="s">
        <v>240</v>
      </c>
      <c r="C53" s="211">
        <f>'Calcs '!M63</f>
        <v>228.86221744256318</v>
      </c>
      <c r="D53" s="211">
        <f>'Calcs '!L63</f>
        <v>6.4089473276058841</v>
      </c>
      <c r="E53" s="211">
        <f t="shared" si="0"/>
        <v>235.27116477016907</v>
      </c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</row>
    <row r="54" spans="1:27">
      <c r="A54" s="201"/>
      <c r="B54" s="201"/>
      <c r="C54" s="200"/>
      <c r="D54" s="200"/>
      <c r="E54" s="200"/>
      <c r="F54" s="207"/>
      <c r="G54" s="207"/>
      <c r="H54" s="207"/>
      <c r="I54" s="207"/>
      <c r="J54" s="207"/>
      <c r="K54" s="207"/>
      <c r="L54" s="207"/>
      <c r="M54" s="207"/>
      <c r="N54" s="207"/>
      <c r="O54" s="207"/>
    </row>
    <row r="55" spans="1:27">
      <c r="A55" s="212" t="s">
        <v>120</v>
      </c>
      <c r="B55" s="210" t="s">
        <v>240</v>
      </c>
      <c r="C55" s="211">
        <f>'Calcs '!M64</f>
        <v>8.1964373772932717</v>
      </c>
      <c r="D55" s="211">
        <f>'Calcs '!L64</f>
        <v>0.13079484342052825</v>
      </c>
      <c r="E55" s="211">
        <f t="shared" si="0"/>
        <v>8.3272322207137996</v>
      </c>
      <c r="F55" s="207"/>
      <c r="G55" s="207"/>
      <c r="H55" s="207"/>
      <c r="I55" s="207"/>
      <c r="J55" s="207"/>
      <c r="K55" s="207"/>
      <c r="L55" s="207"/>
      <c r="M55" s="207"/>
      <c r="N55" s="207"/>
      <c r="O55" s="207"/>
    </row>
    <row r="56" spans="1:27">
      <c r="A56" s="212" t="s">
        <v>242</v>
      </c>
      <c r="B56" s="210" t="s">
        <v>240</v>
      </c>
      <c r="C56" s="211">
        <f>'Calcs '!M65</f>
        <v>8.3569383494417764</v>
      </c>
      <c r="D56" s="211">
        <f>'Calcs '!L65</f>
        <v>0.18965252295976598</v>
      </c>
      <c r="E56" s="211">
        <f t="shared" si="0"/>
        <v>8.5465908724015431</v>
      </c>
      <c r="F56" s="207"/>
      <c r="G56" s="207"/>
      <c r="H56" s="207"/>
      <c r="I56" s="207"/>
      <c r="J56" s="207"/>
      <c r="K56" s="207"/>
      <c r="L56" s="207"/>
      <c r="M56" s="207"/>
      <c r="N56" s="207"/>
      <c r="O56" s="207"/>
    </row>
    <row r="57" spans="1:27">
      <c r="A57" s="212" t="s">
        <v>122</v>
      </c>
      <c r="B57" s="210" t="s">
        <v>240</v>
      </c>
      <c r="C57" s="211">
        <f>'Calcs '!M66</f>
        <v>12.38239340976779</v>
      </c>
      <c r="D57" s="211">
        <f>'Calcs '!L66</f>
        <v>0.30736788203824139</v>
      </c>
      <c r="E57" s="211">
        <f t="shared" si="0"/>
        <v>12.689761291806031</v>
      </c>
      <c r="F57" s="207"/>
      <c r="G57" s="207"/>
      <c r="H57" s="207"/>
      <c r="I57" s="207"/>
      <c r="J57" s="207"/>
      <c r="K57" s="207"/>
      <c r="L57" s="207"/>
      <c r="M57" s="207"/>
      <c r="N57" s="207"/>
      <c r="O57" s="207"/>
    </row>
    <row r="58" spans="1:27">
      <c r="A58" s="212" t="s">
        <v>243</v>
      </c>
      <c r="B58" s="210" t="s">
        <v>240</v>
      </c>
      <c r="C58" s="211">
        <f>'Calcs '!M67</f>
        <v>17.010156663184642</v>
      </c>
      <c r="D58" s="211">
        <f>'Calcs '!L67</f>
        <v>0.44470246762979609</v>
      </c>
      <c r="E58" s="211">
        <f t="shared" si="0"/>
        <v>17.454859130814437</v>
      </c>
      <c r="F58" s="207"/>
      <c r="G58" s="207"/>
      <c r="H58" s="207"/>
      <c r="I58" s="207"/>
      <c r="J58" s="207"/>
      <c r="K58" s="207"/>
      <c r="L58" s="207"/>
      <c r="M58" s="207"/>
      <c r="N58" s="207"/>
      <c r="O58" s="207"/>
    </row>
    <row r="59" spans="1:27">
      <c r="A59" s="212" t="s">
        <v>244</v>
      </c>
      <c r="B59" s="210" t="s">
        <v>240</v>
      </c>
      <c r="C59" s="211">
        <f>'Calcs '!M68</f>
        <v>38.340837937154248</v>
      </c>
      <c r="D59" s="211">
        <f>'Calcs '!L68</f>
        <v>1.1444548799296221</v>
      </c>
      <c r="E59" s="211">
        <f t="shared" si="0"/>
        <v>39.485292817083874</v>
      </c>
      <c r="F59" s="207"/>
      <c r="G59" s="207"/>
      <c r="H59" s="207"/>
      <c r="I59" s="207"/>
      <c r="J59" s="207"/>
      <c r="K59" s="207"/>
      <c r="L59" s="207"/>
      <c r="M59" s="207"/>
      <c r="N59" s="207"/>
      <c r="O59" s="207"/>
    </row>
    <row r="60" spans="1:27">
      <c r="A60" s="212" t="s">
        <v>245</v>
      </c>
      <c r="B60" s="210" t="s">
        <v>240</v>
      </c>
      <c r="C60" s="211">
        <f>'Calcs '!M69</f>
        <v>51.622138346212402</v>
      </c>
      <c r="D60" s="211">
        <f>'Calcs '!L69</f>
        <v>1.634935542756603</v>
      </c>
      <c r="E60" s="211">
        <f t="shared" si="0"/>
        <v>53.257073888969003</v>
      </c>
      <c r="F60" s="207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7">
      <c r="A61" s="212" t="s">
        <v>246</v>
      </c>
      <c r="B61" s="210" t="s">
        <v>240</v>
      </c>
      <c r="C61" s="211">
        <f>'Calcs '!M70</f>
        <v>68.244646459741702</v>
      </c>
      <c r="D61" s="211">
        <f>'Calcs '!L70</f>
        <v>2.1188764634125574</v>
      </c>
      <c r="E61" s="211">
        <f t="shared" si="0"/>
        <v>70.363522923154264</v>
      </c>
      <c r="F61" s="207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7">
      <c r="A62" s="212" t="s">
        <v>247</v>
      </c>
      <c r="B62" s="210" t="s">
        <v>240</v>
      </c>
      <c r="C62" s="211">
        <f>'Calcs '!M71</f>
        <v>96.740329528867818</v>
      </c>
      <c r="D62" s="211">
        <f>'Calcs '!L71</f>
        <v>3.0932980468954931</v>
      </c>
      <c r="E62" s="211">
        <f t="shared" si="0"/>
        <v>99.833627575763316</v>
      </c>
      <c r="F62" s="207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7">
      <c r="A63" s="212" t="s">
        <v>248</v>
      </c>
      <c r="B63" s="210" t="s">
        <v>240</v>
      </c>
      <c r="C63" s="211">
        <f>'Calcs '!M72</f>
        <v>126.3861514709902</v>
      </c>
      <c r="D63" s="211">
        <f>'Calcs '!L72</f>
        <v>4.0088619508391909</v>
      </c>
      <c r="E63" s="211">
        <f t="shared" si="0"/>
        <v>130.39501342182939</v>
      </c>
      <c r="F63" s="207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7">
      <c r="A64" s="212" t="s">
        <v>249</v>
      </c>
      <c r="B64" s="210" t="s">
        <v>240</v>
      </c>
      <c r="C64" s="211">
        <f>'Calcs '!M73</f>
        <v>183.50743346657953</v>
      </c>
      <c r="D64" s="211">
        <f>'Calcs '!L73</f>
        <v>5.4933834236621868</v>
      </c>
      <c r="E64" s="211">
        <f t="shared" si="0"/>
        <v>189.00081689024171</v>
      </c>
      <c r="F64" s="207"/>
      <c r="G64" s="207"/>
      <c r="H64" s="207"/>
      <c r="I64" s="207"/>
      <c r="J64" s="207"/>
      <c r="K64" s="207"/>
      <c r="L64" s="207"/>
      <c r="M64" s="207"/>
      <c r="N64" s="207"/>
      <c r="O64" s="207"/>
    </row>
    <row r="65" spans="1:15">
      <c r="A65" s="212" t="s">
        <v>250</v>
      </c>
      <c r="B65" s="210" t="s">
        <v>240</v>
      </c>
      <c r="C65" s="211">
        <f>'Calcs '!M74</f>
        <v>243.74207295158465</v>
      </c>
      <c r="D65" s="211">
        <f>'Calcs '!L74</f>
        <v>6.4089473276058841</v>
      </c>
      <c r="E65" s="211">
        <f t="shared" si="0"/>
        <v>250.15102027919053</v>
      </c>
      <c r="F65" s="207"/>
      <c r="G65" s="207"/>
      <c r="H65" s="207"/>
      <c r="I65" s="207"/>
      <c r="J65" s="207"/>
      <c r="K65" s="207"/>
      <c r="L65" s="207"/>
      <c r="M65" s="207"/>
      <c r="N65" s="207"/>
      <c r="O65" s="207"/>
    </row>
    <row r="66" spans="1:15">
      <c r="A66" s="213"/>
      <c r="B66" s="201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</row>
    <row r="67" spans="1:15">
      <c r="A67" s="212" t="s">
        <v>251</v>
      </c>
      <c r="B67" s="210" t="s">
        <v>240</v>
      </c>
      <c r="C67" s="211">
        <f>'Calcs '!M75</f>
        <v>38.340837937154248</v>
      </c>
      <c r="D67" s="211">
        <f>'Calcs '!L75</f>
        <v>1.1444548799296221</v>
      </c>
      <c r="E67" s="211">
        <f t="shared" si="0"/>
        <v>39.485292817083874</v>
      </c>
      <c r="F67" s="207"/>
      <c r="G67" s="207"/>
      <c r="H67" s="207"/>
      <c r="I67" s="207"/>
      <c r="J67" s="207"/>
      <c r="K67" s="207"/>
      <c r="L67" s="207"/>
      <c r="M67" s="207"/>
      <c r="N67" s="207"/>
      <c r="O67" s="207"/>
    </row>
    <row r="68" spans="1:15">
      <c r="A68" s="212" t="s">
        <v>252</v>
      </c>
      <c r="B68" s="210" t="s">
        <v>240</v>
      </c>
      <c r="C68" s="211">
        <f>'Calcs '!M76</f>
        <v>51.622138346212402</v>
      </c>
      <c r="D68" s="211">
        <f>'Calcs '!L76</f>
        <v>1.634935542756603</v>
      </c>
      <c r="E68" s="211">
        <f t="shared" si="0"/>
        <v>53.257073888969003</v>
      </c>
      <c r="F68" s="207"/>
      <c r="G68" s="207"/>
      <c r="H68" s="207"/>
      <c r="I68" s="207"/>
      <c r="J68" s="207"/>
      <c r="K68" s="207"/>
      <c r="L68" s="207"/>
      <c r="M68" s="207"/>
      <c r="N68" s="207"/>
      <c r="O68" s="207"/>
    </row>
    <row r="69" spans="1:15">
      <c r="A69" s="212" t="s">
        <v>253</v>
      </c>
      <c r="B69" s="210" t="s">
        <v>240</v>
      </c>
      <c r="C69" s="211">
        <f>'Calcs '!M77</f>
        <v>68.244646459741702</v>
      </c>
      <c r="D69" s="211">
        <f>'Calcs '!L77</f>
        <v>2.1188764634125574</v>
      </c>
      <c r="E69" s="211">
        <f t="shared" si="0"/>
        <v>70.363522923154264</v>
      </c>
      <c r="F69" s="207"/>
      <c r="G69" s="207"/>
      <c r="H69" s="207"/>
      <c r="I69" s="207"/>
      <c r="J69" s="207"/>
      <c r="K69" s="207"/>
      <c r="L69" s="207"/>
      <c r="M69" s="207"/>
      <c r="N69" s="207"/>
      <c r="O69" s="207"/>
    </row>
    <row r="70" spans="1:15">
      <c r="A70" s="236" t="s">
        <v>254</v>
      </c>
      <c r="B70" s="237" t="s">
        <v>240</v>
      </c>
      <c r="C70" s="207">
        <f>'Calcs '!M41</f>
        <v>96.742539643196309</v>
      </c>
      <c r="D70" s="207">
        <f>'Calcs '!L41</f>
        <v>3.0932980468954931</v>
      </c>
      <c r="E70" s="207">
        <f t="shared" si="0"/>
        <v>99.835837690091807</v>
      </c>
      <c r="F70" s="207"/>
      <c r="G70" s="207"/>
      <c r="H70" s="207"/>
      <c r="I70" s="207"/>
      <c r="J70" s="207"/>
      <c r="K70" s="207"/>
      <c r="L70" s="207"/>
      <c r="M70" s="207"/>
      <c r="N70" s="207"/>
      <c r="O70" s="207"/>
    </row>
    <row r="71" spans="1:15">
      <c r="A71" s="212" t="s">
        <v>255</v>
      </c>
      <c r="B71" s="210" t="s">
        <v>240</v>
      </c>
      <c r="C71" s="211">
        <f>'Calcs '!M78</f>
        <v>126.3861514709902</v>
      </c>
      <c r="D71" s="211">
        <f>'Calcs '!L78</f>
        <v>4.0088619508391909</v>
      </c>
      <c r="E71" s="211">
        <f t="shared" si="0"/>
        <v>130.39501342182939</v>
      </c>
      <c r="F71" s="207"/>
      <c r="G71" s="207"/>
      <c r="H71" s="207"/>
      <c r="I71" s="207"/>
      <c r="J71" s="207"/>
      <c r="K71" s="207"/>
      <c r="L71" s="207"/>
      <c r="M71" s="207"/>
      <c r="N71" s="207"/>
      <c r="O71" s="207"/>
    </row>
    <row r="72" spans="1:15">
      <c r="A72" s="212" t="s">
        <v>256</v>
      </c>
      <c r="B72" s="210" t="s">
        <v>240</v>
      </c>
      <c r="C72" s="211">
        <f>'Calcs '!M79</f>
        <v>183.50743346657953</v>
      </c>
      <c r="D72" s="211">
        <f>'Calcs '!L79</f>
        <v>5.4933834236621868</v>
      </c>
      <c r="E72" s="211">
        <f t="shared" si="0"/>
        <v>189.00081689024171</v>
      </c>
      <c r="F72" s="207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15">
      <c r="A73" s="212" t="s">
        <v>257</v>
      </c>
      <c r="B73" s="210" t="s">
        <v>240</v>
      </c>
      <c r="C73" s="211">
        <f>'Calcs '!M80</f>
        <v>243.74207295158465</v>
      </c>
      <c r="D73" s="211">
        <f>'Calcs '!L80</f>
        <v>6.4089473276058841</v>
      </c>
      <c r="E73" s="211">
        <f t="shared" si="0"/>
        <v>250.15102027919053</v>
      </c>
      <c r="F73" s="207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15">
      <c r="A74" s="201"/>
      <c r="B74" s="201"/>
      <c r="C74" s="200"/>
      <c r="D74" s="200"/>
      <c r="E74" s="200"/>
      <c r="F74" s="207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15">
      <c r="A75" s="197" t="s">
        <v>150</v>
      </c>
      <c r="B75" s="201"/>
      <c r="C75" s="200"/>
      <c r="D75" s="200"/>
      <c r="E75" s="200"/>
      <c r="F75" s="207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15">
      <c r="A76" s="210" t="s">
        <v>132</v>
      </c>
      <c r="B76" s="210" t="s">
        <v>240</v>
      </c>
      <c r="C76" s="211">
        <f>'Calcs '!M81</f>
        <v>377.78294221606524</v>
      </c>
      <c r="D76" s="211">
        <f>'Calcs '!L81</f>
        <v>8.5082045645053626</v>
      </c>
      <c r="E76" s="211">
        <f t="shared" si="0"/>
        <v>386.29114678057061</v>
      </c>
      <c r="F76" s="207"/>
      <c r="G76" s="207"/>
      <c r="H76" s="207"/>
      <c r="I76" s="207"/>
      <c r="J76" s="207"/>
      <c r="K76" s="207"/>
      <c r="L76" s="207"/>
      <c r="M76" s="207"/>
      <c r="N76" s="207"/>
      <c r="O76" s="207"/>
    </row>
    <row r="77" spans="1:15">
      <c r="A77" s="210" t="s">
        <v>133</v>
      </c>
      <c r="B77" s="210" t="s">
        <v>240</v>
      </c>
      <c r="C77" s="211">
        <f>'Calcs '!M82</f>
        <v>471.03430489053153</v>
      </c>
      <c r="D77" s="211">
        <f>'Calcs '!L82</f>
        <v>11.026005300350532</v>
      </c>
      <c r="E77" s="211">
        <f t="shared" si="0"/>
        <v>482.06031019088203</v>
      </c>
      <c r="F77" s="207"/>
      <c r="G77" s="207"/>
      <c r="H77" s="207"/>
      <c r="I77" s="207"/>
      <c r="J77" s="207"/>
      <c r="K77" s="207"/>
      <c r="L77" s="207"/>
      <c r="M77" s="207"/>
      <c r="N77" s="207"/>
      <c r="O77" s="207"/>
    </row>
    <row r="78" spans="1:15">
      <c r="A78" s="210" t="s">
        <v>134</v>
      </c>
      <c r="B78" s="210" t="s">
        <v>240</v>
      </c>
      <c r="C78" s="211">
        <f>'Calcs '!M83</f>
        <v>543.92869691410328</v>
      </c>
      <c r="D78" s="211">
        <f>'Calcs '!L83</f>
        <v>13.380312481920042</v>
      </c>
      <c r="E78" s="211">
        <f t="shared" si="0"/>
        <v>557.30900939602327</v>
      </c>
      <c r="F78" s="207"/>
      <c r="G78" s="207"/>
      <c r="H78" s="207"/>
      <c r="I78" s="207"/>
      <c r="J78" s="207"/>
      <c r="K78" s="207"/>
      <c r="L78" s="207"/>
      <c r="M78" s="207"/>
      <c r="N78" s="207"/>
      <c r="O78" s="207"/>
    </row>
    <row r="79" spans="1:15">
      <c r="A79" s="210" t="s">
        <v>130</v>
      </c>
      <c r="B79" s="210" t="s">
        <v>240</v>
      </c>
      <c r="C79" s="211">
        <f>'Calcs '!M84</f>
        <v>642.72839034636183</v>
      </c>
      <c r="D79" s="211">
        <f>'Calcs '!L84</f>
        <v>15.106804415071013</v>
      </c>
      <c r="E79" s="211">
        <f t="shared" si="0"/>
        <v>657.83519476143283</v>
      </c>
      <c r="F79" s="207"/>
      <c r="G79" s="207"/>
      <c r="H79" s="207"/>
      <c r="I79" s="207"/>
      <c r="J79" s="207"/>
      <c r="K79" s="207"/>
      <c r="L79" s="207"/>
      <c r="M79" s="207"/>
      <c r="N79" s="207"/>
      <c r="O79" s="207"/>
    </row>
    <row r="80" spans="1:15">
      <c r="A80" s="237"/>
      <c r="B80" s="23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</row>
    <row r="81" spans="1:15">
      <c r="A81" s="210" t="s">
        <v>128</v>
      </c>
      <c r="B81" s="210" t="s">
        <v>240</v>
      </c>
      <c r="C81" s="211">
        <f>'Calcs '!M117</f>
        <v>428.50795374344472</v>
      </c>
      <c r="D81" s="211">
        <f>'Calcs '!L117</f>
        <v>8.5082045645053626</v>
      </c>
      <c r="E81" s="211">
        <f t="shared" ref="E81:E84" si="5">C81+D81</f>
        <v>437.01615830795009</v>
      </c>
      <c r="F81" s="207"/>
      <c r="G81" s="207"/>
      <c r="H81" s="207"/>
      <c r="I81" s="207"/>
      <c r="J81" s="207"/>
      <c r="K81" s="207"/>
      <c r="L81" s="207"/>
      <c r="M81" s="207"/>
      <c r="N81" s="207"/>
      <c r="O81" s="207"/>
    </row>
    <row r="82" spans="1:15">
      <c r="A82" s="210" t="s">
        <v>129</v>
      </c>
      <c r="B82" s="210" t="s">
        <v>240</v>
      </c>
      <c r="C82" s="211">
        <f>'Calcs '!M118</f>
        <v>542.95702035963257</v>
      </c>
      <c r="D82" s="211">
        <f>'Calcs '!L118</f>
        <v>11.026005300350532</v>
      </c>
      <c r="E82" s="211">
        <f t="shared" si="5"/>
        <v>553.98302565998313</v>
      </c>
      <c r="F82" s="207"/>
      <c r="G82" s="207"/>
      <c r="H82" s="207"/>
      <c r="I82" s="207"/>
      <c r="J82" s="207"/>
      <c r="K82" s="207"/>
      <c r="L82" s="207"/>
      <c r="M82" s="207"/>
      <c r="N82" s="207"/>
      <c r="O82" s="207"/>
    </row>
    <row r="83" spans="1:15">
      <c r="A83" s="210" t="s">
        <v>165</v>
      </c>
      <c r="B83" s="210" t="s">
        <v>240</v>
      </c>
      <c r="C83" s="211">
        <f>'Calcs '!M119</f>
        <v>623.8235687966469</v>
      </c>
      <c r="D83" s="211">
        <f>'Calcs '!L119</f>
        <v>13.380312481920042</v>
      </c>
      <c r="E83" s="211">
        <f t="shared" si="5"/>
        <v>637.20388127856688</v>
      </c>
      <c r="F83" s="207"/>
      <c r="G83" s="207"/>
      <c r="H83" s="207"/>
      <c r="I83" s="207"/>
      <c r="J83" s="207"/>
      <c r="K83" s="207"/>
      <c r="L83" s="207"/>
      <c r="M83" s="207"/>
      <c r="N83" s="207"/>
      <c r="O83" s="207"/>
    </row>
    <row r="84" spans="1:15">
      <c r="A84" s="210" t="s">
        <v>166</v>
      </c>
      <c r="B84" s="210" t="s">
        <v>240</v>
      </c>
      <c r="C84" s="211">
        <f>'Calcs '!M120</f>
        <v>717.71648661030554</v>
      </c>
      <c r="D84" s="211">
        <f>'Calcs '!L120</f>
        <v>15.106804415071013</v>
      </c>
      <c r="E84" s="211">
        <f t="shared" si="5"/>
        <v>732.82329102537653</v>
      </c>
      <c r="F84" s="207"/>
      <c r="G84" s="207"/>
      <c r="H84" s="207"/>
      <c r="I84" s="207"/>
      <c r="J84" s="207"/>
      <c r="K84" s="207"/>
      <c r="L84" s="207"/>
      <c r="M84" s="207"/>
      <c r="N84" s="207"/>
      <c r="O84" s="207"/>
    </row>
    <row r="85" spans="1:15">
      <c r="A85" s="201"/>
      <c r="B85" s="201"/>
      <c r="C85" s="200"/>
      <c r="D85" s="200"/>
      <c r="E85" s="200"/>
      <c r="F85" s="207"/>
      <c r="G85" s="207"/>
      <c r="H85" s="207"/>
      <c r="I85" s="207"/>
      <c r="J85" s="207"/>
      <c r="K85" s="207"/>
      <c r="L85" s="207"/>
      <c r="M85" s="207"/>
      <c r="N85" s="207"/>
      <c r="O85" s="207"/>
    </row>
    <row r="86" spans="1:15">
      <c r="A86" s="197" t="s">
        <v>151</v>
      </c>
      <c r="B86" s="201"/>
      <c r="C86" s="200"/>
      <c r="D86" s="200"/>
      <c r="E86" s="200"/>
      <c r="F86" s="207"/>
      <c r="G86" s="207"/>
      <c r="H86" s="207"/>
      <c r="I86" s="207"/>
      <c r="J86" s="207"/>
      <c r="K86" s="207"/>
      <c r="L86" s="207"/>
      <c r="M86" s="207"/>
      <c r="N86" s="207"/>
      <c r="O86" s="207"/>
    </row>
    <row r="87" spans="1:15">
      <c r="A87" s="210" t="s">
        <v>124</v>
      </c>
      <c r="B87" s="210" t="s">
        <v>240</v>
      </c>
      <c r="C87" s="211">
        <f>'Calcs '!M85</f>
        <v>210.70986234346279</v>
      </c>
      <c r="D87" s="211">
        <f>'Calcs '!L85</f>
        <v>3.1521557264347302</v>
      </c>
      <c r="E87" s="211">
        <f t="shared" si="0"/>
        <v>213.86201806989752</v>
      </c>
      <c r="F87" s="207"/>
      <c r="G87" s="207"/>
      <c r="H87" s="207"/>
      <c r="I87" s="207"/>
      <c r="J87" s="207"/>
      <c r="K87" s="207"/>
      <c r="L87" s="207"/>
      <c r="M87" s="207"/>
      <c r="N87" s="207"/>
      <c r="O87" s="207"/>
    </row>
    <row r="88" spans="1:15">
      <c r="A88" s="210" t="s">
        <v>135</v>
      </c>
      <c r="B88" s="210" t="s">
        <v>240</v>
      </c>
      <c r="C88" s="211">
        <f>'Calcs '!M86</f>
        <v>343.20874021372009</v>
      </c>
      <c r="D88" s="211">
        <f>'Calcs '!L86</f>
        <v>5.8334500165555596</v>
      </c>
      <c r="E88" s="211">
        <f t="shared" si="0"/>
        <v>349.04219023027565</v>
      </c>
      <c r="F88" s="207"/>
      <c r="G88" s="207"/>
      <c r="H88" s="207"/>
      <c r="I88" s="207"/>
      <c r="J88" s="207"/>
      <c r="K88" s="207"/>
      <c r="L88" s="207"/>
      <c r="M88" s="207"/>
      <c r="N88" s="207"/>
      <c r="O88" s="207"/>
    </row>
    <row r="89" spans="1:15">
      <c r="A89" s="210" t="s">
        <v>132</v>
      </c>
      <c r="B89" s="210" t="s">
        <v>240</v>
      </c>
      <c r="C89" s="211">
        <f>'Calcs '!M87</f>
        <v>452.00198534773392</v>
      </c>
      <c r="D89" s="211">
        <f>'Calcs '!L87</f>
        <v>8.5082045645053626</v>
      </c>
      <c r="E89" s="211">
        <f t="shared" si="0"/>
        <v>460.5101899122393</v>
      </c>
      <c r="F89" s="207"/>
      <c r="G89" s="207"/>
      <c r="H89" s="207"/>
      <c r="I89" s="207"/>
      <c r="J89" s="207"/>
      <c r="K89" s="207"/>
      <c r="L89" s="207"/>
      <c r="M89" s="207"/>
      <c r="N89" s="207"/>
      <c r="O89" s="207"/>
    </row>
    <row r="90" spans="1:15">
      <c r="A90" s="210" t="s">
        <v>133</v>
      </c>
      <c r="B90" s="210" t="s">
        <v>240</v>
      </c>
      <c r="C90" s="211">
        <f>'Calcs '!M88</f>
        <v>572.960924252616</v>
      </c>
      <c r="D90" s="211">
        <f>'Calcs '!L88</f>
        <v>11.026005300350532</v>
      </c>
      <c r="E90" s="211">
        <f t="shared" si="0"/>
        <v>583.98692955296656</v>
      </c>
      <c r="F90" s="207"/>
      <c r="G90" s="207"/>
      <c r="H90" s="207"/>
      <c r="I90" s="207"/>
      <c r="J90" s="207"/>
      <c r="K90" s="207"/>
      <c r="L90" s="207"/>
      <c r="M90" s="207"/>
      <c r="N90" s="207"/>
      <c r="O90" s="207"/>
    </row>
    <row r="91" spans="1:15">
      <c r="A91" s="210" t="s">
        <v>134</v>
      </c>
      <c r="B91" s="210" t="s">
        <v>240</v>
      </c>
      <c r="C91" s="211">
        <f>'Calcs '!M89</f>
        <v>661.3122010614901</v>
      </c>
      <c r="D91" s="211">
        <f>'Calcs '!L89</f>
        <v>13.380312481920042</v>
      </c>
      <c r="E91" s="211">
        <f t="shared" si="0"/>
        <v>674.69251354341009</v>
      </c>
      <c r="F91" s="207"/>
      <c r="G91" s="207"/>
      <c r="H91" s="207"/>
      <c r="I91" s="207"/>
      <c r="J91" s="207"/>
      <c r="K91" s="207"/>
      <c r="L91" s="207"/>
      <c r="M91" s="207"/>
      <c r="N91" s="207"/>
      <c r="O91" s="207"/>
    </row>
    <row r="92" spans="1:15">
      <c r="A92" s="210" t="s">
        <v>130</v>
      </c>
      <c r="B92" s="210" t="s">
        <v>240</v>
      </c>
      <c r="C92" s="211">
        <f>'Calcs '!M90</f>
        <v>762.70067898126592</v>
      </c>
      <c r="D92" s="211">
        <f>'Calcs '!L90</f>
        <v>15.106804415071013</v>
      </c>
      <c r="E92" s="211">
        <f t="shared" si="0"/>
        <v>777.80748339633692</v>
      </c>
      <c r="F92" s="207"/>
      <c r="G92" s="207"/>
      <c r="H92" s="207"/>
      <c r="I92" s="207"/>
      <c r="J92" s="207"/>
      <c r="K92" s="207"/>
      <c r="L92" s="207"/>
      <c r="M92" s="207"/>
      <c r="N92" s="207"/>
      <c r="O92" s="207"/>
    </row>
    <row r="93" spans="1:15">
      <c r="A93" s="201"/>
      <c r="B93" s="201"/>
      <c r="C93" s="200"/>
      <c r="D93" s="200"/>
      <c r="E93" s="200"/>
      <c r="F93" s="207"/>
      <c r="G93" s="207"/>
      <c r="H93" s="207"/>
      <c r="I93" s="207"/>
      <c r="J93" s="207"/>
      <c r="K93" s="207"/>
      <c r="L93" s="207"/>
      <c r="M93" s="207"/>
      <c r="N93" s="207"/>
      <c r="O93" s="207"/>
    </row>
    <row r="94" spans="1:15">
      <c r="A94" s="215" t="s">
        <v>136</v>
      </c>
      <c r="B94" s="201"/>
      <c r="C94" s="200"/>
      <c r="D94" s="200"/>
      <c r="E94" s="200"/>
      <c r="F94" s="207"/>
      <c r="G94" s="207"/>
      <c r="H94" s="207"/>
      <c r="I94" s="207"/>
      <c r="J94" s="207"/>
      <c r="K94" s="207"/>
      <c r="L94" s="207"/>
      <c r="M94" s="207"/>
      <c r="N94" s="207"/>
      <c r="O94" s="207"/>
    </row>
    <row r="95" spans="1:15">
      <c r="A95" s="210" t="s">
        <v>137</v>
      </c>
      <c r="B95" s="210"/>
      <c r="C95" s="211">
        <f>'Calcs '!M91</f>
        <v>24.854772632979998</v>
      </c>
      <c r="D95" s="211">
        <f>'Calcs '!L91</f>
        <v>0.81746777137830151</v>
      </c>
      <c r="E95" s="211">
        <f t="shared" ref="E95:E96" si="6">C95+D95</f>
        <v>25.672240404358298</v>
      </c>
      <c r="F95" s="282"/>
      <c r="G95" s="207"/>
      <c r="H95" s="207"/>
      <c r="I95" s="207"/>
      <c r="J95" s="207"/>
      <c r="K95" s="207"/>
      <c r="L95" s="207"/>
      <c r="M95" s="207"/>
      <c r="N95" s="207"/>
      <c r="O95" s="207"/>
    </row>
    <row r="96" spans="1:15">
      <c r="A96" s="210" t="s">
        <v>138</v>
      </c>
      <c r="B96" s="210"/>
      <c r="C96" s="211">
        <f>'Calcs '!M92</f>
        <v>24.854772632979998</v>
      </c>
      <c r="D96" s="211">
        <f>'Calcs '!L92</f>
        <v>0.81746777137830151</v>
      </c>
      <c r="E96" s="211">
        <f t="shared" si="6"/>
        <v>25.672240404358298</v>
      </c>
      <c r="F96" s="207"/>
      <c r="G96" s="207"/>
      <c r="H96" s="207"/>
      <c r="I96" s="207"/>
      <c r="J96" s="207"/>
      <c r="K96" s="207"/>
      <c r="L96" s="207"/>
      <c r="M96" s="207"/>
      <c r="N96" s="207"/>
      <c r="O96" s="207"/>
    </row>
    <row r="97" spans="1:22">
      <c r="A97" s="201"/>
      <c r="B97" s="201"/>
      <c r="C97" s="200"/>
      <c r="D97" s="200"/>
      <c r="E97" s="200"/>
      <c r="F97" s="207"/>
      <c r="G97" s="207"/>
      <c r="H97" s="207"/>
      <c r="I97" s="207"/>
      <c r="J97" s="207"/>
      <c r="K97" s="207"/>
      <c r="L97" s="207"/>
      <c r="M97" s="207"/>
      <c r="N97" s="207"/>
      <c r="O97" s="207"/>
    </row>
    <row r="98" spans="1:22">
      <c r="A98" s="197" t="s">
        <v>283</v>
      </c>
      <c r="B98" s="201"/>
      <c r="C98" s="200"/>
      <c r="D98" s="200"/>
      <c r="E98" s="200"/>
      <c r="F98" s="207"/>
      <c r="G98" s="207"/>
      <c r="H98" s="207"/>
      <c r="I98" s="207"/>
      <c r="J98" s="207"/>
      <c r="K98" s="207"/>
      <c r="L98" s="207"/>
      <c r="M98" s="207"/>
      <c r="N98" s="207"/>
      <c r="O98" s="207"/>
    </row>
    <row r="99" spans="1:22">
      <c r="A99" s="201" t="s">
        <v>281</v>
      </c>
      <c r="B99" s="201" t="s">
        <v>282</v>
      </c>
      <c r="C99" s="200">
        <f>References!B47</f>
        <v>183.71</v>
      </c>
      <c r="D99" s="200">
        <f t="shared" ref="D99" si="7">E99-C99</f>
        <v>16.95226895267578</v>
      </c>
      <c r="E99" s="207">
        <f>References!B48</f>
        <v>200.66226895267579</v>
      </c>
      <c r="F99" s="207"/>
      <c r="G99" s="207"/>
      <c r="H99" s="207"/>
      <c r="I99" s="207"/>
      <c r="J99" s="207"/>
      <c r="K99" s="207"/>
      <c r="L99" s="207"/>
      <c r="M99" s="207"/>
      <c r="N99" s="207"/>
      <c r="O99" s="207"/>
    </row>
    <row r="100" spans="1:22">
      <c r="A100" s="201"/>
      <c r="B100" s="201"/>
      <c r="C100" s="200"/>
      <c r="D100" s="200"/>
      <c r="E100" s="200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</row>
    <row r="101" spans="1:22">
      <c r="A101" s="197" t="s">
        <v>152</v>
      </c>
      <c r="B101" s="201"/>
      <c r="C101" s="200"/>
      <c r="D101" s="200"/>
      <c r="E101" s="200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</row>
    <row r="102" spans="1:22">
      <c r="A102" s="212" t="s">
        <v>105</v>
      </c>
      <c r="B102" s="210" t="s">
        <v>240</v>
      </c>
      <c r="C102" s="211">
        <f>+'Calcs '!M93</f>
        <v>6.7881472508513596</v>
      </c>
      <c r="D102" s="211">
        <f>+'Calcs '!L93</f>
        <v>0.18965252295976598</v>
      </c>
      <c r="E102" s="211">
        <f t="shared" ref="E102:E167" si="8">C102+D102</f>
        <v>6.9777997738111255</v>
      </c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</row>
    <row r="103" spans="1:22">
      <c r="A103" s="213" t="s">
        <v>241</v>
      </c>
      <c r="B103" s="201" t="s">
        <v>240</v>
      </c>
      <c r="C103" s="207">
        <f>'Calcs '!M21</f>
        <v>11.136743970167396</v>
      </c>
      <c r="D103" s="207">
        <f>'Calcs '!L21</f>
        <v>0.30736788203824145</v>
      </c>
      <c r="E103" s="207">
        <f t="shared" si="8"/>
        <v>11.444111852205637</v>
      </c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</row>
    <row r="104" spans="1:22">
      <c r="A104" s="213" t="s">
        <v>107</v>
      </c>
      <c r="B104" s="201" t="s">
        <v>240</v>
      </c>
      <c r="C104" s="207">
        <f>'Calcs '!M22</f>
        <v>14.724660734874353</v>
      </c>
      <c r="D104" s="207">
        <f>'Calcs '!L22</f>
        <v>0.44470246762979598</v>
      </c>
      <c r="E104" s="207">
        <f t="shared" si="8"/>
        <v>15.169363202504149</v>
      </c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</row>
    <row r="105" spans="1:22">
      <c r="A105" s="213" t="s">
        <v>108</v>
      </c>
      <c r="B105" s="201" t="s">
        <v>240</v>
      </c>
      <c r="C105" s="207">
        <f>'Calcs '!M23</f>
        <v>29.84875827935678</v>
      </c>
      <c r="D105" s="207">
        <f>'Calcs '!L23</f>
        <v>1.1444548799296219</v>
      </c>
      <c r="E105" s="207">
        <f t="shared" si="8"/>
        <v>30.993213159286402</v>
      </c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</row>
    <row r="106" spans="1:22">
      <c r="A106" s="213" t="s">
        <v>109</v>
      </c>
      <c r="B106" s="201" t="s">
        <v>240</v>
      </c>
      <c r="C106" s="207">
        <f>'Calcs '!M24</f>
        <v>40.541274200897597</v>
      </c>
      <c r="D106" s="207">
        <f>'Calcs '!L24</f>
        <v>1.634935542756603</v>
      </c>
      <c r="E106" s="207">
        <f t="shared" si="8"/>
        <v>42.176209743654198</v>
      </c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</row>
    <row r="107" spans="1:22">
      <c r="A107" s="213" t="s">
        <v>110</v>
      </c>
      <c r="B107" s="201" t="s">
        <v>240</v>
      </c>
      <c r="C107" s="207">
        <f>'Calcs '!M25</f>
        <v>52.874415548498561</v>
      </c>
      <c r="D107" s="207">
        <f>'Calcs '!L25</f>
        <v>2.1188764634125574</v>
      </c>
      <c r="E107" s="207">
        <f t="shared" si="8"/>
        <v>54.993292011911116</v>
      </c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</row>
    <row r="108" spans="1:22">
      <c r="A108" s="213" t="s">
        <v>111</v>
      </c>
      <c r="B108" s="201" t="s">
        <v>240</v>
      </c>
      <c r="C108" s="207">
        <f>'Calcs '!M26</f>
        <v>74.55693776972339</v>
      </c>
      <c r="D108" s="207">
        <f>'Calcs '!L26</f>
        <v>3.0932980468954931</v>
      </c>
      <c r="E108" s="207">
        <f t="shared" si="8"/>
        <v>77.650235816618888</v>
      </c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</row>
    <row r="109" spans="1:22">
      <c r="A109" s="213" t="s">
        <v>112</v>
      </c>
      <c r="B109" s="201" t="s">
        <v>240</v>
      </c>
      <c r="C109" s="207">
        <f>'Calcs '!M27</f>
        <v>106.39077003183952</v>
      </c>
      <c r="D109" s="207">
        <f>'Calcs '!L27</f>
        <v>4.0088619508391909</v>
      </c>
      <c r="E109" s="207">
        <f t="shared" si="8"/>
        <v>110.39963198267871</v>
      </c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</row>
    <row r="110" spans="1:22">
      <c r="A110" s="213" t="s">
        <v>113</v>
      </c>
      <c r="B110" s="201" t="s">
        <v>240</v>
      </c>
      <c r="C110" s="207">
        <f>'Calcs '!M28</f>
        <v>142.75844919026054</v>
      </c>
      <c r="D110" s="207">
        <f>'Calcs '!L28</f>
        <v>5.4933834236621868</v>
      </c>
      <c r="E110" s="207">
        <f t="shared" si="8"/>
        <v>148.25183261392272</v>
      </c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</row>
    <row r="111" spans="1:22">
      <c r="A111" s="213" t="s">
        <v>114</v>
      </c>
      <c r="B111" s="201" t="s">
        <v>240</v>
      </c>
      <c r="C111" s="207">
        <f>'Calcs '!M29</f>
        <v>188.87933893788031</v>
      </c>
      <c r="D111" s="207">
        <f>'Calcs '!L29</f>
        <v>6.4089473276058833</v>
      </c>
      <c r="E111" s="207">
        <f t="shared" si="8"/>
        <v>195.28828626548619</v>
      </c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</row>
    <row r="112" spans="1:22">
      <c r="A112" s="213"/>
      <c r="B112" s="201"/>
      <c r="C112" s="200"/>
      <c r="D112" s="200"/>
      <c r="E112" s="200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</row>
    <row r="113" spans="1:15">
      <c r="A113" s="212" t="s">
        <v>121</v>
      </c>
      <c r="B113" s="210" t="s">
        <v>240</v>
      </c>
      <c r="C113" s="211">
        <f>'Calcs '!M94</f>
        <v>7.5881472508513594</v>
      </c>
      <c r="D113" s="211">
        <f>'Calcs '!L94</f>
        <v>0.18965252295976598</v>
      </c>
      <c r="E113" s="211">
        <f t="shared" si="8"/>
        <v>7.7777997738111253</v>
      </c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</row>
    <row r="114" spans="1:15">
      <c r="A114" s="212" t="s">
        <v>122</v>
      </c>
      <c r="B114" s="210" t="s">
        <v>240</v>
      </c>
      <c r="C114" s="211">
        <f>'Calcs '!M95</f>
        <v>10.782514510000478</v>
      </c>
      <c r="D114" s="211">
        <f>'Calcs '!L95</f>
        <v>0.30736788203824139</v>
      </c>
      <c r="E114" s="211">
        <f t="shared" si="8"/>
        <v>11.089882392038719</v>
      </c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</row>
    <row r="115" spans="1:15">
      <c r="A115" s="212" t="s">
        <v>123</v>
      </c>
      <c r="B115" s="210" t="s">
        <v>240</v>
      </c>
      <c r="C115" s="211">
        <f>'Calcs '!M96</f>
        <v>14.62427631234112</v>
      </c>
      <c r="D115" s="211">
        <f>'Calcs '!L96</f>
        <v>0.44470246762979609</v>
      </c>
      <c r="E115" s="211">
        <f t="shared" si="8"/>
        <v>15.068978779970916</v>
      </c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</row>
    <row r="116" spans="1:15">
      <c r="A116" s="212" t="s">
        <v>244</v>
      </c>
      <c r="B116" s="210" t="s">
        <v>240</v>
      </c>
      <c r="C116" s="211">
        <f>'Calcs '!M121</f>
        <v>33.325744975980484</v>
      </c>
      <c r="D116" s="211">
        <f>'Calcs '!L121</f>
        <v>1.1444548799296221</v>
      </c>
      <c r="E116" s="211">
        <f t="shared" si="8"/>
        <v>34.47019985591011</v>
      </c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</row>
    <row r="117" spans="1:15">
      <c r="A117" s="212" t="s">
        <v>245</v>
      </c>
      <c r="B117" s="210" t="s">
        <v>240</v>
      </c>
      <c r="C117" s="211">
        <f>'Calcs '!M122</f>
        <v>44.126578240095249</v>
      </c>
      <c r="D117" s="211">
        <f>'Calcs '!L122</f>
        <v>1.634935542756603</v>
      </c>
      <c r="E117" s="211">
        <f t="shared" si="8"/>
        <v>45.76151378285185</v>
      </c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</row>
    <row r="118" spans="1:15">
      <c r="A118" s="212" t="s">
        <v>246</v>
      </c>
      <c r="B118" s="210" t="s">
        <v>240</v>
      </c>
      <c r="C118" s="211">
        <f>'Calcs '!M30</f>
        <v>58.258610664684156</v>
      </c>
      <c r="D118" s="211">
        <f>'Calcs '!L30</f>
        <v>2.1188764634125574</v>
      </c>
      <c r="E118" s="211">
        <f t="shared" si="8"/>
        <v>60.37748712809671</v>
      </c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</row>
    <row r="119" spans="1:15">
      <c r="A119" s="212" t="s">
        <v>247</v>
      </c>
      <c r="B119" s="210" t="s">
        <v>240</v>
      </c>
      <c r="C119" s="211">
        <f>'Calcs '!M123</f>
        <v>81.716714113861315</v>
      </c>
      <c r="D119" s="211">
        <f>'Calcs '!L123</f>
        <v>3.0932980468954931</v>
      </c>
      <c r="E119" s="211">
        <f t="shared" si="8"/>
        <v>84.810012160756813</v>
      </c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</row>
    <row r="120" spans="1:15">
      <c r="A120" s="212" t="s">
        <v>248</v>
      </c>
      <c r="B120" s="210" t="s">
        <v>240</v>
      </c>
      <c r="C120" s="211">
        <f>'Calcs '!M124</f>
        <v>106.39077003183952</v>
      </c>
      <c r="D120" s="211">
        <f>'Calcs '!L124</f>
        <v>4.0088619508391909</v>
      </c>
      <c r="E120" s="211">
        <f t="shared" si="8"/>
        <v>110.39963198267871</v>
      </c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</row>
    <row r="121" spans="1:15">
      <c r="A121" s="212" t="s">
        <v>249</v>
      </c>
      <c r="B121" s="210" t="s">
        <v>240</v>
      </c>
      <c r="C121" s="211">
        <f>'Calcs '!M125</f>
        <v>153.51436130785351</v>
      </c>
      <c r="D121" s="211">
        <f>'Calcs '!L125</f>
        <v>5.4933834236621868</v>
      </c>
      <c r="E121" s="211">
        <f t="shared" si="8"/>
        <v>159.00774473151569</v>
      </c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</row>
    <row r="122" spans="1:15">
      <c r="A122" s="201" t="s">
        <v>250</v>
      </c>
      <c r="B122" s="201" t="s">
        <v>240</v>
      </c>
      <c r="C122" s="207">
        <f>'Calcs '!M31</f>
        <v>203.74221744256317</v>
      </c>
      <c r="D122" s="207">
        <f>'Calcs '!L31</f>
        <v>6.4089473276058841</v>
      </c>
      <c r="E122" s="207">
        <f t="shared" si="8"/>
        <v>210.15116477016906</v>
      </c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</row>
    <row r="123" spans="1:15">
      <c r="A123" s="201"/>
      <c r="B123" s="201"/>
      <c r="C123" s="207"/>
      <c r="D123" s="207"/>
      <c r="E123" s="200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</row>
    <row r="124" spans="1:15">
      <c r="A124" s="212" t="s">
        <v>258</v>
      </c>
      <c r="B124" s="210" t="s">
        <v>240</v>
      </c>
      <c r="C124" s="211">
        <f>'Calcs '!M97</f>
        <v>33.325744975980484</v>
      </c>
      <c r="D124" s="211">
        <f>'Calcs '!L97</f>
        <v>1.1444548799296221</v>
      </c>
      <c r="E124" s="211">
        <f t="shared" ref="E124:E130" si="9">C124+D124</f>
        <v>34.47019985591011</v>
      </c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</row>
    <row r="125" spans="1:15">
      <c r="A125" s="212" t="s">
        <v>259</v>
      </c>
      <c r="B125" s="210" t="s">
        <v>240</v>
      </c>
      <c r="C125" s="211">
        <f>'Calcs '!M98</f>
        <v>44.126578240095249</v>
      </c>
      <c r="D125" s="211">
        <f>'Calcs '!L98</f>
        <v>1.634935542756603</v>
      </c>
      <c r="E125" s="211">
        <f t="shared" si="9"/>
        <v>45.76151378285185</v>
      </c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</row>
    <row r="126" spans="1:15">
      <c r="A126" s="212" t="s">
        <v>260</v>
      </c>
      <c r="B126" s="210" t="s">
        <v>240</v>
      </c>
      <c r="C126" s="211">
        <f>'Calcs '!M99</f>
        <v>58.257787474423743</v>
      </c>
      <c r="D126" s="211">
        <f>'Calcs '!L99</f>
        <v>2.1188764634125574</v>
      </c>
      <c r="E126" s="211">
        <f t="shared" si="9"/>
        <v>60.376663937836298</v>
      </c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</row>
    <row r="127" spans="1:15">
      <c r="A127" s="210" t="s">
        <v>261</v>
      </c>
      <c r="B127" s="210" t="s">
        <v>240</v>
      </c>
      <c r="C127" s="211">
        <f>'Calcs '!M100</f>
        <v>81.716714113861315</v>
      </c>
      <c r="D127" s="211">
        <f>'Calcs '!L100</f>
        <v>3.0932980468954931</v>
      </c>
      <c r="E127" s="211">
        <f t="shared" si="9"/>
        <v>84.810012160756813</v>
      </c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</row>
    <row r="128" spans="1:15">
      <c r="A128" s="212" t="s">
        <v>262</v>
      </c>
      <c r="B128" s="210" t="s">
        <v>240</v>
      </c>
      <c r="C128" s="211">
        <f>'Calcs '!M101</f>
        <v>106.39077003183952</v>
      </c>
      <c r="D128" s="211">
        <f>'Calcs '!L101</f>
        <v>4.0088619508391909</v>
      </c>
      <c r="E128" s="211">
        <f t="shared" si="9"/>
        <v>110.39963198267871</v>
      </c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</row>
    <row r="129" spans="1:19">
      <c r="A129" s="201" t="s">
        <v>263</v>
      </c>
      <c r="B129" s="201" t="s">
        <v>240</v>
      </c>
      <c r="C129" s="207">
        <f>'Calcs '!M32</f>
        <v>153.51436130785351</v>
      </c>
      <c r="D129" s="207">
        <f>'Calcs '!L32</f>
        <v>5.4933834236621868</v>
      </c>
      <c r="E129" s="207">
        <f t="shared" si="9"/>
        <v>159.00774473151569</v>
      </c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</row>
    <row r="130" spans="1:19">
      <c r="A130" s="201" t="s">
        <v>264</v>
      </c>
      <c r="B130" s="201" t="s">
        <v>240</v>
      </c>
      <c r="C130" s="207">
        <f>'Calcs '!M33</f>
        <v>203.74047833902588</v>
      </c>
      <c r="D130" s="207">
        <f>'Calcs '!L33</f>
        <v>6.4089473276058841</v>
      </c>
      <c r="E130" s="207">
        <f t="shared" si="9"/>
        <v>210.14942566663177</v>
      </c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</row>
    <row r="131" spans="1:19">
      <c r="A131" s="201"/>
      <c r="B131" s="201"/>
      <c r="C131" s="200"/>
      <c r="D131" s="200"/>
      <c r="E131" s="200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</row>
    <row r="132" spans="1:19">
      <c r="A132" s="197" t="s">
        <v>153</v>
      </c>
      <c r="B132" s="201"/>
      <c r="C132" s="200"/>
      <c r="D132" s="200"/>
      <c r="E132" s="200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</row>
    <row r="133" spans="1:19">
      <c r="A133" s="210" t="s">
        <v>105</v>
      </c>
      <c r="B133" s="210" t="s">
        <v>240</v>
      </c>
      <c r="C133" s="211">
        <f>'Calcs '!M34</f>
        <v>6.84</v>
      </c>
      <c r="D133" s="211">
        <f>'Calcs '!L37</f>
        <v>0.30736788203824134</v>
      </c>
      <c r="E133" s="211">
        <f t="shared" si="8"/>
        <v>7.1473678820382416</v>
      </c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</row>
    <row r="134" spans="1:19">
      <c r="A134" s="212" t="s">
        <v>241</v>
      </c>
      <c r="B134" s="210" t="s">
        <v>240</v>
      </c>
      <c r="C134" s="211">
        <f>'Calcs '!M102</f>
        <v>11.132514510000478</v>
      </c>
      <c r="D134" s="211">
        <f>'Calcs '!L102</f>
        <v>0.30736788203824139</v>
      </c>
      <c r="E134" s="211">
        <f t="shared" si="8"/>
        <v>11.439882392038719</v>
      </c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</row>
    <row r="135" spans="1:19">
      <c r="A135" s="212" t="s">
        <v>107</v>
      </c>
      <c r="B135" s="210" t="s">
        <v>240</v>
      </c>
      <c r="C135" s="211">
        <f>'Calcs '!M103</f>
        <v>14.72427631234112</v>
      </c>
      <c r="D135" s="211">
        <f>'Calcs '!L103</f>
        <v>0.44470246762979609</v>
      </c>
      <c r="E135" s="211">
        <f t="shared" si="8"/>
        <v>15.168978779970915</v>
      </c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</row>
    <row r="136" spans="1:19">
      <c r="A136" s="197"/>
      <c r="B136" s="201"/>
      <c r="C136" s="200"/>
      <c r="D136" s="200"/>
      <c r="E136" s="200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</row>
    <row r="137" spans="1:19">
      <c r="A137" s="212" t="s">
        <v>121</v>
      </c>
      <c r="B137" s="210" t="s">
        <v>240</v>
      </c>
      <c r="C137" s="211">
        <f>'Calcs '!M104</f>
        <v>8.0644815244921197</v>
      </c>
      <c r="D137" s="211">
        <f>'Calcs '!L104</f>
        <v>0.18965252295976598</v>
      </c>
      <c r="E137" s="211">
        <f t="shared" si="8"/>
        <v>8.2541340474518865</v>
      </c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</row>
    <row r="138" spans="1:19">
      <c r="A138" s="212" t="s">
        <v>122</v>
      </c>
      <c r="B138" s="210" t="s">
        <v>240</v>
      </c>
      <c r="C138" s="211">
        <f>'Calcs '!M105</f>
        <v>11.927460570957212</v>
      </c>
      <c r="D138" s="211">
        <f>'Calcs '!L105</f>
        <v>0.30736788203824139</v>
      </c>
      <c r="E138" s="211">
        <f t="shared" si="8"/>
        <v>12.234828452995453</v>
      </c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</row>
    <row r="139" spans="1:19">
      <c r="A139" s="212" t="s">
        <v>123</v>
      </c>
      <c r="B139" s="210" t="s">
        <v>240</v>
      </c>
      <c r="C139" s="211">
        <f>'Calcs '!M106</f>
        <v>16.327757404968775</v>
      </c>
      <c r="D139" s="211">
        <f>'Calcs '!L106</f>
        <v>0.44470246762979609</v>
      </c>
      <c r="E139" s="211">
        <f t="shared" si="8"/>
        <v>16.772459872598571</v>
      </c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</row>
    <row r="140" spans="1:19">
      <c r="A140" s="197"/>
      <c r="B140" s="201"/>
      <c r="C140" s="200"/>
      <c r="D140" s="200"/>
      <c r="E140" s="200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</row>
    <row r="141" spans="1:19">
      <c r="A141" s="197" t="s">
        <v>154</v>
      </c>
      <c r="B141" s="201"/>
      <c r="C141" s="200"/>
      <c r="D141" s="200"/>
      <c r="E141" s="200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</row>
    <row r="142" spans="1:19">
      <c r="A142" s="197"/>
      <c r="B142" s="201"/>
      <c r="C142" s="200"/>
      <c r="D142" s="200"/>
      <c r="E142" s="200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</row>
    <row r="143" spans="1:19">
      <c r="A143" s="197"/>
      <c r="B143" s="201"/>
      <c r="C143" s="200"/>
      <c r="D143" s="200"/>
      <c r="E143" s="200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</row>
    <row r="144" spans="1:19">
      <c r="A144" s="210" t="s">
        <v>132</v>
      </c>
      <c r="B144" s="210" t="s">
        <v>240</v>
      </c>
      <c r="C144" s="211">
        <f>'Calcs '!M107</f>
        <v>325.28152627047291</v>
      </c>
      <c r="D144" s="211">
        <f>'Calcs '!L107</f>
        <v>8.5082045645053626</v>
      </c>
      <c r="E144" s="211">
        <f t="shared" si="8"/>
        <v>333.78973083497829</v>
      </c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</row>
    <row r="145" spans="1:17">
      <c r="A145" s="210" t="s">
        <v>133</v>
      </c>
      <c r="B145" s="210" t="s">
        <v>240</v>
      </c>
      <c r="C145" s="211">
        <f>'Calcs '!M108</f>
        <v>401.03963811924683</v>
      </c>
      <c r="D145" s="211">
        <f>'Calcs '!L108</f>
        <v>11.026005300350532</v>
      </c>
      <c r="E145" s="211">
        <f t="shared" si="8"/>
        <v>412.06564341959734</v>
      </c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</row>
    <row r="146" spans="1:17">
      <c r="A146" s="210" t="s">
        <v>134</v>
      </c>
      <c r="B146" s="210" t="s">
        <v>240</v>
      </c>
      <c r="C146" s="211">
        <f>'Calcs '!M109</f>
        <v>456.4407793171261</v>
      </c>
      <c r="D146" s="211">
        <f>'Calcs '!L109</f>
        <v>13.380312481920042</v>
      </c>
      <c r="E146" s="211">
        <f t="shared" si="8"/>
        <v>469.82109179904614</v>
      </c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</row>
    <row r="147" spans="1:17">
      <c r="A147" s="210" t="s">
        <v>130</v>
      </c>
      <c r="B147" s="210" t="s">
        <v>240</v>
      </c>
      <c r="C147" s="211">
        <f>'Calcs '!M110</f>
        <v>537.75805365794952</v>
      </c>
      <c r="D147" s="211">
        <f>'Calcs '!L110</f>
        <v>15.106804415071013</v>
      </c>
      <c r="E147" s="211">
        <f t="shared" si="8"/>
        <v>552.86485807302051</v>
      </c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</row>
    <row r="148" spans="1:17">
      <c r="A148" s="197"/>
      <c r="B148" s="201"/>
      <c r="C148" s="200"/>
      <c r="D148" s="200"/>
      <c r="E148" s="200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</row>
    <row r="149" spans="1:17">
      <c r="A149" s="210" t="s">
        <v>128</v>
      </c>
      <c r="B149" s="210" t="s">
        <v>240</v>
      </c>
      <c r="C149" s="211">
        <f>'Calcs '!M126</f>
        <v>377.02472081804763</v>
      </c>
      <c r="D149" s="211">
        <f>'Calcs '!L126</f>
        <v>8.5082045645053626</v>
      </c>
      <c r="E149" s="211">
        <f t="shared" si="8"/>
        <v>385.532925382553</v>
      </c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</row>
    <row r="150" spans="1:17">
      <c r="A150" s="210" t="s">
        <v>129</v>
      </c>
      <c r="B150" s="210" t="s">
        <v>240</v>
      </c>
      <c r="C150" s="211">
        <f>'Calcs '!M127</f>
        <v>472.96235358834781</v>
      </c>
      <c r="D150" s="211">
        <f>'Calcs '!L127</f>
        <v>11.026005300350532</v>
      </c>
      <c r="E150" s="211">
        <f t="shared" si="8"/>
        <v>483.98835888869831</v>
      </c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</row>
    <row r="151" spans="1:17">
      <c r="A151" s="210" t="s">
        <v>165</v>
      </c>
      <c r="B151" s="210" t="s">
        <v>240</v>
      </c>
      <c r="C151" s="211">
        <f>'Calcs '!M128</f>
        <v>536.33565119966954</v>
      </c>
      <c r="D151" s="211">
        <f>'Calcs '!L128</f>
        <v>13.380312481920042</v>
      </c>
      <c r="E151" s="211">
        <f t="shared" si="8"/>
        <v>549.71596368158953</v>
      </c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</row>
    <row r="152" spans="1:17">
      <c r="A152" s="210" t="s">
        <v>166</v>
      </c>
      <c r="B152" s="210" t="s">
        <v>240</v>
      </c>
      <c r="C152" s="211">
        <f>'Calcs '!M129</f>
        <v>612.74614992189322</v>
      </c>
      <c r="D152" s="211">
        <f>'Calcs '!L129</f>
        <v>15.106804415071013</v>
      </c>
      <c r="E152" s="211">
        <f t="shared" si="8"/>
        <v>627.85295433696422</v>
      </c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</row>
    <row r="153" spans="1:17">
      <c r="E153" s="200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</row>
    <row r="154" spans="1:17">
      <c r="A154" s="197" t="s">
        <v>155</v>
      </c>
      <c r="B154" s="201"/>
      <c r="C154" s="207"/>
      <c r="D154" s="200"/>
      <c r="E154" s="200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</row>
    <row r="155" spans="1:17">
      <c r="A155" s="210" t="s">
        <v>124</v>
      </c>
      <c r="B155" s="210" t="s">
        <v>240</v>
      </c>
      <c r="C155" s="211">
        <f>'Calcs '!M111</f>
        <v>185.71021967739577</v>
      </c>
      <c r="D155" s="211">
        <f>'Calcs '!L111</f>
        <v>3.1521557264347302</v>
      </c>
      <c r="E155" s="211">
        <f t="shared" si="8"/>
        <v>188.8623754038305</v>
      </c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</row>
    <row r="156" spans="1:17">
      <c r="A156" s="210" t="s">
        <v>135</v>
      </c>
      <c r="B156" s="210" t="s">
        <v>240</v>
      </c>
      <c r="C156" s="211">
        <f>'Calcs '!M112</f>
        <v>293.23111835010081</v>
      </c>
      <c r="D156" s="211">
        <f>'Calcs '!L112</f>
        <v>5.8334500165555596</v>
      </c>
      <c r="E156" s="211">
        <f t="shared" si="8"/>
        <v>299.06456836665637</v>
      </c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</row>
    <row r="157" spans="1:17">
      <c r="A157" s="210" t="s">
        <v>132</v>
      </c>
      <c r="B157" s="210" t="s">
        <v>240</v>
      </c>
      <c r="C157" s="211">
        <f>'Calcs '!M113</f>
        <v>377.02472081804763</v>
      </c>
      <c r="D157" s="211">
        <f>'Calcs '!L113</f>
        <v>8.5082045645053626</v>
      </c>
      <c r="E157" s="211">
        <f t="shared" si="8"/>
        <v>385.532925382553</v>
      </c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</row>
    <row r="158" spans="1:17">
      <c r="A158" s="210" t="s">
        <v>133</v>
      </c>
      <c r="B158" s="210" t="s">
        <v>240</v>
      </c>
      <c r="C158" s="211">
        <f>'Calcs '!M114</f>
        <v>472.96235358834781</v>
      </c>
      <c r="D158" s="211">
        <f>'Calcs '!L114</f>
        <v>11.026005300350532</v>
      </c>
      <c r="E158" s="211">
        <f t="shared" si="8"/>
        <v>483.98835888869831</v>
      </c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</row>
    <row r="159" spans="1:17">
      <c r="A159" s="210" t="s">
        <v>134</v>
      </c>
      <c r="B159" s="210" t="s">
        <v>240</v>
      </c>
      <c r="C159" s="211">
        <f>'Calcs '!M115</f>
        <v>536.33565119966954</v>
      </c>
      <c r="D159" s="211">
        <f>'Calcs '!L115</f>
        <v>13.380312481920042</v>
      </c>
      <c r="E159" s="211">
        <f t="shared" si="8"/>
        <v>549.71596368158953</v>
      </c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</row>
    <row r="160" spans="1:17">
      <c r="A160" s="210" t="s">
        <v>130</v>
      </c>
      <c r="B160" s="210" t="s">
        <v>240</v>
      </c>
      <c r="C160" s="211">
        <f>'Calcs '!M116</f>
        <v>612.74614992189322</v>
      </c>
      <c r="D160" s="211">
        <f>'Calcs '!L116</f>
        <v>15.106804415071013</v>
      </c>
      <c r="E160" s="211">
        <f t="shared" si="8"/>
        <v>627.85295433696422</v>
      </c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</row>
    <row r="161" spans="1:15">
      <c r="E161" s="200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</row>
    <row r="162" spans="1:15">
      <c r="A162" s="210" t="s">
        <v>125</v>
      </c>
      <c r="B162" s="210" t="s">
        <v>240</v>
      </c>
      <c r="C162" s="214">
        <f>'Calcs '!M111</f>
        <v>185.71021967739577</v>
      </c>
      <c r="D162" s="214">
        <f>'Calcs '!L111</f>
        <v>3.1521557264347302</v>
      </c>
      <c r="E162" s="211">
        <f t="shared" si="8"/>
        <v>188.8623754038305</v>
      </c>
      <c r="F162" s="195"/>
      <c r="G162" s="195"/>
      <c r="H162" s="195"/>
      <c r="I162" s="195"/>
      <c r="J162" s="195"/>
      <c r="K162" s="195"/>
      <c r="L162" s="195"/>
      <c r="M162" s="195"/>
      <c r="N162" s="195"/>
      <c r="O162" s="195"/>
    </row>
    <row r="163" spans="1:15">
      <c r="A163" s="210" t="s">
        <v>127</v>
      </c>
      <c r="B163" s="210" t="s">
        <v>240</v>
      </c>
      <c r="C163" s="214">
        <f>'Calcs '!M112</f>
        <v>293.23111835010081</v>
      </c>
      <c r="D163" s="214">
        <f>'Calcs '!L112</f>
        <v>5.8334500165555596</v>
      </c>
      <c r="E163" s="211">
        <f t="shared" si="8"/>
        <v>299.06456836665637</v>
      </c>
      <c r="F163" s="195"/>
      <c r="G163" s="195"/>
      <c r="H163" s="195"/>
      <c r="I163" s="195"/>
      <c r="J163" s="195"/>
      <c r="K163" s="195"/>
      <c r="L163" s="195"/>
      <c r="M163" s="195"/>
      <c r="N163" s="195"/>
      <c r="O163" s="195"/>
    </row>
    <row r="164" spans="1:15">
      <c r="A164" s="210" t="s">
        <v>128</v>
      </c>
      <c r="B164" s="210" t="s">
        <v>240</v>
      </c>
      <c r="C164" s="214">
        <f>'Calcs '!M113</f>
        <v>377.02472081804763</v>
      </c>
      <c r="D164" s="214">
        <f>'Calcs '!L113</f>
        <v>8.5082045645053626</v>
      </c>
      <c r="E164" s="211">
        <f t="shared" si="8"/>
        <v>385.532925382553</v>
      </c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</row>
    <row r="165" spans="1:15">
      <c r="A165" s="210" t="s">
        <v>129</v>
      </c>
      <c r="B165" s="210" t="s">
        <v>240</v>
      </c>
      <c r="C165" s="214">
        <f>'Calcs '!M114</f>
        <v>472.96235358834781</v>
      </c>
      <c r="D165" s="214">
        <f>'Calcs '!L114</f>
        <v>11.026005300350532</v>
      </c>
      <c r="E165" s="211">
        <f t="shared" si="8"/>
        <v>483.98835888869831</v>
      </c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</row>
    <row r="166" spans="1:15">
      <c r="A166" s="210" t="s">
        <v>165</v>
      </c>
      <c r="B166" s="210" t="s">
        <v>240</v>
      </c>
      <c r="C166" s="214">
        <f>'Calcs '!M115</f>
        <v>536.33565119966954</v>
      </c>
      <c r="D166" s="214">
        <f>'Calcs '!L115</f>
        <v>13.380312481920042</v>
      </c>
      <c r="E166" s="211">
        <f t="shared" si="8"/>
        <v>549.71596368158953</v>
      </c>
      <c r="F166" s="195"/>
      <c r="G166" s="195"/>
      <c r="H166" s="195"/>
      <c r="I166" s="195"/>
      <c r="J166" s="195"/>
      <c r="K166" s="195"/>
      <c r="L166" s="195"/>
      <c r="M166" s="195"/>
      <c r="N166" s="195"/>
      <c r="O166" s="195"/>
    </row>
    <row r="167" spans="1:15">
      <c r="A167" s="210" t="s">
        <v>166</v>
      </c>
      <c r="B167" s="210" t="s">
        <v>240</v>
      </c>
      <c r="C167" s="214">
        <f>'Calcs '!M116</f>
        <v>612.74614992189322</v>
      </c>
      <c r="D167" s="214">
        <f>'Calcs '!L116</f>
        <v>15.106804415071013</v>
      </c>
      <c r="E167" s="211">
        <f t="shared" si="8"/>
        <v>627.85295433696422</v>
      </c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</row>
  </sheetData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47"/>
  <sheetViews>
    <sheetView zoomScale="85" zoomScaleNormal="85" workbookViewId="0">
      <pane xSplit="4" ySplit="1" topLeftCell="L2" activePane="bottomRight" state="frozen"/>
      <selection pane="topRight" activeCell="E1" sqref="E1"/>
      <selection pane="bottomLeft" activeCell="A2" sqref="A2"/>
      <selection pane="bottomRight" activeCell="N120" sqref="N120"/>
    </sheetView>
  </sheetViews>
  <sheetFormatPr defaultColWidth="8.88671875" defaultRowHeight="14.4"/>
  <cols>
    <col min="1" max="1" width="5.44140625" style="58" bestFit="1" customWidth="1"/>
    <col min="2" max="2" width="31.33203125" style="62" customWidth="1"/>
    <col min="3" max="3" width="30.5546875" style="58" customWidth="1"/>
    <col min="4" max="4" width="23.5546875" style="59" customWidth="1"/>
    <col min="5" max="5" width="13.5546875" style="58" customWidth="1"/>
    <col min="6" max="6" width="16" style="58" customWidth="1"/>
    <col min="7" max="7" width="19.44140625" style="101" customWidth="1"/>
    <col min="8" max="8" width="25.5546875" style="58" customWidth="1"/>
    <col min="9" max="9" width="21.5546875" style="57" customWidth="1"/>
    <col min="10" max="10" width="11.88671875" style="58" customWidth="1"/>
    <col min="11" max="11" width="12.109375" style="58" customWidth="1"/>
    <col min="12" max="12" width="13.5546875" style="58" customWidth="1"/>
    <col min="13" max="13" width="21.5546875" style="58" customWidth="1"/>
    <col min="14" max="14" width="26.44140625" style="58" bestFit="1" customWidth="1"/>
    <col min="15" max="15" width="32.5546875" style="58" customWidth="1"/>
    <col min="16" max="16" width="35.109375" style="58" customWidth="1"/>
    <col min="17" max="17" width="29" style="58" customWidth="1"/>
    <col min="18" max="18" width="6.88671875" style="58" customWidth="1"/>
    <col min="19" max="19" width="8.88671875" style="58"/>
    <col min="20" max="20" width="13.33203125" style="58" bestFit="1" customWidth="1"/>
    <col min="21" max="16384" width="8.88671875" style="58"/>
  </cols>
  <sheetData>
    <row r="1" spans="1:20" ht="28.8">
      <c r="A1" s="50"/>
      <c r="B1" s="92" t="s">
        <v>16</v>
      </c>
      <c r="C1" s="76" t="s">
        <v>18</v>
      </c>
      <c r="D1" s="75" t="s">
        <v>40</v>
      </c>
      <c r="E1" s="92" t="s">
        <v>0</v>
      </c>
      <c r="F1" s="50" t="s">
        <v>1</v>
      </c>
      <c r="G1" s="97" t="s">
        <v>11</v>
      </c>
      <c r="H1" s="92" t="s">
        <v>35</v>
      </c>
      <c r="I1" s="93" t="s">
        <v>36</v>
      </c>
      <c r="J1" s="91" t="s">
        <v>10</v>
      </c>
      <c r="K1" s="75" t="s">
        <v>2</v>
      </c>
      <c r="L1" s="92" t="s">
        <v>42</v>
      </c>
      <c r="M1" s="75" t="s">
        <v>38</v>
      </c>
      <c r="N1" s="148" t="s">
        <v>37</v>
      </c>
      <c r="O1" s="92" t="s">
        <v>39</v>
      </c>
      <c r="P1" s="148" t="s">
        <v>158</v>
      </c>
      <c r="Q1" s="92" t="s">
        <v>41</v>
      </c>
      <c r="S1" s="148" t="s">
        <v>273</v>
      </c>
      <c r="T1" s="148" t="s">
        <v>274</v>
      </c>
    </row>
    <row r="2" spans="1:20" s="60" customFormat="1" ht="14.4" customHeight="1">
      <c r="A2" s="326" t="s">
        <v>14</v>
      </c>
      <c r="B2" s="130" t="s">
        <v>288</v>
      </c>
      <c r="C2" s="104" t="s">
        <v>97</v>
      </c>
      <c r="D2" s="288">
        <f>291</f>
        <v>291</v>
      </c>
      <c r="E2" s="70">
        <f>References!$B$7</f>
        <v>4.333333333333333</v>
      </c>
      <c r="F2" s="108">
        <f>D2*E2*12</f>
        <v>15132</v>
      </c>
      <c r="G2" s="243">
        <f>References!$B$13</f>
        <v>20</v>
      </c>
      <c r="H2" s="136">
        <f>G2*F2</f>
        <v>302640</v>
      </c>
      <c r="I2" s="47">
        <f t="shared" ref="I2:I16" si="0">$D$139*H2</f>
        <v>226823.06557148896</v>
      </c>
      <c r="J2" s="71">
        <f>(References!$C$49*I2)</f>
        <v>1922.5828061191457</v>
      </c>
      <c r="K2" s="71">
        <f>J2/References!$G$52</f>
        <v>1979.1875706394335</v>
      </c>
      <c r="L2" s="67">
        <f>K2/F2*E2</f>
        <v>0.56677765482228903</v>
      </c>
      <c r="M2" s="242">
        <v>16.912509025532799</v>
      </c>
      <c r="N2" s="287">
        <f>L2+M2</f>
        <v>17.479286680355088</v>
      </c>
      <c r="O2" s="67">
        <f t="shared" ref="O2:O8" si="1">M2*D2*12</f>
        <v>59058.48151716053</v>
      </c>
      <c r="P2" s="67">
        <f t="shared" ref="P2:P8" si="2">N2*D2*12</f>
        <v>61037.669087799964</v>
      </c>
      <c r="Q2" s="67">
        <f>O2-P2</f>
        <v>-1979.1875706394349</v>
      </c>
      <c r="S2" s="277">
        <f>L2/M2</f>
        <v>3.3512334211714262E-2</v>
      </c>
      <c r="T2" s="278">
        <f>N2-M2-L2</f>
        <v>0</v>
      </c>
    </row>
    <row r="3" spans="1:20" s="60" customFormat="1">
      <c r="A3" s="327"/>
      <c r="B3" s="128" t="s">
        <v>148</v>
      </c>
      <c r="C3" s="105" t="s">
        <v>98</v>
      </c>
      <c r="D3" s="288">
        <f>328</f>
        <v>328</v>
      </c>
      <c r="E3" s="69">
        <f>References!$B$7</f>
        <v>4.333333333333333</v>
      </c>
      <c r="F3" s="108">
        <f>D3*E3*12</f>
        <v>17056</v>
      </c>
      <c r="G3" s="243">
        <f>References!B14</f>
        <v>34</v>
      </c>
      <c r="H3" s="68">
        <f t="shared" ref="H3:H8" si="3">G3*F3</f>
        <v>579904</v>
      </c>
      <c r="I3" s="47">
        <f t="shared" si="0"/>
        <v>434627.28990605584</v>
      </c>
      <c r="J3" s="67">
        <f>(References!$C$49*I3)</f>
        <v>3683.9593563300195</v>
      </c>
      <c r="K3" s="67">
        <f>J3/References!$G$52</f>
        <v>3792.4226439469007</v>
      </c>
      <c r="L3" s="67">
        <f>K3/F3*E3</f>
        <v>0.96352201319789132</v>
      </c>
      <c r="M3" s="242">
        <v>24.744265343405758</v>
      </c>
      <c r="N3" s="287">
        <f>L3+M3</f>
        <v>25.707787356603649</v>
      </c>
      <c r="O3" s="67">
        <f t="shared" si="1"/>
        <v>97393.428391645066</v>
      </c>
      <c r="P3" s="67">
        <f t="shared" si="2"/>
        <v>101185.85103559196</v>
      </c>
      <c r="Q3" s="67">
        <f t="shared" ref="Q3:Q8" si="4">O3-P3</f>
        <v>-3792.4226439468912</v>
      </c>
      <c r="S3" s="277">
        <f t="shared" ref="S3:S8" si="5">L3/M3</f>
        <v>3.8939204693529759E-2</v>
      </c>
      <c r="T3" s="278">
        <f t="shared" ref="T3:T8" si="6">N3-M3-L3</f>
        <v>0</v>
      </c>
    </row>
    <row r="4" spans="1:20" s="60" customFormat="1">
      <c r="A4" s="327"/>
      <c r="B4" s="128" t="s">
        <v>148</v>
      </c>
      <c r="C4" s="105" t="s">
        <v>99</v>
      </c>
      <c r="D4" s="288">
        <f>3</f>
        <v>3</v>
      </c>
      <c r="E4" s="69">
        <f>References!$B$7</f>
        <v>4.333333333333333</v>
      </c>
      <c r="F4" s="108">
        <f t="shared" ref="F4:F8" si="7">D4*E4*12</f>
        <v>156</v>
      </c>
      <c r="G4" s="243">
        <f>References!B15</f>
        <v>51</v>
      </c>
      <c r="H4" s="68">
        <f t="shared" si="3"/>
        <v>7956</v>
      </c>
      <c r="I4" s="47">
        <f t="shared" si="0"/>
        <v>5962.8744041989366</v>
      </c>
      <c r="J4" s="67">
        <f>(References!$C$49*I4)</f>
        <v>50.542125315503313</v>
      </c>
      <c r="K4" s="67">
        <f>J4/References!$G$52</f>
        <v>52.030188712686133</v>
      </c>
      <c r="L4" s="67">
        <f t="shared" ref="L4:L8" si="8">K4/F4*E4</f>
        <v>1.4452830197968369</v>
      </c>
      <c r="M4" s="242">
        <v>41.341398015108638</v>
      </c>
      <c r="N4" s="287">
        <f t="shared" ref="N4:N8" si="9">L4+M4</f>
        <v>42.786681034905477</v>
      </c>
      <c r="O4" s="67">
        <f t="shared" si="1"/>
        <v>1488.2903285439111</v>
      </c>
      <c r="P4" s="67">
        <f>N4*D4*12</f>
        <v>1540.3205172565972</v>
      </c>
      <c r="Q4" s="67">
        <f t="shared" si="4"/>
        <v>-52.03018871268614</v>
      </c>
      <c r="S4" s="277">
        <f t="shared" si="5"/>
        <v>3.4959703570465697E-2</v>
      </c>
      <c r="T4" s="278">
        <f t="shared" si="6"/>
        <v>2.6645352591003757E-15</v>
      </c>
    </row>
    <row r="5" spans="1:20" s="60" customFormat="1">
      <c r="A5" s="327"/>
      <c r="B5" s="128" t="s">
        <v>148</v>
      </c>
      <c r="C5" s="105" t="s">
        <v>101</v>
      </c>
      <c r="D5" s="288">
        <f>1180</f>
        <v>1180</v>
      </c>
      <c r="E5" s="69">
        <f>References!$B$7</f>
        <v>4.333333333333333</v>
      </c>
      <c r="F5" s="108">
        <f t="shared" ref="F5" si="10">D5*E5*12</f>
        <v>61360</v>
      </c>
      <c r="G5" s="243">
        <f>References!B20</f>
        <v>37</v>
      </c>
      <c r="H5" s="68">
        <f t="shared" ref="H5" si="11">G5*F5</f>
        <v>2270320</v>
      </c>
      <c r="I5" s="47">
        <f t="shared" si="0"/>
        <v>1701562.7221393827</v>
      </c>
      <c r="J5" s="67">
        <f>(References!$C$49*I5)</f>
        <v>14422.674452776959</v>
      </c>
      <c r="K5" s="67">
        <f>J5/References!$G$52</f>
        <v>14847.307445724684</v>
      </c>
      <c r="L5" s="67">
        <f t="shared" ref="L5" si="12">K5/F5*E5</f>
        <v>1.0485386614212346</v>
      </c>
      <c r="M5" s="242">
        <v>25.579641697235676</v>
      </c>
      <c r="N5" s="287">
        <f t="shared" ref="N5" si="13">L5+M5</f>
        <v>26.628180358656909</v>
      </c>
      <c r="O5" s="67">
        <f t="shared" si="1"/>
        <v>362207.72643285716</v>
      </c>
      <c r="P5" s="67">
        <f t="shared" si="2"/>
        <v>377055.03387858183</v>
      </c>
      <c r="Q5" s="67">
        <f t="shared" si="4"/>
        <v>-14847.307445724669</v>
      </c>
      <c r="S5" s="277">
        <f t="shared" si="5"/>
        <v>4.0991139509766759E-2</v>
      </c>
      <c r="T5" s="278">
        <f t="shared" si="6"/>
        <v>0</v>
      </c>
    </row>
    <row r="6" spans="1:20" s="60" customFormat="1">
      <c r="A6" s="327"/>
      <c r="B6" s="128" t="s">
        <v>148</v>
      </c>
      <c r="C6" s="105" t="s">
        <v>102</v>
      </c>
      <c r="D6" s="288">
        <f>995</f>
        <v>995</v>
      </c>
      <c r="E6" s="69">
        <f>References!$B$7</f>
        <v>4.333333333333333</v>
      </c>
      <c r="F6" s="108">
        <f t="shared" si="7"/>
        <v>51739.999999999993</v>
      </c>
      <c r="G6" s="243">
        <f>References!B21</f>
        <v>47</v>
      </c>
      <c r="H6" s="68">
        <f t="shared" si="3"/>
        <v>2431779.9999999995</v>
      </c>
      <c r="I6" s="47">
        <f t="shared" si="0"/>
        <v>1822573.9968128316</v>
      </c>
      <c r="J6" s="67">
        <f>(References!$C$49*I6)</f>
        <v>15448.382290062171</v>
      </c>
      <c r="K6" s="67">
        <f>J6/References!$G$52</f>
        <v>15903.214216658605</v>
      </c>
      <c r="L6" s="67">
        <f t="shared" si="8"/>
        <v>1.3319274888323791</v>
      </c>
      <c r="M6" s="242">
        <v>37.770896210002078</v>
      </c>
      <c r="N6" s="287">
        <f t="shared" si="9"/>
        <v>39.102823698834456</v>
      </c>
      <c r="O6" s="67">
        <f t="shared" si="1"/>
        <v>450984.50074742484</v>
      </c>
      <c r="P6" s="67">
        <f t="shared" si="2"/>
        <v>466887.7149640834</v>
      </c>
      <c r="Q6" s="67">
        <f t="shared" si="4"/>
        <v>-15903.214216658555</v>
      </c>
      <c r="S6" s="277">
        <f t="shared" si="5"/>
        <v>3.5263327653837148E-2</v>
      </c>
      <c r="T6" s="278">
        <f t="shared" si="6"/>
        <v>0</v>
      </c>
    </row>
    <row r="7" spans="1:20" s="60" customFormat="1">
      <c r="A7" s="327"/>
      <c r="B7" s="128" t="s">
        <v>148</v>
      </c>
      <c r="C7" s="105" t="s">
        <v>103</v>
      </c>
      <c r="D7" s="288">
        <f>329</f>
        <v>329</v>
      </c>
      <c r="E7" s="69">
        <f>References!$B$7</f>
        <v>4.333333333333333</v>
      </c>
      <c r="F7" s="108">
        <f t="shared" si="7"/>
        <v>17108</v>
      </c>
      <c r="G7" s="243">
        <f>References!B22</f>
        <v>68</v>
      </c>
      <c r="H7" s="68">
        <f t="shared" si="3"/>
        <v>1163344</v>
      </c>
      <c r="I7" s="47">
        <f t="shared" si="0"/>
        <v>871904.74621397781</v>
      </c>
      <c r="J7" s="67">
        <f>(References!$C$49*I7)</f>
        <v>7390.3818794669287</v>
      </c>
      <c r="K7" s="67">
        <f>J7/References!$G$52</f>
        <v>7607.9698162105506</v>
      </c>
      <c r="L7" s="67">
        <f t="shared" si="8"/>
        <v>1.9270440263957826</v>
      </c>
      <c r="M7" s="242">
        <v>52.478530686811517</v>
      </c>
      <c r="N7" s="287">
        <f t="shared" si="9"/>
        <v>54.405574713207301</v>
      </c>
      <c r="O7" s="67">
        <f t="shared" si="1"/>
        <v>207185.23915153189</v>
      </c>
      <c r="P7" s="67">
        <f t="shared" si="2"/>
        <v>214793.20896774242</v>
      </c>
      <c r="Q7" s="67">
        <f t="shared" si="4"/>
        <v>-7607.9698162105342</v>
      </c>
      <c r="S7" s="277">
        <f t="shared" si="5"/>
        <v>3.672061700614785E-2</v>
      </c>
      <c r="T7" s="278">
        <f t="shared" si="6"/>
        <v>0</v>
      </c>
    </row>
    <row r="8" spans="1:20" s="60" customFormat="1">
      <c r="A8" s="327"/>
      <c r="B8" s="128" t="s">
        <v>148</v>
      </c>
      <c r="C8" s="114" t="s">
        <v>93</v>
      </c>
      <c r="D8" s="288">
        <f>38</f>
        <v>38</v>
      </c>
      <c r="E8" s="136">
        <f>References!$B$9</f>
        <v>1</v>
      </c>
      <c r="F8" s="108">
        <f t="shared" si="7"/>
        <v>456</v>
      </c>
      <c r="G8" s="243">
        <f>References!B14</f>
        <v>34</v>
      </c>
      <c r="H8" s="68">
        <f t="shared" si="3"/>
        <v>15504</v>
      </c>
      <c r="I8" s="47">
        <f t="shared" si="0"/>
        <v>11619.960377413312</v>
      </c>
      <c r="J8" s="67">
        <f>(References!$C$49*I8)</f>
        <v>98.492346768673116</v>
      </c>
      <c r="K8" s="67">
        <f>J8/References!$G$52</f>
        <v>101.39216261959349</v>
      </c>
      <c r="L8" s="67">
        <f t="shared" si="8"/>
        <v>0.22235123381489802</v>
      </c>
      <c r="M8" s="242">
        <v>9.5771381561705606</v>
      </c>
      <c r="N8" s="287">
        <f t="shared" si="9"/>
        <v>9.7994893899854585</v>
      </c>
      <c r="O8" s="67">
        <f t="shared" si="1"/>
        <v>4367.1749992137757</v>
      </c>
      <c r="P8" s="67">
        <f t="shared" si="2"/>
        <v>4468.567161833369</v>
      </c>
      <c r="Q8" s="67">
        <f t="shared" si="4"/>
        <v>-101.39216261959336</v>
      </c>
      <c r="S8" s="277">
        <f t="shared" si="5"/>
        <v>2.3216876502051596E-2</v>
      </c>
      <c r="T8" s="278">
        <f t="shared" si="6"/>
        <v>0</v>
      </c>
    </row>
    <row r="9" spans="1:20" s="60" customFormat="1">
      <c r="A9" s="327"/>
      <c r="B9" s="128" t="s">
        <v>289</v>
      </c>
      <c r="C9" s="114" t="s">
        <v>97</v>
      </c>
      <c r="D9" s="288">
        <v>268</v>
      </c>
      <c r="E9" s="136">
        <f>References!$B$7</f>
        <v>4.333333333333333</v>
      </c>
      <c r="F9" s="108">
        <f>D9*E9*12</f>
        <v>13936</v>
      </c>
      <c r="G9" s="243">
        <f>References!$B$13</f>
        <v>20</v>
      </c>
      <c r="H9" s="136">
        <f>G9*F9</f>
        <v>278720</v>
      </c>
      <c r="I9" s="47">
        <f t="shared" si="0"/>
        <v>208895.46932357058</v>
      </c>
      <c r="J9" s="67">
        <f>(References!$C$49*I9)</f>
        <v>1770.626089484299</v>
      </c>
      <c r="K9" s="67">
        <f>J9/References!$G$52</f>
        <v>1822.7569379084814</v>
      </c>
      <c r="L9" s="67">
        <f>K9/F9*E9</f>
        <v>0.56677765482228892</v>
      </c>
      <c r="M9" s="242">
        <v>16.342509025532799</v>
      </c>
      <c r="N9" s="287">
        <f>L9+M9</f>
        <v>16.909286680355088</v>
      </c>
      <c r="O9" s="67">
        <f t="shared" ref="O9:O11" si="14">M9*D9*12</f>
        <v>52557.509026113476</v>
      </c>
      <c r="P9" s="67">
        <f t="shared" ref="P9:P10" si="15">N9*D9*12</f>
        <v>54380.265964021964</v>
      </c>
      <c r="Q9" s="67">
        <f>O9-P9</f>
        <v>-1822.7569379084889</v>
      </c>
      <c r="S9" s="277">
        <f>L9/M9</f>
        <v>3.4681189646998581E-2</v>
      </c>
      <c r="T9" s="278">
        <f>N9-M9-L9</f>
        <v>0</v>
      </c>
    </row>
    <row r="10" spans="1:20" s="60" customFormat="1">
      <c r="A10" s="327"/>
      <c r="B10" s="128" t="s">
        <v>290</v>
      </c>
      <c r="C10" s="105" t="s">
        <v>98</v>
      </c>
      <c r="D10" s="288">
        <v>516</v>
      </c>
      <c r="E10" s="136">
        <f>References!$B$7</f>
        <v>4.333333333333333</v>
      </c>
      <c r="F10" s="108">
        <f>D10*E10*12</f>
        <v>26832</v>
      </c>
      <c r="G10" s="243">
        <f>References!B14</f>
        <v>34</v>
      </c>
      <c r="H10" s="68">
        <f t="shared" ref="H10:H11" si="16">G10*F10</f>
        <v>912288</v>
      </c>
      <c r="I10" s="47">
        <f t="shared" si="0"/>
        <v>683742.93168147805</v>
      </c>
      <c r="J10" s="67">
        <f>(References!$C$49*I10)</f>
        <v>5795.4970361777132</v>
      </c>
      <c r="K10" s="67">
        <f>J10/References!$G$52</f>
        <v>5966.1283057213432</v>
      </c>
      <c r="L10" s="67">
        <f>K10/F10*E10</f>
        <v>0.96352201319789121</v>
      </c>
      <c r="M10" s="242">
        <v>23.784265343405757</v>
      </c>
      <c r="N10" s="287">
        <f>L10+M10</f>
        <v>24.747787356603649</v>
      </c>
      <c r="O10" s="67">
        <f t="shared" si="14"/>
        <v>147272.17100636844</v>
      </c>
      <c r="P10" s="67">
        <f t="shared" si="15"/>
        <v>153238.2993120898</v>
      </c>
      <c r="Q10" s="67">
        <f t="shared" ref="Q10:Q11" si="17">O10-P10</f>
        <v>-5966.1283057213586</v>
      </c>
      <c r="S10" s="277">
        <f t="shared" ref="S10:S11" si="18">L10/M10</f>
        <v>4.0510900769320166E-2</v>
      </c>
      <c r="T10" s="278">
        <f t="shared" ref="T10:T11" si="19">N10-M10-L10</f>
        <v>0</v>
      </c>
    </row>
    <row r="11" spans="1:20" s="60" customFormat="1">
      <c r="A11" s="327"/>
      <c r="B11" s="128" t="s">
        <v>290</v>
      </c>
      <c r="C11" s="105" t="s">
        <v>99</v>
      </c>
      <c r="D11" s="288">
        <v>30</v>
      </c>
      <c r="E11" s="136">
        <f>References!$B$7</f>
        <v>4.333333333333333</v>
      </c>
      <c r="F11" s="108">
        <f t="shared" ref="F11" si="20">D11*E11*12</f>
        <v>1560</v>
      </c>
      <c r="G11" s="243">
        <f>References!B15</f>
        <v>51</v>
      </c>
      <c r="H11" s="68">
        <f t="shared" si="16"/>
        <v>79560</v>
      </c>
      <c r="I11" s="47">
        <f t="shared" si="0"/>
        <v>59628.744041989368</v>
      </c>
      <c r="J11" s="67">
        <f>(References!$C$49*I11)</f>
        <v>505.42125315503318</v>
      </c>
      <c r="K11" s="67">
        <f>J11/References!$G$52</f>
        <v>520.3018871268614</v>
      </c>
      <c r="L11" s="67">
        <f t="shared" ref="L11" si="21">K11/F11*E11</f>
        <v>1.4452830197968372</v>
      </c>
      <c r="M11" s="242">
        <v>39.891398015108635</v>
      </c>
      <c r="N11" s="287">
        <f t="shared" ref="N11" si="22">L11+M11</f>
        <v>41.336681034905475</v>
      </c>
      <c r="O11" s="67">
        <f t="shared" si="14"/>
        <v>14360.903285439108</v>
      </c>
      <c r="P11" s="67">
        <f>N11*D11*12</f>
        <v>14881.205172565969</v>
      </c>
      <c r="Q11" s="67">
        <f t="shared" si="17"/>
        <v>-520.3018871268614</v>
      </c>
      <c r="S11" s="277">
        <f t="shared" si="18"/>
        <v>3.62304429453549E-2</v>
      </c>
      <c r="T11" s="278">
        <f t="shared" si="19"/>
        <v>2.4424906541753444E-15</v>
      </c>
    </row>
    <row r="12" spans="1:20" s="60" customFormat="1">
      <c r="A12" s="327"/>
      <c r="B12" s="128" t="s">
        <v>290</v>
      </c>
      <c r="C12" s="105" t="s">
        <v>100</v>
      </c>
      <c r="D12" s="288">
        <v>1</v>
      </c>
      <c r="E12" s="136">
        <f>References!$B$7</f>
        <v>4.333333333333333</v>
      </c>
      <c r="F12" s="108">
        <f t="shared" ref="F12:F16" si="23">D12*E12*12</f>
        <v>52</v>
      </c>
      <c r="G12" s="243">
        <f>References!B16</f>
        <v>77</v>
      </c>
      <c r="H12" s="68">
        <f t="shared" ref="H12:H16" si="24">G12*F12</f>
        <v>4004</v>
      </c>
      <c r="I12" s="47">
        <f t="shared" si="0"/>
        <v>3000.9237197602492</v>
      </c>
      <c r="J12" s="67">
        <f>(References!$C$49*I12)</f>
        <v>25.43623300191997</v>
      </c>
      <c r="K12" s="67">
        <f>J12/References!$G$52</f>
        <v>26.185127652789756</v>
      </c>
      <c r="L12" s="67">
        <f t="shared" ref="L12:L16" si="25">K12/F12*E12</f>
        <v>2.1820939710658127</v>
      </c>
      <c r="M12" s="242">
        <v>57.854659748301273</v>
      </c>
      <c r="N12" s="287">
        <f t="shared" ref="N12:N16" si="26">L12+M12</f>
        <v>60.036753719367084</v>
      </c>
      <c r="O12" s="67">
        <f t="shared" ref="O12:O16" si="27">M12*D12*12</f>
        <v>694.25591697961522</v>
      </c>
      <c r="P12" s="67">
        <f>N12*D12*12</f>
        <v>720.44104463240501</v>
      </c>
      <c r="Q12" s="67">
        <f t="shared" ref="Q12:Q16" si="28">O12-P12</f>
        <v>-26.185127652789788</v>
      </c>
      <c r="S12" s="277">
        <f t="shared" ref="S12:S16" si="29">L12/M12</f>
        <v>3.771682316617346E-2</v>
      </c>
      <c r="T12" s="278">
        <f t="shared" ref="T12:T16" si="30">N12-M12-L12</f>
        <v>0</v>
      </c>
    </row>
    <row r="13" spans="1:20" s="60" customFormat="1">
      <c r="A13" s="327"/>
      <c r="B13" s="128" t="s">
        <v>290</v>
      </c>
      <c r="C13" s="105" t="s">
        <v>101</v>
      </c>
      <c r="D13" s="288">
        <v>631</v>
      </c>
      <c r="E13" s="136">
        <f>References!$B$7</f>
        <v>4.333333333333333</v>
      </c>
      <c r="F13" s="108">
        <f t="shared" si="23"/>
        <v>32812</v>
      </c>
      <c r="G13" s="243">
        <f>References!B20</f>
        <v>37</v>
      </c>
      <c r="H13" s="68">
        <f t="shared" si="24"/>
        <v>1214044</v>
      </c>
      <c r="I13" s="47">
        <f t="shared" si="0"/>
        <v>909903.4556525005</v>
      </c>
      <c r="J13" s="67">
        <f>(References!$C$49*I13)</f>
        <v>7712.4640505951365</v>
      </c>
      <c r="K13" s="67">
        <f>J13/References!$G$52</f>
        <v>7939.5347442815901</v>
      </c>
      <c r="L13" s="67">
        <f t="shared" si="25"/>
        <v>1.0485386614212346</v>
      </c>
      <c r="M13" s="242">
        <v>24.609641697235677</v>
      </c>
      <c r="N13" s="287">
        <f t="shared" si="26"/>
        <v>25.65818035865691</v>
      </c>
      <c r="O13" s="67">
        <f t="shared" si="27"/>
        <v>186344.20693146854</v>
      </c>
      <c r="P13" s="67">
        <f t="shared" ref="P13:P16" si="31">N13*D13*12</f>
        <v>194283.74167575012</v>
      </c>
      <c r="Q13" s="67">
        <f t="shared" si="28"/>
        <v>-7939.5347442815837</v>
      </c>
      <c r="S13" s="277">
        <f t="shared" si="29"/>
        <v>4.2606823549934641E-2</v>
      </c>
      <c r="T13" s="278">
        <f t="shared" si="30"/>
        <v>0</v>
      </c>
    </row>
    <row r="14" spans="1:20" s="60" customFormat="1">
      <c r="A14" s="327"/>
      <c r="B14" s="128" t="s">
        <v>290</v>
      </c>
      <c r="C14" s="105" t="s">
        <v>102</v>
      </c>
      <c r="D14" s="288">
        <v>475</v>
      </c>
      <c r="E14" s="136">
        <f>References!$B$7</f>
        <v>4.333333333333333</v>
      </c>
      <c r="F14" s="108">
        <f t="shared" si="23"/>
        <v>24699.999999999996</v>
      </c>
      <c r="G14" s="243">
        <f>References!B21</f>
        <v>47</v>
      </c>
      <c r="H14" s="68">
        <f t="shared" si="24"/>
        <v>1160899.9999999998</v>
      </c>
      <c r="I14" s="47">
        <f t="shared" si="0"/>
        <v>870073.01355386432</v>
      </c>
      <c r="J14" s="67">
        <f>(References!$C$49*I14)</f>
        <v>7374.8558671151068</v>
      </c>
      <c r="K14" s="67">
        <f>J14/References!$G$52</f>
        <v>7591.9866863445613</v>
      </c>
      <c r="L14" s="67">
        <f t="shared" si="25"/>
        <v>1.3319274888323793</v>
      </c>
      <c r="M14" s="242">
        <v>36.430896210002075</v>
      </c>
      <c r="N14" s="287">
        <f t="shared" si="26"/>
        <v>37.762823698834453</v>
      </c>
      <c r="O14" s="67">
        <f t="shared" si="27"/>
        <v>207656.10839701185</v>
      </c>
      <c r="P14" s="67">
        <f t="shared" si="31"/>
        <v>215248.09508335637</v>
      </c>
      <c r="Q14" s="67">
        <f t="shared" si="28"/>
        <v>-7591.9866863445204</v>
      </c>
      <c r="S14" s="277">
        <f t="shared" si="29"/>
        <v>3.6560382186444799E-2</v>
      </c>
      <c r="T14" s="278">
        <f t="shared" si="30"/>
        <v>-1.7763568394002505E-15</v>
      </c>
    </row>
    <row r="15" spans="1:20" s="60" customFormat="1">
      <c r="A15" s="327"/>
      <c r="B15" s="128" t="s">
        <v>290</v>
      </c>
      <c r="C15" s="105" t="s">
        <v>103</v>
      </c>
      <c r="D15" s="288">
        <v>119</v>
      </c>
      <c r="E15" s="136">
        <f>References!$B$7</f>
        <v>4.333333333333333</v>
      </c>
      <c r="F15" s="108">
        <f t="shared" si="23"/>
        <v>6188</v>
      </c>
      <c r="G15" s="243">
        <f>References!B22</f>
        <v>68</v>
      </c>
      <c r="H15" s="68">
        <f t="shared" si="24"/>
        <v>420784</v>
      </c>
      <c r="I15" s="47">
        <f t="shared" si="0"/>
        <v>315369.80182207708</v>
      </c>
      <c r="J15" s="67">
        <f>(References!$C$49*I15)</f>
        <v>2673.1168500199528</v>
      </c>
      <c r="K15" s="67">
        <f>J15/References!$G$52</f>
        <v>2751.8188696931775</v>
      </c>
      <c r="L15" s="67">
        <f t="shared" si="25"/>
        <v>1.9270440263957824</v>
      </c>
      <c r="M15" s="242">
        <v>50.548530686811517</v>
      </c>
      <c r="N15" s="287">
        <f t="shared" si="26"/>
        <v>52.475574713207301</v>
      </c>
      <c r="O15" s="67">
        <f t="shared" si="27"/>
        <v>72183.30182076685</v>
      </c>
      <c r="P15" s="67">
        <f t="shared" si="31"/>
        <v>74935.120690460026</v>
      </c>
      <c r="Q15" s="67">
        <f t="shared" si="28"/>
        <v>-2751.8188696931757</v>
      </c>
      <c r="S15" s="277">
        <f t="shared" si="29"/>
        <v>3.8122651642148765E-2</v>
      </c>
      <c r="T15" s="278">
        <f t="shared" si="30"/>
        <v>0</v>
      </c>
    </row>
    <row r="16" spans="1:20" s="60" customFormat="1">
      <c r="A16" s="327"/>
      <c r="B16" s="128" t="s">
        <v>290</v>
      </c>
      <c r="C16" s="105" t="s">
        <v>93</v>
      </c>
      <c r="D16" s="288">
        <v>30</v>
      </c>
      <c r="E16" s="136">
        <f>References!$B$9</f>
        <v>1</v>
      </c>
      <c r="F16" s="108">
        <f t="shared" si="23"/>
        <v>360</v>
      </c>
      <c r="G16" s="243">
        <f>References!B14</f>
        <v>34</v>
      </c>
      <c r="H16" s="68">
        <f t="shared" si="24"/>
        <v>12240</v>
      </c>
      <c r="I16" s="47">
        <f t="shared" si="0"/>
        <v>9173.6529295368255</v>
      </c>
      <c r="J16" s="67">
        <f>(References!$C$49*I16)</f>
        <v>77.757115870005094</v>
      </c>
      <c r="K16" s="67">
        <f>J16/References!$G$52</f>
        <v>80.046444173363284</v>
      </c>
      <c r="L16" s="67">
        <f t="shared" si="25"/>
        <v>0.22235123381489802</v>
      </c>
      <c r="M16" s="242">
        <v>9.3471381561705602</v>
      </c>
      <c r="N16" s="287">
        <f t="shared" si="26"/>
        <v>9.5694893899854581</v>
      </c>
      <c r="O16" s="67">
        <f t="shared" si="27"/>
        <v>3364.9697362214019</v>
      </c>
      <c r="P16" s="67">
        <f t="shared" si="31"/>
        <v>3445.0161803947649</v>
      </c>
      <c r="Q16" s="67">
        <f t="shared" si="28"/>
        <v>-80.046444173362943</v>
      </c>
      <c r="S16" s="277">
        <f t="shared" si="29"/>
        <v>2.3788161691834172E-2</v>
      </c>
      <c r="T16" s="278">
        <f t="shared" si="30"/>
        <v>0</v>
      </c>
    </row>
    <row r="17" spans="1:20" s="60" customFormat="1">
      <c r="A17" s="63"/>
      <c r="B17" s="95"/>
      <c r="C17" s="105"/>
      <c r="D17" s="107"/>
      <c r="E17" s="69"/>
      <c r="F17" s="68"/>
      <c r="G17" s="109"/>
      <c r="H17" s="68"/>
      <c r="I17" s="47"/>
      <c r="J17" s="67"/>
      <c r="K17" s="67"/>
      <c r="L17" s="67"/>
      <c r="M17" s="110"/>
      <c r="N17" s="67"/>
      <c r="O17" s="67"/>
      <c r="P17" s="67"/>
      <c r="Q17" s="67"/>
    </row>
    <row r="18" spans="1:20" s="60" customFormat="1">
      <c r="A18" s="51"/>
      <c r="B18" s="77"/>
      <c r="C18" s="52" t="s">
        <v>17</v>
      </c>
      <c r="D18" s="53">
        <f>SUM(D2:D17)</f>
        <v>5234</v>
      </c>
      <c r="E18" s="54"/>
      <c r="F18" s="53">
        <f>SUM(F2:F17)</f>
        <v>269448</v>
      </c>
      <c r="G18" s="98"/>
      <c r="H18" s="53">
        <f>SUM(H2:H17)</f>
        <v>10853988</v>
      </c>
      <c r="I18" s="53">
        <f>SUM(I2:I17)</f>
        <v>8134862.6481501274</v>
      </c>
      <c r="J18" s="73"/>
      <c r="K18" s="73"/>
      <c r="L18" s="73"/>
      <c r="M18" s="73"/>
      <c r="N18" s="73"/>
      <c r="O18" s="53">
        <f>SUM(O2:O17)</f>
        <v>1867118.2676887466</v>
      </c>
      <c r="P18" s="113">
        <f>SUM(P2:P17)</f>
        <v>1938100.5507361609</v>
      </c>
      <c r="Q18" s="113">
        <f>SUM(Q2:Q17)</f>
        <v>-70982.283047414501</v>
      </c>
    </row>
    <row r="19" spans="1:20" s="60" customFormat="1">
      <c r="A19" s="63"/>
      <c r="B19" s="95"/>
      <c r="C19" s="105"/>
      <c r="D19" s="107"/>
      <c r="E19" s="136"/>
      <c r="F19" s="68"/>
      <c r="G19" s="109"/>
      <c r="H19" s="68"/>
      <c r="I19" s="47"/>
      <c r="J19" s="67"/>
      <c r="K19" s="67"/>
      <c r="L19" s="67"/>
      <c r="M19" s="110"/>
      <c r="N19" s="67"/>
      <c r="O19" s="67"/>
      <c r="P19" s="67"/>
      <c r="Q19" s="67"/>
    </row>
    <row r="20" spans="1:20" customFormat="1" ht="28.8">
      <c r="A20" s="141"/>
      <c r="B20" s="142"/>
      <c r="C20" s="143"/>
      <c r="D20" s="144" t="s">
        <v>156</v>
      </c>
      <c r="E20" s="145" t="s">
        <v>157</v>
      </c>
      <c r="F20" s="146"/>
      <c r="G20" s="138"/>
      <c r="H20" s="146"/>
      <c r="I20" s="146"/>
      <c r="J20" s="139"/>
      <c r="K20" s="139"/>
      <c r="L20" s="139"/>
      <c r="M20" s="139"/>
      <c r="N20" s="139"/>
      <c r="O20" s="140"/>
      <c r="P20" s="140"/>
      <c r="Q20" s="140"/>
    </row>
    <row r="21" spans="1:20" s="60" customFormat="1" ht="14.4" customHeight="1">
      <c r="A21" s="127"/>
      <c r="B21" s="106" t="s">
        <v>152</v>
      </c>
      <c r="C21" s="137" t="s">
        <v>106</v>
      </c>
      <c r="D21" s="289">
        <v>9</v>
      </c>
      <c r="E21" s="31">
        <v>12</v>
      </c>
      <c r="F21" s="147">
        <f t="shared" ref="F21:F34" si="32">D21*E21</f>
        <v>108</v>
      </c>
      <c r="G21" s="244">
        <f>+References!B21</f>
        <v>47</v>
      </c>
      <c r="H21" s="68">
        <f t="shared" ref="H21:H22" si="33">G21*F21</f>
        <v>5076</v>
      </c>
      <c r="I21" s="47">
        <f t="shared" ref="I21:I34" si="34">$D$139*H21</f>
        <v>3804.3678325432129</v>
      </c>
      <c r="J21" s="67">
        <f>(References!$C$49*I21)</f>
        <v>32.246333346090353</v>
      </c>
      <c r="K21" s="67">
        <f>J21/References!$G$52</f>
        <v>33.195731260130074</v>
      </c>
      <c r="L21" s="67">
        <f t="shared" ref="L21:L33" si="35">K21/F21</f>
        <v>0.30736788203824145</v>
      </c>
      <c r="M21" s="245">
        <v>11.136743970167396</v>
      </c>
      <c r="N21" s="287">
        <f t="shared" ref="N21:N22" si="36">L21+M21</f>
        <v>11.444111852205637</v>
      </c>
      <c r="O21" s="67">
        <f t="shared" ref="O21:O33" si="37">M21*F21</f>
        <v>1202.7683487780787</v>
      </c>
      <c r="P21" s="67">
        <f t="shared" ref="P21:P33" si="38">N21*F21</f>
        <v>1235.9640800382087</v>
      </c>
      <c r="Q21" s="67">
        <f t="shared" ref="Q21:Q22" si="39">O21-P21</f>
        <v>-33.19573126013006</v>
      </c>
      <c r="S21" s="277">
        <f t="shared" ref="S21" si="40">L21/M21</f>
        <v>2.7599438656541315E-2</v>
      </c>
      <c r="T21" s="278">
        <f t="shared" ref="T21" si="41">N21-M21-L21</f>
        <v>-6.106226635438361E-16</v>
      </c>
    </row>
    <row r="22" spans="1:20" s="60" customFormat="1">
      <c r="A22" s="58"/>
      <c r="B22" s="106" t="s">
        <v>152</v>
      </c>
      <c r="C22" s="137" t="s">
        <v>107</v>
      </c>
      <c r="D22" s="289">
        <v>13</v>
      </c>
      <c r="E22" s="31">
        <v>12</v>
      </c>
      <c r="F22" s="147">
        <f t="shared" si="32"/>
        <v>156</v>
      </c>
      <c r="G22" s="244">
        <f>+References!B22</f>
        <v>68</v>
      </c>
      <c r="H22" s="68">
        <f t="shared" si="33"/>
        <v>10608</v>
      </c>
      <c r="I22" s="47">
        <f t="shared" si="34"/>
        <v>7950.4992055985822</v>
      </c>
      <c r="J22" s="67">
        <f>(References!$C$49*I22)</f>
        <v>67.389500420671084</v>
      </c>
      <c r="K22" s="67">
        <f>J22/References!$G$52</f>
        <v>69.373584950248173</v>
      </c>
      <c r="L22" s="67">
        <f t="shared" si="35"/>
        <v>0.44470246762979598</v>
      </c>
      <c r="M22" s="245">
        <v>14.724660734874353</v>
      </c>
      <c r="N22" s="287">
        <f t="shared" si="36"/>
        <v>15.169363202504149</v>
      </c>
      <c r="O22" s="67">
        <f t="shared" si="37"/>
        <v>2297.0470746403989</v>
      </c>
      <c r="P22" s="67">
        <f t="shared" si="38"/>
        <v>2366.4206595906471</v>
      </c>
      <c r="Q22" s="67">
        <f t="shared" si="39"/>
        <v>-69.373584950248187</v>
      </c>
      <c r="S22" s="277">
        <f t="shared" ref="S22:S33" si="42">L22/M22</f>
        <v>3.0201202977570039E-2</v>
      </c>
      <c r="T22" s="278">
        <f t="shared" ref="T22:T33" si="43">N22-M22-L22</f>
        <v>0</v>
      </c>
    </row>
    <row r="23" spans="1:20" s="60" customFormat="1">
      <c r="A23" s="327" t="s">
        <v>15</v>
      </c>
      <c r="B23" s="106" t="s">
        <v>152</v>
      </c>
      <c r="C23" s="137" t="s">
        <v>108</v>
      </c>
      <c r="D23" s="290">
        <v>13.000000000000002</v>
      </c>
      <c r="E23" s="31">
        <v>12</v>
      </c>
      <c r="F23" s="147">
        <f t="shared" si="32"/>
        <v>156.00000000000003</v>
      </c>
      <c r="G23" s="243">
        <f>References!B27</f>
        <v>175</v>
      </c>
      <c r="H23" s="68">
        <f t="shared" ref="H23:H34" si="44">G23*F23</f>
        <v>27300.000000000004</v>
      </c>
      <c r="I23" s="47">
        <f t="shared" si="34"/>
        <v>20460.843543819883</v>
      </c>
      <c r="J23" s="67">
        <f>(References!$C$49*I23)</f>
        <v>173.42886137672707</v>
      </c>
      <c r="K23" s="67">
        <f>J23/References!$G$52</f>
        <v>178.53496126902107</v>
      </c>
      <c r="L23" s="67">
        <f t="shared" si="35"/>
        <v>1.1444548799296219</v>
      </c>
      <c r="M23" s="246">
        <v>29.84875827935678</v>
      </c>
      <c r="N23" s="287">
        <f t="shared" ref="N23:N34" si="45">L23+M23</f>
        <v>30.993213159286402</v>
      </c>
      <c r="O23" s="67">
        <f t="shared" si="37"/>
        <v>4656.4062915796585</v>
      </c>
      <c r="P23" s="67">
        <f t="shared" si="38"/>
        <v>4834.9412528486791</v>
      </c>
      <c r="Q23" s="67">
        <f t="shared" ref="Q23:Q33" si="46">O23-P23</f>
        <v>-178.53496126902064</v>
      </c>
      <c r="S23" s="277">
        <f t="shared" si="42"/>
        <v>3.8341791950558958E-2</v>
      </c>
      <c r="T23" s="278">
        <f t="shared" si="43"/>
        <v>0</v>
      </c>
    </row>
    <row r="24" spans="1:20" s="60" customFormat="1">
      <c r="A24" s="327"/>
      <c r="B24" s="106" t="s">
        <v>152</v>
      </c>
      <c r="C24" s="137" t="s">
        <v>109</v>
      </c>
      <c r="D24" s="290">
        <v>2.1667000000000001</v>
      </c>
      <c r="E24" s="31">
        <v>12</v>
      </c>
      <c r="F24" s="147">
        <f t="shared" si="32"/>
        <v>26.000399999999999</v>
      </c>
      <c r="G24" s="243">
        <f>References!B28</f>
        <v>250</v>
      </c>
      <c r="H24" s="68">
        <f t="shared" si="44"/>
        <v>6500.0999999999995</v>
      </c>
      <c r="I24" s="47">
        <f t="shared" si="34"/>
        <v>4871.7043633400581</v>
      </c>
      <c r="J24" s="67">
        <f>(References!$C$49*I24)</f>
        <v>41.293221312632362</v>
      </c>
      <c r="K24" s="67">
        <f>J24/References!$G$52</f>
        <v>42.508978085888778</v>
      </c>
      <c r="L24" s="67">
        <f t="shared" si="35"/>
        <v>1.634935542756603</v>
      </c>
      <c r="M24" s="246">
        <v>40.541274200897597</v>
      </c>
      <c r="N24" s="287">
        <f t="shared" si="45"/>
        <v>42.176209743654198</v>
      </c>
      <c r="O24" s="67">
        <f t="shared" si="37"/>
        <v>1054.0893457330178</v>
      </c>
      <c r="P24" s="67">
        <f t="shared" si="38"/>
        <v>1096.5983238189065</v>
      </c>
      <c r="Q24" s="67">
        <f t="shared" si="46"/>
        <v>-42.508978085888657</v>
      </c>
      <c r="S24" s="277">
        <f t="shared" si="42"/>
        <v>4.0327680246429083E-2</v>
      </c>
      <c r="T24" s="278">
        <f t="shared" si="43"/>
        <v>-1.9984014443252818E-15</v>
      </c>
    </row>
    <row r="25" spans="1:20" s="60" customFormat="1">
      <c r="A25" s="327"/>
      <c r="B25" s="106" t="s">
        <v>152</v>
      </c>
      <c r="C25" s="137" t="s">
        <v>110</v>
      </c>
      <c r="D25" s="290">
        <v>39</v>
      </c>
      <c r="E25" s="31">
        <v>12</v>
      </c>
      <c r="F25" s="147">
        <f t="shared" si="32"/>
        <v>468</v>
      </c>
      <c r="G25" s="243">
        <f>References!B29</f>
        <v>324</v>
      </c>
      <c r="H25" s="68">
        <f t="shared" si="44"/>
        <v>151632</v>
      </c>
      <c r="I25" s="47">
        <f t="shared" si="34"/>
        <v>113645.37099767385</v>
      </c>
      <c r="J25" s="67">
        <f>(References!$C$49*I25)</f>
        <v>963.2734471895925</v>
      </c>
      <c r="K25" s="67">
        <f>J25/References!$G$52</f>
        <v>991.6341848770769</v>
      </c>
      <c r="L25" s="67">
        <f t="shared" si="35"/>
        <v>2.1188764634125574</v>
      </c>
      <c r="M25" s="246">
        <v>52.874415548498561</v>
      </c>
      <c r="N25" s="287">
        <f t="shared" si="45"/>
        <v>54.993292011911116</v>
      </c>
      <c r="O25" s="67">
        <f t="shared" si="37"/>
        <v>24745.226476697328</v>
      </c>
      <c r="P25" s="67">
        <f t="shared" si="38"/>
        <v>25736.860661574403</v>
      </c>
      <c r="Q25" s="67">
        <f t="shared" si="46"/>
        <v>-991.63418487707531</v>
      </c>
      <c r="S25" s="277">
        <f t="shared" si="42"/>
        <v>4.0073756682360635E-2</v>
      </c>
      <c r="T25" s="278">
        <f t="shared" si="43"/>
        <v>0</v>
      </c>
    </row>
    <row r="26" spans="1:20" s="60" customFormat="1">
      <c r="A26" s="327"/>
      <c r="B26" s="106" t="s">
        <v>152</v>
      </c>
      <c r="C26" s="137" t="s">
        <v>111</v>
      </c>
      <c r="D26" s="290">
        <v>13</v>
      </c>
      <c r="E26" s="31">
        <v>12</v>
      </c>
      <c r="F26" s="147">
        <f t="shared" si="32"/>
        <v>156</v>
      </c>
      <c r="G26" s="243">
        <f>References!B30</f>
        <v>473</v>
      </c>
      <c r="H26" s="68">
        <f t="shared" si="44"/>
        <v>73788</v>
      </c>
      <c r="I26" s="47">
        <f t="shared" si="34"/>
        <v>55302.737121296021</v>
      </c>
      <c r="J26" s="67">
        <f>(References!$C$49*I26)</f>
        <v>468.75343674966803</v>
      </c>
      <c r="K26" s="67">
        <f>J26/References!$G$52</f>
        <v>482.55449531569695</v>
      </c>
      <c r="L26" s="67">
        <f t="shared" si="35"/>
        <v>3.0932980468954931</v>
      </c>
      <c r="M26" s="246">
        <v>74.55693776972339</v>
      </c>
      <c r="N26" s="287">
        <f t="shared" si="45"/>
        <v>77.650235816618888</v>
      </c>
      <c r="O26" s="67">
        <f t="shared" si="37"/>
        <v>11630.882292076849</v>
      </c>
      <c r="P26" s="67">
        <f t="shared" si="38"/>
        <v>12113.436787392546</v>
      </c>
      <c r="Q26" s="67">
        <f t="shared" si="46"/>
        <v>-482.55449531569684</v>
      </c>
      <c r="S26" s="277">
        <f t="shared" si="42"/>
        <v>4.1489070493338331E-2</v>
      </c>
      <c r="T26" s="278">
        <f t="shared" si="43"/>
        <v>4.8849813083506888E-15</v>
      </c>
    </row>
    <row r="27" spans="1:20" s="60" customFormat="1">
      <c r="A27" s="327"/>
      <c r="B27" s="106" t="s">
        <v>152</v>
      </c>
      <c r="C27" s="137" t="s">
        <v>112</v>
      </c>
      <c r="D27" s="290">
        <v>22</v>
      </c>
      <c r="E27" s="31">
        <v>12</v>
      </c>
      <c r="F27" s="147">
        <f t="shared" si="32"/>
        <v>264</v>
      </c>
      <c r="G27" s="243">
        <f>References!B31</f>
        <v>613</v>
      </c>
      <c r="H27" s="68">
        <f t="shared" si="44"/>
        <v>161832</v>
      </c>
      <c r="I27" s="47">
        <f t="shared" si="34"/>
        <v>121290.08177228787</v>
      </c>
      <c r="J27" s="67">
        <f>(References!$C$49*I27)</f>
        <v>1028.0710437479302</v>
      </c>
      <c r="K27" s="67">
        <f>J27/References!$G$52</f>
        <v>1058.3395550215464</v>
      </c>
      <c r="L27" s="67">
        <f t="shared" si="35"/>
        <v>4.0088619508391909</v>
      </c>
      <c r="M27" s="246">
        <v>106.39077003183952</v>
      </c>
      <c r="N27" s="287">
        <f t="shared" si="45"/>
        <v>110.39963198267871</v>
      </c>
      <c r="O27" s="67">
        <f t="shared" si="37"/>
        <v>28087.163288405634</v>
      </c>
      <c r="P27" s="67">
        <f t="shared" si="38"/>
        <v>29145.502843427181</v>
      </c>
      <c r="Q27" s="67">
        <f t="shared" si="46"/>
        <v>-1058.3395550215464</v>
      </c>
      <c r="S27" s="277">
        <f t="shared" si="42"/>
        <v>3.7680542679026201E-2</v>
      </c>
      <c r="T27" s="278">
        <f t="shared" si="43"/>
        <v>0</v>
      </c>
    </row>
    <row r="28" spans="1:20" s="60" customFormat="1" ht="15" customHeight="1">
      <c r="A28" s="327"/>
      <c r="B28" s="106" t="s">
        <v>152</v>
      </c>
      <c r="C28" s="137" t="s">
        <v>113</v>
      </c>
      <c r="D28" s="290">
        <v>35</v>
      </c>
      <c r="E28" s="31">
        <v>12</v>
      </c>
      <c r="F28" s="147">
        <f t="shared" si="32"/>
        <v>420</v>
      </c>
      <c r="G28" s="243">
        <f>References!B32</f>
        <v>840</v>
      </c>
      <c r="H28" s="68">
        <f t="shared" si="44"/>
        <v>352800</v>
      </c>
      <c r="I28" s="47">
        <f t="shared" si="34"/>
        <v>264417.05502782617</v>
      </c>
      <c r="J28" s="67">
        <f>(References!$C$49*I28)</f>
        <v>2241.2345162530883</v>
      </c>
      <c r="K28" s="67">
        <f>J28/References!$G$52</f>
        <v>2307.2210379381186</v>
      </c>
      <c r="L28" s="67">
        <f t="shared" si="35"/>
        <v>5.4933834236621868</v>
      </c>
      <c r="M28" s="246">
        <v>142.75844919026054</v>
      </c>
      <c r="N28" s="287">
        <f t="shared" si="45"/>
        <v>148.25183261392272</v>
      </c>
      <c r="O28" s="67">
        <f t="shared" si="37"/>
        <v>59958.548659909422</v>
      </c>
      <c r="P28" s="67">
        <f t="shared" si="38"/>
        <v>62265.769697847543</v>
      </c>
      <c r="Q28" s="67">
        <f t="shared" si="46"/>
        <v>-2307.2210379381213</v>
      </c>
      <c r="S28" s="277">
        <f t="shared" si="42"/>
        <v>3.8480268277087476E-2</v>
      </c>
      <c r="T28" s="278">
        <f t="shared" si="43"/>
        <v>0</v>
      </c>
    </row>
    <row r="29" spans="1:20" s="60" customFormat="1">
      <c r="A29" s="216"/>
      <c r="B29" s="106" t="s">
        <v>152</v>
      </c>
      <c r="C29" s="137" t="s">
        <v>114</v>
      </c>
      <c r="D29" s="290">
        <v>43.333000000000006</v>
      </c>
      <c r="E29" s="31">
        <v>12</v>
      </c>
      <c r="F29" s="147">
        <f t="shared" si="32"/>
        <v>519.99600000000009</v>
      </c>
      <c r="G29" s="243">
        <f>References!B33</f>
        <v>980</v>
      </c>
      <c r="H29" s="68">
        <f t="shared" si="44"/>
        <v>509596.08000000007</v>
      </c>
      <c r="I29" s="47">
        <f t="shared" si="34"/>
        <v>381932.80818402639</v>
      </c>
      <c r="J29" s="67">
        <f>(References!$C$49*I29)</f>
        <v>3237.3138430931695</v>
      </c>
      <c r="K29" s="67">
        <f>J29/References!$G$52</f>
        <v>3332.6269745657496</v>
      </c>
      <c r="L29" s="67">
        <f t="shared" si="35"/>
        <v>6.4089473276058833</v>
      </c>
      <c r="M29" s="246">
        <v>188.87933893788031</v>
      </c>
      <c r="N29" s="287">
        <f t="shared" si="45"/>
        <v>195.28828626548619</v>
      </c>
      <c r="O29" s="67">
        <f t="shared" si="37"/>
        <v>98216.500730342028</v>
      </c>
      <c r="P29" s="67">
        <f t="shared" si="38"/>
        <v>101549.12770490778</v>
      </c>
      <c r="Q29" s="67">
        <f t="shared" si="46"/>
        <v>-3332.6269745657482</v>
      </c>
      <c r="S29" s="277">
        <f t="shared" si="42"/>
        <v>3.3931436670866864E-2</v>
      </c>
      <c r="T29" s="278">
        <f t="shared" si="43"/>
        <v>0</v>
      </c>
    </row>
    <row r="30" spans="1:20" s="60" customFormat="1">
      <c r="A30" s="239"/>
      <c r="B30" s="43" t="s">
        <v>152</v>
      </c>
      <c r="C30" s="58" t="s">
        <v>169</v>
      </c>
      <c r="D30" s="289">
        <v>1</v>
      </c>
      <c r="E30" s="31">
        <v>12</v>
      </c>
      <c r="F30" s="147">
        <f t="shared" si="32"/>
        <v>12</v>
      </c>
      <c r="G30" s="244">
        <f>References!B29</f>
        <v>324</v>
      </c>
      <c r="H30" s="68">
        <f t="shared" si="44"/>
        <v>3888</v>
      </c>
      <c r="I30" s="47">
        <f t="shared" si="34"/>
        <v>2913.9838717352268</v>
      </c>
      <c r="J30" s="67">
        <f>(References!$C$49*I30)</f>
        <v>24.6993191587075</v>
      </c>
      <c r="K30" s="67">
        <f>J30/References!$G$52</f>
        <v>25.426517560950689</v>
      </c>
      <c r="L30" s="67">
        <f t="shared" si="35"/>
        <v>2.1188764634125574</v>
      </c>
      <c r="M30" s="245">
        <v>58.258610664684156</v>
      </c>
      <c r="N30" s="287">
        <f t="shared" si="45"/>
        <v>60.37748712809671</v>
      </c>
      <c r="O30" s="67">
        <f t="shared" ref="O30" si="47">M30*F30</f>
        <v>699.10332797620981</v>
      </c>
      <c r="P30" s="67">
        <f t="shared" ref="P30" si="48">N30*F30</f>
        <v>724.52984553716055</v>
      </c>
      <c r="Q30" s="67">
        <f t="shared" ref="Q30" si="49">O30-P30</f>
        <v>-25.426517560950742</v>
      </c>
      <c r="S30" s="277">
        <f t="shared" ref="S30" si="50">L30/M30</f>
        <v>3.6370185269402611E-2</v>
      </c>
      <c r="T30" s="278">
        <f t="shared" ref="T30" si="51">N30-M30-L30</f>
        <v>0</v>
      </c>
    </row>
    <row r="31" spans="1:20">
      <c r="A31" s="216"/>
      <c r="B31" s="106" t="s">
        <v>152</v>
      </c>
      <c r="C31" s="58" t="s">
        <v>131</v>
      </c>
      <c r="D31" s="289">
        <v>1</v>
      </c>
      <c r="E31" s="31">
        <v>12</v>
      </c>
      <c r="F31" s="147">
        <f>D31*E31</f>
        <v>12</v>
      </c>
      <c r="G31" s="244">
        <f>+G29</f>
        <v>980</v>
      </c>
      <c r="H31" s="68">
        <f t="shared" si="44"/>
        <v>11760</v>
      </c>
      <c r="I31" s="47">
        <f t="shared" si="34"/>
        <v>8813.9018342608724</v>
      </c>
      <c r="J31" s="67">
        <f>(References!$C$49*I31)</f>
        <v>74.707817208436282</v>
      </c>
      <c r="K31" s="67">
        <f>J31/References!$G$52</f>
        <v>76.907367931270613</v>
      </c>
      <c r="L31" s="67">
        <f t="shared" si="35"/>
        <v>6.4089473276058841</v>
      </c>
      <c r="M31" s="245">
        <v>203.74221744256317</v>
      </c>
      <c r="N31" s="287">
        <f t="shared" si="45"/>
        <v>210.15116477016906</v>
      </c>
      <c r="O31" s="67">
        <f t="shared" si="37"/>
        <v>2444.9066093107581</v>
      </c>
      <c r="P31" s="67">
        <f t="shared" si="38"/>
        <v>2521.8139772420286</v>
      </c>
      <c r="Q31" s="67">
        <f t="shared" si="46"/>
        <v>-76.907367931270528</v>
      </c>
      <c r="R31" s="60"/>
      <c r="S31" s="277">
        <f t="shared" si="42"/>
        <v>3.1456157727411727E-2</v>
      </c>
      <c r="T31" s="278">
        <f t="shared" si="43"/>
        <v>0</v>
      </c>
    </row>
    <row r="32" spans="1:20">
      <c r="A32" s="127"/>
      <c r="B32" s="43" t="s">
        <v>152</v>
      </c>
      <c r="C32" s="79" t="s">
        <v>143</v>
      </c>
      <c r="D32" s="289">
        <v>1</v>
      </c>
      <c r="E32" s="31">
        <v>12</v>
      </c>
      <c r="F32" s="147">
        <f t="shared" ref="F32" si="52">D32*E32</f>
        <v>12</v>
      </c>
      <c r="G32" s="244">
        <f>References!B32</f>
        <v>840</v>
      </c>
      <c r="H32" s="68">
        <f>G32*F32</f>
        <v>10080</v>
      </c>
      <c r="I32" s="47">
        <f t="shared" si="34"/>
        <v>7554.7730007950331</v>
      </c>
      <c r="J32" s="67">
        <f>(References!$C$49*I32)</f>
        <v>64.035271892945374</v>
      </c>
      <c r="K32" s="67">
        <f>J32/References!$G$52</f>
        <v>65.920601083946238</v>
      </c>
      <c r="L32" s="67">
        <f t="shared" si="35"/>
        <v>5.4933834236621868</v>
      </c>
      <c r="M32" s="245">
        <v>153.51436130785351</v>
      </c>
      <c r="N32" s="287">
        <f>L32+M32</f>
        <v>159.00774473151569</v>
      </c>
      <c r="O32" s="67">
        <f t="shared" si="37"/>
        <v>1842.1723356942421</v>
      </c>
      <c r="P32" s="67">
        <f t="shared" si="38"/>
        <v>1908.0929367781882</v>
      </c>
      <c r="Q32" s="67">
        <f t="shared" ref="Q32" si="53">O32-P32</f>
        <v>-65.920601083946167</v>
      </c>
      <c r="R32" s="60"/>
      <c r="S32" s="277">
        <f t="shared" si="42"/>
        <v>3.5784166229541912E-2</v>
      </c>
      <c r="T32" s="278">
        <f t="shared" si="43"/>
        <v>0</v>
      </c>
    </row>
    <row r="33" spans="1:20" s="60" customFormat="1">
      <c r="A33" s="216"/>
      <c r="B33" s="106" t="s">
        <v>152</v>
      </c>
      <c r="C33" s="137" t="s">
        <v>116</v>
      </c>
      <c r="D33" s="290">
        <v>1</v>
      </c>
      <c r="E33" s="31">
        <v>12</v>
      </c>
      <c r="F33" s="147">
        <f t="shared" si="32"/>
        <v>12</v>
      </c>
      <c r="G33" s="243">
        <f>References!B33</f>
        <v>980</v>
      </c>
      <c r="H33" s="68">
        <f t="shared" si="44"/>
        <v>11760</v>
      </c>
      <c r="I33" s="47">
        <f t="shared" si="34"/>
        <v>8813.9018342608724</v>
      </c>
      <c r="J33" s="67">
        <f>(References!$C$49*I33)</f>
        <v>74.707817208436282</v>
      </c>
      <c r="K33" s="67">
        <f>J33/References!$G$52</f>
        <v>76.907367931270613</v>
      </c>
      <c r="L33" s="67">
        <f t="shared" si="35"/>
        <v>6.4089473276058841</v>
      </c>
      <c r="M33" s="246">
        <v>203.74047833902588</v>
      </c>
      <c r="N33" s="287">
        <f t="shared" si="45"/>
        <v>210.14942566663177</v>
      </c>
      <c r="O33" s="67">
        <f t="shared" si="37"/>
        <v>2444.8857400683105</v>
      </c>
      <c r="P33" s="67">
        <f t="shared" si="38"/>
        <v>2521.7931079995815</v>
      </c>
      <c r="Q33" s="67">
        <f t="shared" si="46"/>
        <v>-76.907367931270983</v>
      </c>
      <c r="S33" s="277">
        <f t="shared" si="42"/>
        <v>3.1456426233285567E-2</v>
      </c>
      <c r="T33" s="278">
        <f t="shared" si="43"/>
        <v>0</v>
      </c>
    </row>
    <row r="34" spans="1:20" s="60" customFormat="1">
      <c r="A34" s="216"/>
      <c r="B34" s="106" t="s">
        <v>153</v>
      </c>
      <c r="C34" s="137" t="s">
        <v>297</v>
      </c>
      <c r="D34" s="290">
        <v>4</v>
      </c>
      <c r="E34" s="31">
        <v>12</v>
      </c>
      <c r="F34" s="147">
        <f t="shared" si="32"/>
        <v>48</v>
      </c>
      <c r="G34" s="243">
        <f>References!B20</f>
        <v>37</v>
      </c>
      <c r="H34" s="68">
        <f t="shared" si="44"/>
        <v>1776</v>
      </c>
      <c r="I34" s="47">
        <f t="shared" si="34"/>
        <v>1331.0790525210296</v>
      </c>
      <c r="J34" s="67">
        <f>(References!$C$49*I34)</f>
        <v>11.28240504780466</v>
      </c>
      <c r="K34" s="67">
        <f>J34/References!$G$52</f>
        <v>11.614582095742907</v>
      </c>
      <c r="L34" s="67">
        <f t="shared" ref="L34" si="54">K34/F34</f>
        <v>0.24197046032797723</v>
      </c>
      <c r="M34" s="246">
        <v>6.84</v>
      </c>
      <c r="N34" s="287">
        <f t="shared" si="45"/>
        <v>7.0819704603279767</v>
      </c>
      <c r="O34" s="67">
        <f t="shared" ref="O34" si="55">M34*F34</f>
        <v>328.32</v>
      </c>
      <c r="P34" s="67">
        <f t="shared" ref="P34" si="56">N34*F34</f>
        <v>339.93458209574288</v>
      </c>
      <c r="Q34" s="67">
        <f t="shared" ref="Q34" si="57">O34-P34</f>
        <v>-11.61458209574289</v>
      </c>
      <c r="S34" s="277">
        <f t="shared" ref="S34" si="58">L34/M34</f>
        <v>3.5375798293563923E-2</v>
      </c>
      <c r="T34" s="278">
        <f t="shared" ref="T34" si="59">N34-M34-L34</f>
        <v>-3.6082248300317588E-16</v>
      </c>
    </row>
    <row r="35" spans="1:20" s="60" customFormat="1">
      <c r="A35" s="63"/>
      <c r="B35" s="106"/>
      <c r="C35" s="111"/>
      <c r="D35" s="57"/>
      <c r="E35" s="69"/>
      <c r="F35" s="112"/>
      <c r="G35" s="109"/>
      <c r="H35" s="68"/>
      <c r="I35" s="47"/>
      <c r="J35" s="67"/>
      <c r="K35" s="67"/>
      <c r="L35" s="67"/>
      <c r="M35" s="67"/>
      <c r="N35" s="67"/>
      <c r="O35" s="67"/>
      <c r="P35" s="67"/>
      <c r="Q35" s="67"/>
    </row>
    <row r="36" spans="1:20" s="60" customFormat="1">
      <c r="A36" s="51"/>
      <c r="B36" s="77"/>
      <c r="C36" s="52" t="s">
        <v>17</v>
      </c>
      <c r="D36" s="53">
        <f>SUM(D21:D35)</f>
        <v>197.49969999999999</v>
      </c>
      <c r="E36" s="53"/>
      <c r="F36" s="53">
        <f>SUM(F21:F35)</f>
        <v>2369.9964</v>
      </c>
      <c r="G36" s="98"/>
      <c r="H36" s="53">
        <f>SUM(H21:H35)</f>
        <v>1338396.1800000002</v>
      </c>
      <c r="I36" s="53">
        <f>SUM(I21:I35)</f>
        <v>1003103.1076419852</v>
      </c>
      <c r="J36" s="73"/>
      <c r="K36" s="73"/>
      <c r="L36" s="73"/>
      <c r="M36" s="73"/>
      <c r="N36" s="73"/>
      <c r="O36" s="113">
        <f>SUM(O21:O35)</f>
        <v>239608.02052121196</v>
      </c>
      <c r="P36" s="113">
        <f>SUM(P21:P35)</f>
        <v>248360.78646109856</v>
      </c>
      <c r="Q36" s="113">
        <f>SUM(Q21:Q35)</f>
        <v>-8752.7659398866581</v>
      </c>
    </row>
    <row r="37" spans="1:20" s="60" customFormat="1" ht="14.4" customHeight="1">
      <c r="A37" s="326" t="s">
        <v>95</v>
      </c>
      <c r="B37" s="106" t="s">
        <v>149</v>
      </c>
      <c r="C37" s="137" t="s">
        <v>106</v>
      </c>
      <c r="D37" s="289">
        <v>710.66120000000001</v>
      </c>
      <c r="E37" s="31">
        <v>12</v>
      </c>
      <c r="F37" s="147">
        <f>D37*E37</f>
        <v>8527.9344000000001</v>
      </c>
      <c r="G37" s="244">
        <f>+References!B21</f>
        <v>47</v>
      </c>
      <c r="H37" s="68">
        <f t="shared" ref="H37" si="60">G37*F37</f>
        <v>400812.91680000001</v>
      </c>
      <c r="I37" s="47">
        <f>$D$139*H37</f>
        <v>300401.84545739542</v>
      </c>
      <c r="J37" s="67">
        <f>(References!$C$49*I37)</f>
        <v>2546.2464390369537</v>
      </c>
      <c r="K37" s="67">
        <f>J37/References!$G$52</f>
        <v>2621.2131346890606</v>
      </c>
      <c r="L37" s="67">
        <f t="shared" ref="L37:L41" si="61">K37/F37</f>
        <v>0.30736788203824134</v>
      </c>
      <c r="M37" s="245">
        <v>12.772514510000478</v>
      </c>
      <c r="N37" s="287">
        <f t="shared" ref="N37" si="62">L37+M37</f>
        <v>13.079882392038719</v>
      </c>
      <c r="O37" s="67">
        <f t="shared" ref="O37:O38" si="63">M37*F37</f>
        <v>108923.16586433223</v>
      </c>
      <c r="P37" s="67">
        <f t="shared" ref="P37:P38" si="64">N37*F37</f>
        <v>111544.37899902128</v>
      </c>
      <c r="Q37" s="67">
        <f t="shared" ref="Q37:Q38" si="65">O37-P37</f>
        <v>-2621.2131346890528</v>
      </c>
      <c r="S37" s="277">
        <f t="shared" ref="S37" si="66">L37/M37</f>
        <v>2.4064790202241063E-2</v>
      </c>
      <c r="T37" s="278">
        <f t="shared" ref="T37" si="67">N37-M37-L37</f>
        <v>-4.9960036108132044E-16</v>
      </c>
    </row>
    <row r="38" spans="1:20" s="60" customFormat="1" ht="14.4" customHeight="1">
      <c r="A38" s="327"/>
      <c r="B38" s="106" t="s">
        <v>149</v>
      </c>
      <c r="C38" s="137" t="s">
        <v>107</v>
      </c>
      <c r="D38" s="290">
        <v>4.3333000000000004</v>
      </c>
      <c r="E38" s="31">
        <v>12</v>
      </c>
      <c r="F38" s="147">
        <f t="shared" ref="F38:F41" si="68">D38*E38</f>
        <v>51.999600000000001</v>
      </c>
      <c r="G38" s="243">
        <f>References!B22</f>
        <v>68</v>
      </c>
      <c r="H38" s="68">
        <f t="shared" ref="H38:H40" si="69">G38*F38</f>
        <v>3535.9728</v>
      </c>
      <c r="I38" s="47">
        <f>$D$139*H38</f>
        <v>2650.1460159707949</v>
      </c>
      <c r="J38" s="67">
        <f>(References!$C$49*I38)</f>
        <v>22.462994013299539</v>
      </c>
      <c r="K38" s="67">
        <f>J38/References!$G$52</f>
        <v>23.124350435762342</v>
      </c>
      <c r="L38" s="67">
        <f t="shared" si="61"/>
        <v>0.44470246762979604</v>
      </c>
      <c r="M38" s="246">
        <v>16.96427631234112</v>
      </c>
      <c r="N38" s="287">
        <f t="shared" ref="N38:N39" si="70">L38+M38</f>
        <v>17.408978779970916</v>
      </c>
      <c r="O38" s="67">
        <f t="shared" si="63"/>
        <v>882.13558253121334</v>
      </c>
      <c r="P38" s="67">
        <f t="shared" si="64"/>
        <v>905.25993296697561</v>
      </c>
      <c r="Q38" s="67">
        <f t="shared" si="65"/>
        <v>-23.124350435762267</v>
      </c>
      <c r="S38" s="277">
        <f t="shared" ref="S38:S41" si="71">L38/M38</f>
        <v>2.6214054725475396E-2</v>
      </c>
      <c r="T38" s="278">
        <f t="shared" ref="T38:T41" si="72">N38-M38-L38</f>
        <v>0</v>
      </c>
    </row>
    <row r="39" spans="1:20" s="60" customFormat="1">
      <c r="A39" s="327"/>
      <c r="B39" s="106" t="s">
        <v>149</v>
      </c>
      <c r="C39" s="137" t="s">
        <v>112</v>
      </c>
      <c r="D39" s="290">
        <v>61</v>
      </c>
      <c r="E39" s="31">
        <v>12</v>
      </c>
      <c r="F39" s="147">
        <f t="shared" si="68"/>
        <v>732</v>
      </c>
      <c r="G39" s="243">
        <f>+References!B31</f>
        <v>613</v>
      </c>
      <c r="H39" s="68">
        <f t="shared" si="69"/>
        <v>448716</v>
      </c>
      <c r="I39" s="47">
        <f>$D$139*H39</f>
        <v>336304.31764134363</v>
      </c>
      <c r="J39" s="67">
        <f>(References!$C$49*I39)</f>
        <v>2850.5606213010788</v>
      </c>
      <c r="K39" s="67">
        <f>J39/References!$G$52</f>
        <v>2934.4869480142875</v>
      </c>
      <c r="L39" s="67">
        <f t="shared" si="61"/>
        <v>4.0088619508391909</v>
      </c>
      <c r="M39" s="246">
        <v>126.38428499213391</v>
      </c>
      <c r="N39" s="287">
        <f t="shared" si="70"/>
        <v>130.39314694297312</v>
      </c>
      <c r="O39" s="67">
        <f>M39*F39</f>
        <v>92513.296614242019</v>
      </c>
      <c r="P39" s="67">
        <f t="shared" ref="P39:P40" si="73">N39*F39</f>
        <v>95447.783562256329</v>
      </c>
      <c r="Q39" s="67">
        <f t="shared" ref="Q39:Q40" si="74">O39-P39</f>
        <v>-2934.4869480143097</v>
      </c>
      <c r="S39" s="277">
        <f t="shared" si="71"/>
        <v>3.1719623615299168E-2</v>
      </c>
      <c r="T39" s="278">
        <f t="shared" si="72"/>
        <v>1.3322676295501878E-14</v>
      </c>
    </row>
    <row r="40" spans="1:20" s="60" customFormat="1">
      <c r="A40" s="327"/>
      <c r="B40" s="128" t="s">
        <v>149</v>
      </c>
      <c r="C40" s="131" t="s">
        <v>113</v>
      </c>
      <c r="D40" s="289">
        <v>22</v>
      </c>
      <c r="E40" s="31">
        <v>12</v>
      </c>
      <c r="F40" s="147">
        <f t="shared" si="68"/>
        <v>264</v>
      </c>
      <c r="G40" s="243">
        <f>+References!B32</f>
        <v>840</v>
      </c>
      <c r="H40" s="68">
        <f t="shared" si="69"/>
        <v>221760</v>
      </c>
      <c r="I40" s="47">
        <f>$D$139*H40</f>
        <v>166205.00601749073</v>
      </c>
      <c r="J40" s="67">
        <f>(References!$C$49*I40)</f>
        <v>1408.7759816447983</v>
      </c>
      <c r="K40" s="67">
        <f>J40/References!$G$52</f>
        <v>1450.2532238468173</v>
      </c>
      <c r="L40" s="67">
        <f t="shared" si="61"/>
        <v>5.4933834236621868</v>
      </c>
      <c r="M40" s="245">
        <v>172.76047209362557</v>
      </c>
      <c r="N40" s="287">
        <f t="shared" ref="N40" si="75">L40+M40</f>
        <v>178.25385551728775</v>
      </c>
      <c r="O40" s="67">
        <f>M40*F40</f>
        <v>45608.764632717146</v>
      </c>
      <c r="P40" s="67">
        <f t="shared" si="73"/>
        <v>47059.017856563965</v>
      </c>
      <c r="Q40" s="67">
        <f t="shared" si="74"/>
        <v>-1450.2532238468193</v>
      </c>
      <c r="S40" s="277">
        <f t="shared" si="71"/>
        <v>3.1797687035059211E-2</v>
      </c>
      <c r="T40" s="278">
        <f t="shared" si="72"/>
        <v>0</v>
      </c>
    </row>
    <row r="41" spans="1:20">
      <c r="A41" s="327"/>
      <c r="B41" s="128" t="s">
        <v>149</v>
      </c>
      <c r="C41" s="58" t="s">
        <v>267</v>
      </c>
      <c r="D41" s="289">
        <v>1</v>
      </c>
      <c r="E41" s="31">
        <v>12</v>
      </c>
      <c r="F41" s="147">
        <f t="shared" si="68"/>
        <v>12</v>
      </c>
      <c r="G41" s="244">
        <f>+G71</f>
        <v>473</v>
      </c>
      <c r="H41" s="68">
        <f>G41*F41</f>
        <v>5676</v>
      </c>
      <c r="I41" s="47">
        <f>$D$139*H41</f>
        <v>4254.0567016381556</v>
      </c>
      <c r="J41" s="67">
        <f>(References!$C$49*I41)</f>
        <v>36.057956673051386</v>
      </c>
      <c r="K41" s="67">
        <f>J41/References!$G$52</f>
        <v>37.11957656274592</v>
      </c>
      <c r="L41" s="67">
        <f t="shared" si="61"/>
        <v>3.0932980468954931</v>
      </c>
      <c r="M41" s="245">
        <v>96.742539643196309</v>
      </c>
      <c r="N41" s="287">
        <f>L41+M41</f>
        <v>99.835837690091807</v>
      </c>
      <c r="O41" s="67">
        <f>M41*F41</f>
        <v>1160.9104757183557</v>
      </c>
      <c r="P41" s="67">
        <f t="shared" ref="P41" si="76">N41*F41</f>
        <v>1198.0300522811017</v>
      </c>
      <c r="Q41" s="67">
        <f t="shared" ref="Q41" si="77">O41-P41</f>
        <v>-37.119576562746033</v>
      </c>
      <c r="R41" s="60"/>
      <c r="S41" s="277">
        <f t="shared" si="71"/>
        <v>3.1974538380986552E-2</v>
      </c>
      <c r="T41" s="278">
        <f t="shared" si="72"/>
        <v>4.8849813083506888E-15</v>
      </c>
    </row>
    <row r="42" spans="1:20" s="60" customFormat="1">
      <c r="A42" s="327"/>
      <c r="B42" s="48"/>
      <c r="C42" s="111"/>
      <c r="D42" s="94"/>
      <c r="E42" s="69"/>
      <c r="F42" s="112"/>
      <c r="G42" s="109"/>
      <c r="H42" s="68"/>
      <c r="I42" s="47"/>
      <c r="J42" s="67"/>
      <c r="K42" s="67"/>
      <c r="L42" s="67"/>
      <c r="M42" s="67"/>
      <c r="N42" s="67"/>
      <c r="O42" s="67"/>
      <c r="P42" s="67"/>
      <c r="Q42" s="67"/>
    </row>
    <row r="43" spans="1:20" s="60" customFormat="1">
      <c r="A43" s="51"/>
      <c r="B43" s="49"/>
      <c r="C43" s="52" t="s">
        <v>17</v>
      </c>
      <c r="D43" s="53">
        <f>SUM(D37:D41)</f>
        <v>798.99450000000002</v>
      </c>
      <c r="E43" s="53"/>
      <c r="F43" s="53">
        <f>SUM(F37:F41)</f>
        <v>9587.9339999999993</v>
      </c>
      <c r="G43" s="99"/>
      <c r="H43" s="53">
        <f>SUM(H37:H41)</f>
        <v>1080500.8895999999</v>
      </c>
      <c r="I43" s="53">
        <f>SUM(I37:I41)</f>
        <v>809815.37183383876</v>
      </c>
      <c r="J43" s="72"/>
      <c r="K43" s="72"/>
      <c r="L43" s="72"/>
      <c r="M43" s="72"/>
      <c r="N43" s="72"/>
      <c r="O43" s="53">
        <f>SUM(O37:O41)</f>
        <v>249088.27316954097</v>
      </c>
      <c r="P43" s="53">
        <f>SUM(P37:P41)</f>
        <v>256154.47040308965</v>
      </c>
      <c r="Q43" s="113">
        <f>SUM(Q37:Q41)</f>
        <v>-7066.1972335486907</v>
      </c>
    </row>
    <row r="44" spans="1:20">
      <c r="C44" s="64" t="s">
        <v>3</v>
      </c>
      <c r="D44" s="65">
        <f>D18+D36+D43</f>
        <v>6230.4942000000001</v>
      </c>
      <c r="E44" s="65"/>
      <c r="F44" s="65">
        <f>F18+F36+F43</f>
        <v>281405.93040000001</v>
      </c>
      <c r="G44" s="100"/>
      <c r="H44" s="65">
        <f>H18+H36+H43</f>
        <v>13272885.069599999</v>
      </c>
      <c r="I44" s="65">
        <f>I18+I36+I43</f>
        <v>9947781.1276259515</v>
      </c>
      <c r="J44" s="67"/>
      <c r="K44" s="74"/>
      <c r="L44" s="74"/>
      <c r="M44" s="74"/>
      <c r="N44" s="74"/>
      <c r="O44" s="65">
        <f>O18+O36+O43</f>
        <v>2355814.5613794993</v>
      </c>
      <c r="P44" s="65">
        <f>P18+P36+P43</f>
        <v>2442615.8076003492</v>
      </c>
      <c r="Q44" s="65">
        <f>Q18+Q36+Q43</f>
        <v>-86801.246220849847</v>
      </c>
    </row>
    <row r="45" spans="1:20">
      <c r="J45" s="56"/>
      <c r="Q45" s="30">
        <f>Q44/O44</f>
        <v>-3.6845534297920909E-2</v>
      </c>
    </row>
    <row r="46" spans="1:20">
      <c r="A46" s="119"/>
      <c r="B46" s="120"/>
      <c r="C46" s="121" t="s">
        <v>144</v>
      </c>
      <c r="D46" s="122"/>
      <c r="E46" s="123"/>
      <c r="F46" s="123"/>
      <c r="G46" s="124"/>
      <c r="H46" s="123"/>
      <c r="I46" s="125"/>
      <c r="J46" s="126"/>
      <c r="K46" s="123"/>
      <c r="L46" s="123"/>
      <c r="M46" s="123"/>
      <c r="N46" s="123"/>
      <c r="O46" s="148" t="s">
        <v>273</v>
      </c>
      <c r="P46" s="148" t="s">
        <v>274</v>
      </c>
      <c r="Q46" s="60"/>
      <c r="R46" s="60"/>
      <c r="S46" s="60"/>
    </row>
    <row r="47" spans="1:20">
      <c r="A47" s="127"/>
      <c r="B47" s="128" t="s">
        <v>288</v>
      </c>
      <c r="C47" s="131" t="s">
        <v>100</v>
      </c>
      <c r="D47" s="289">
        <v>1</v>
      </c>
      <c r="E47" s="283">
        <v>4.33</v>
      </c>
      <c r="F47" s="115">
        <f>D47*E47*12</f>
        <v>51.96</v>
      </c>
      <c r="G47" s="244">
        <f>References!B16</f>
        <v>77</v>
      </c>
      <c r="H47" s="68">
        <f>G47*F47</f>
        <v>4000.92</v>
      </c>
      <c r="I47" s="47">
        <f t="shared" ref="I47:I78" si="78">$D$139*H47</f>
        <v>2998.6153168988953</v>
      </c>
      <c r="J47" s="67">
        <f>(References!$C$49*I47)</f>
        <v>25.416666668841572</v>
      </c>
      <c r="K47" s="67">
        <f>J47/References!$G$52</f>
        <v>26.164985246902997</v>
      </c>
      <c r="L47" s="67">
        <f>K47/F47*E47</f>
        <v>2.1804154372419164</v>
      </c>
      <c r="M47" s="245">
        <v>60.04317154849489</v>
      </c>
      <c r="N47" s="287">
        <f>L47+M47</f>
        <v>62.223586985736809</v>
      </c>
      <c r="O47" s="277">
        <f>L47/M47</f>
        <v>3.6314128334824329E-2</v>
      </c>
      <c r="P47" s="67">
        <f>N47-M47-L47</f>
        <v>0</v>
      </c>
      <c r="Q47" s="60"/>
      <c r="R47" s="60"/>
      <c r="S47" s="60"/>
    </row>
    <row r="48" spans="1:20" s="60" customFormat="1" ht="14.4" customHeight="1">
      <c r="A48" s="127"/>
      <c r="B48" s="128" t="s">
        <v>288</v>
      </c>
      <c r="C48" s="131" t="s">
        <v>104</v>
      </c>
      <c r="D48" s="289">
        <v>1</v>
      </c>
      <c r="E48" s="283">
        <v>4.33</v>
      </c>
      <c r="F48" s="115">
        <f>D48*E48*12</f>
        <v>51.96</v>
      </c>
      <c r="G48" s="244">
        <f>References!B17</f>
        <v>97</v>
      </c>
      <c r="H48" s="68">
        <f>G48*F48</f>
        <v>5040.12</v>
      </c>
      <c r="I48" s="47">
        <f t="shared" si="78"/>
        <v>3777.4764381713353</v>
      </c>
      <c r="J48" s="67">
        <f>(References!$C$49*I48)</f>
        <v>32.018398271138082</v>
      </c>
      <c r="K48" s="67">
        <f>J48/References!$G$52</f>
        <v>32.961085311033642</v>
      </c>
      <c r="L48" s="67">
        <f>K48/F48*E48</f>
        <v>2.7467571092528034</v>
      </c>
      <c r="M48" s="245">
        <v>77.625294028623429</v>
      </c>
      <c r="N48" s="287">
        <f>L48+M48</f>
        <v>80.372051137876227</v>
      </c>
      <c r="O48" s="277">
        <f>L48/M48</f>
        <v>3.5384820677651391E-2</v>
      </c>
      <c r="P48" s="67">
        <f>N48-M48-L48</f>
        <v>-5.773159728050814E-15</v>
      </c>
      <c r="Q48" s="67"/>
    </row>
    <row r="49" spans="1:19" s="60" customFormat="1">
      <c r="A49" s="127"/>
      <c r="B49" s="128" t="s">
        <v>288</v>
      </c>
      <c r="C49" s="131" t="s">
        <v>117</v>
      </c>
      <c r="D49" s="289">
        <v>1</v>
      </c>
      <c r="E49" s="283">
        <v>4.33</v>
      </c>
      <c r="F49" s="115">
        <f>D49*E49*12</f>
        <v>51.96</v>
      </c>
      <c r="G49" s="244">
        <f>References!B18</f>
        <v>117</v>
      </c>
      <c r="H49" s="68">
        <f t="shared" ref="H49:H83" si="79">G49*F49</f>
        <v>6079.32</v>
      </c>
      <c r="I49" s="47">
        <f t="shared" si="78"/>
        <v>4556.3375594437757</v>
      </c>
      <c r="J49" s="67">
        <f>(References!$C$49*I49)</f>
        <v>38.620129873434593</v>
      </c>
      <c r="K49" s="67">
        <f>J49/References!$G$52</f>
        <v>39.757185375164291</v>
      </c>
      <c r="L49" s="67">
        <f t="shared" ref="L49:L83" si="80">K49/F49*E49</f>
        <v>3.3130987812636912</v>
      </c>
      <c r="M49" s="245">
        <v>94.57741650875198</v>
      </c>
      <c r="N49" s="287">
        <f t="shared" ref="N49:N116" si="81">L49+M49</f>
        <v>97.890515290015671</v>
      </c>
      <c r="O49" s="277">
        <f t="shared" ref="O49:O92" si="82">L49/M49</f>
        <v>3.503054855550114E-2</v>
      </c>
      <c r="P49" s="67">
        <f t="shared" ref="P49:P92" si="83">N49-M49-L49</f>
        <v>0</v>
      </c>
      <c r="Q49" s="67"/>
    </row>
    <row r="50" spans="1:19" s="60" customFormat="1" ht="14.4" customHeight="1">
      <c r="A50" s="127"/>
      <c r="B50" s="128" t="s">
        <v>289</v>
      </c>
      <c r="C50" s="131" t="s">
        <v>104</v>
      </c>
      <c r="D50" s="289">
        <v>1</v>
      </c>
      <c r="E50" s="283">
        <v>4.33</v>
      </c>
      <c r="F50" s="115">
        <f>D50*E50*12</f>
        <v>51.96</v>
      </c>
      <c r="G50" s="244">
        <f>References!B17</f>
        <v>97</v>
      </c>
      <c r="H50" s="68">
        <f>G50*F50</f>
        <v>5040.12</v>
      </c>
      <c r="I50" s="47">
        <f t="shared" si="78"/>
        <v>3777.4764381713353</v>
      </c>
      <c r="J50" s="67">
        <f>(References!$C$49*I50)</f>
        <v>32.018398271138082</v>
      </c>
      <c r="K50" s="67">
        <f>J50/References!$G$52</f>
        <v>32.961085311033642</v>
      </c>
      <c r="L50" s="67">
        <f>K50/F50*E50</f>
        <v>2.7467571092528034</v>
      </c>
      <c r="M50" s="245">
        <v>76.995294028623434</v>
      </c>
      <c r="N50" s="287">
        <f>L50+M50</f>
        <v>79.742051137876231</v>
      </c>
      <c r="O50" s="277">
        <f>L50/M50</f>
        <v>3.5674350541887417E-2</v>
      </c>
      <c r="P50" s="67">
        <f>N50-M50-L50</f>
        <v>-5.773159728050814E-15</v>
      </c>
      <c r="Q50" s="67"/>
    </row>
    <row r="51" spans="1:19" s="60" customFormat="1">
      <c r="A51" s="127"/>
      <c r="B51" s="128" t="s">
        <v>289</v>
      </c>
      <c r="C51" s="131" t="s">
        <v>117</v>
      </c>
      <c r="D51" s="289">
        <v>1</v>
      </c>
      <c r="E51" s="283">
        <v>4.33</v>
      </c>
      <c r="F51" s="115">
        <f>D51*E51*12</f>
        <v>51.96</v>
      </c>
      <c r="G51" s="244">
        <f>References!B18</f>
        <v>117</v>
      </c>
      <c r="H51" s="68">
        <f t="shared" ref="H51" si="84">G51*F51</f>
        <v>6079.32</v>
      </c>
      <c r="I51" s="47">
        <f t="shared" si="78"/>
        <v>4556.3375594437757</v>
      </c>
      <c r="J51" s="67">
        <f>(References!$C$49*I51)</f>
        <v>38.620129873434593</v>
      </c>
      <c r="K51" s="67">
        <f>J51/References!$G$52</f>
        <v>39.757185375164291</v>
      </c>
      <c r="L51" s="67">
        <f t="shared" ref="L51" si="85">K51/F51*E51</f>
        <v>3.3130987812636912</v>
      </c>
      <c r="M51" s="245">
        <v>93.797416508751979</v>
      </c>
      <c r="N51" s="287">
        <f t="shared" ref="N51" si="86">L51+M51</f>
        <v>97.11051529001567</v>
      </c>
      <c r="O51" s="277">
        <f t="shared" ref="O51" si="87">L51/M51</f>
        <v>3.5321855383453497E-2</v>
      </c>
      <c r="P51" s="67">
        <f t="shared" ref="P51" si="88">N51-M51-L51</f>
        <v>0</v>
      </c>
      <c r="Q51" s="67"/>
    </row>
    <row r="52" spans="1:19" s="60" customFormat="1">
      <c r="A52" s="127"/>
      <c r="B52" s="128" t="s">
        <v>284</v>
      </c>
      <c r="C52" s="213" t="s">
        <v>285</v>
      </c>
      <c r="D52" s="289">
        <v>1</v>
      </c>
      <c r="E52" s="283">
        <v>4.33</v>
      </c>
      <c r="F52" s="115">
        <f t="shared" ref="F52:F54" si="89">D52*E52*12</f>
        <v>51.96</v>
      </c>
      <c r="G52" s="244">
        <f>References!B20</f>
        <v>37</v>
      </c>
      <c r="H52" s="68">
        <f t="shared" ref="H52:H54" si="90">G52*F52</f>
        <v>1922.52</v>
      </c>
      <c r="I52" s="47">
        <f t="shared" si="78"/>
        <v>1440.8930743540145</v>
      </c>
      <c r="J52" s="67">
        <f>(References!$C$49*I52)</f>
        <v>12.213203464248545</v>
      </c>
      <c r="K52" s="67">
        <f>J52/References!$G$52</f>
        <v>12.572785118641697</v>
      </c>
      <c r="L52" s="67">
        <f t="shared" ref="L52:L54" si="91">K52/F52*E52</f>
        <v>1.0477320932201415</v>
      </c>
      <c r="M52" s="245">
        <v>32.838926588237804</v>
      </c>
      <c r="N52" s="287">
        <f t="shared" ref="N52:N54" si="92">L52+M52</f>
        <v>33.886658681457945</v>
      </c>
      <c r="O52" s="277">
        <f t="shared" ref="O52:O54" si="93">L52/M52</f>
        <v>3.1905186986087922E-2</v>
      </c>
      <c r="P52" s="67">
        <f t="shared" ref="P52:P54" si="94">N52-M52-L52</f>
        <v>0</v>
      </c>
      <c r="Q52" s="67"/>
    </row>
    <row r="53" spans="1:19" s="60" customFormat="1">
      <c r="A53" s="127"/>
      <c r="B53" s="128" t="s">
        <v>284</v>
      </c>
      <c r="C53" s="213" t="s">
        <v>286</v>
      </c>
      <c r="D53" s="289">
        <v>1</v>
      </c>
      <c r="E53" s="283">
        <v>4.33</v>
      </c>
      <c r="F53" s="115">
        <f t="shared" si="89"/>
        <v>51.96</v>
      </c>
      <c r="G53" s="244">
        <f>References!B21</f>
        <v>47</v>
      </c>
      <c r="H53" s="68">
        <f t="shared" si="90"/>
        <v>2442.12</v>
      </c>
      <c r="I53" s="47">
        <f t="shared" si="78"/>
        <v>1830.3236349902347</v>
      </c>
      <c r="J53" s="67">
        <f>(References!$C$49*I53)</f>
        <v>15.514069265396802</v>
      </c>
      <c r="K53" s="67">
        <f>J53/References!$G$52</f>
        <v>15.970835150707023</v>
      </c>
      <c r="L53" s="67">
        <f t="shared" si="91"/>
        <v>1.3309029292255852</v>
      </c>
      <c r="M53" s="245">
        <v>34.199987828302078</v>
      </c>
      <c r="N53" s="287">
        <f t="shared" si="92"/>
        <v>35.530890757527665</v>
      </c>
      <c r="O53" s="277">
        <f t="shared" si="93"/>
        <v>3.8915304178096848E-2</v>
      </c>
      <c r="P53" s="67">
        <f t="shared" si="94"/>
        <v>1.9984014443252818E-15</v>
      </c>
      <c r="Q53" s="67"/>
    </row>
    <row r="54" spans="1:19" s="60" customFormat="1">
      <c r="A54" s="127"/>
      <c r="B54" s="128" t="s">
        <v>284</v>
      </c>
      <c r="C54" s="213" t="s">
        <v>287</v>
      </c>
      <c r="D54" s="289">
        <v>1</v>
      </c>
      <c r="E54" s="283">
        <v>4.33</v>
      </c>
      <c r="F54" s="115">
        <f t="shared" si="89"/>
        <v>51.96</v>
      </c>
      <c r="G54" s="244">
        <f>References!B22</f>
        <v>68</v>
      </c>
      <c r="H54" s="68">
        <f t="shared" si="90"/>
        <v>3533.28</v>
      </c>
      <c r="I54" s="47">
        <f t="shared" si="78"/>
        <v>2648.1278123262973</v>
      </c>
      <c r="J54" s="67">
        <f>(References!$C$49*I54)</f>
        <v>22.44588744780814</v>
      </c>
      <c r="K54" s="67">
        <f>J54/References!$G$52</f>
        <v>23.106740218044202</v>
      </c>
      <c r="L54" s="67">
        <f t="shared" si="91"/>
        <v>1.925561684837017</v>
      </c>
      <c r="M54" s="245">
        <v>53.767216432437046</v>
      </c>
      <c r="N54" s="287">
        <f t="shared" si="92"/>
        <v>55.692778117274059</v>
      </c>
      <c r="O54" s="277">
        <f t="shared" si="93"/>
        <v>3.581293235175461E-2</v>
      </c>
      <c r="P54" s="67">
        <f t="shared" si="94"/>
        <v>-3.1086244689504383E-15</v>
      </c>
      <c r="Q54" s="67"/>
    </row>
    <row r="55" spans="1:19" s="60" customFormat="1">
      <c r="A55" s="127"/>
      <c r="B55" s="128" t="s">
        <v>291</v>
      </c>
      <c r="C55" s="131" t="s">
        <v>118</v>
      </c>
      <c r="D55" s="289">
        <v>1</v>
      </c>
      <c r="E55" s="136">
        <v>1</v>
      </c>
      <c r="F55" s="115">
        <f t="shared" ref="F55:F91" si="95">D55*E55*12</f>
        <v>12</v>
      </c>
      <c r="G55" s="244">
        <f>References!B24</f>
        <v>34</v>
      </c>
      <c r="H55" s="68">
        <f t="shared" si="79"/>
        <v>408</v>
      </c>
      <c r="I55" s="47">
        <f t="shared" si="78"/>
        <v>305.78843098456088</v>
      </c>
      <c r="J55" s="67">
        <f>(References!$C$49*I55)</f>
        <v>2.5919038623335036</v>
      </c>
      <c r="K55" s="67">
        <f>J55/References!$G$52</f>
        <v>2.6682148057787765</v>
      </c>
      <c r="L55" s="67">
        <f t="shared" si="80"/>
        <v>0.22235123381489805</v>
      </c>
      <c r="M55" s="245">
        <v>5.7371381561705599</v>
      </c>
      <c r="N55" s="287">
        <f t="shared" si="81"/>
        <v>5.9594893899854577</v>
      </c>
      <c r="O55" s="277">
        <f t="shared" si="82"/>
        <v>3.8756471913744817E-2</v>
      </c>
      <c r="P55" s="67">
        <f t="shared" si="83"/>
        <v>0</v>
      </c>
      <c r="Q55" s="67"/>
    </row>
    <row r="56" spans="1:19" s="60" customFormat="1">
      <c r="A56" s="127"/>
      <c r="B56" s="128" t="s">
        <v>149</v>
      </c>
      <c r="C56" s="131" t="s">
        <v>119</v>
      </c>
      <c r="D56" s="289">
        <v>1</v>
      </c>
      <c r="E56" s="136">
        <v>1</v>
      </c>
      <c r="F56" s="115">
        <f t="shared" si="95"/>
        <v>12</v>
      </c>
      <c r="G56" s="244">
        <f>References!B13</f>
        <v>20</v>
      </c>
      <c r="H56" s="68">
        <f t="shared" si="79"/>
        <v>240</v>
      </c>
      <c r="I56" s="47">
        <f t="shared" si="78"/>
        <v>179.87554763797698</v>
      </c>
      <c r="J56" s="67">
        <f>(References!$C$49*I56)</f>
        <v>1.5246493307844138</v>
      </c>
      <c r="K56" s="67">
        <f>J56/References!$G$52</f>
        <v>1.5695381210463391</v>
      </c>
      <c r="L56" s="67">
        <f t="shared" si="80"/>
        <v>0.13079484342052825</v>
      </c>
      <c r="M56" s="245">
        <v>7.3959636212767998</v>
      </c>
      <c r="N56" s="287">
        <f t="shared" si="81"/>
        <v>7.5267584646973278</v>
      </c>
      <c r="O56" s="277">
        <f t="shared" si="82"/>
        <v>1.7684625035777085E-2</v>
      </c>
      <c r="P56" s="67">
        <f t="shared" si="83"/>
        <v>-3.0531133177191805E-16</v>
      </c>
      <c r="Q56" s="67"/>
    </row>
    <row r="57" spans="1:19" s="60" customFormat="1" ht="14.4" customHeight="1">
      <c r="A57" s="129"/>
      <c r="B57" s="106" t="s">
        <v>149</v>
      </c>
      <c r="C57" s="137" t="s">
        <v>159</v>
      </c>
      <c r="D57" s="289">
        <v>1</v>
      </c>
      <c r="E57" s="136">
        <v>1</v>
      </c>
      <c r="F57" s="280">
        <f t="shared" si="95"/>
        <v>12</v>
      </c>
      <c r="G57" s="244">
        <f>References!B14</f>
        <v>34</v>
      </c>
      <c r="H57" s="68">
        <f>G57*F57</f>
        <v>408</v>
      </c>
      <c r="I57" s="47">
        <f t="shared" si="78"/>
        <v>305.78843098456088</v>
      </c>
      <c r="J57" s="67">
        <f>(References!$C$49*I57)</f>
        <v>2.5919038623335036</v>
      </c>
      <c r="K57" s="67">
        <f>J57/References!$G$52</f>
        <v>2.6682148057787765</v>
      </c>
      <c r="L57" s="67">
        <f t="shared" ref="L57" si="96">K57/F57</f>
        <v>0.22235123381489805</v>
      </c>
      <c r="M57" s="246">
        <v>7.6671381561705596</v>
      </c>
      <c r="N57" s="287">
        <f t="shared" ref="N57" si="97">L57+M57</f>
        <v>7.8894893899854575</v>
      </c>
      <c r="O57" s="277">
        <f t="shared" si="82"/>
        <v>2.9000551351216805E-2</v>
      </c>
      <c r="P57" s="67">
        <f t="shared" si="83"/>
        <v>0</v>
      </c>
      <c r="Q57" s="67"/>
    </row>
    <row r="58" spans="1:19" s="60" customFormat="1" ht="14.4" customHeight="1">
      <c r="A58" s="129"/>
      <c r="B58" s="128" t="s">
        <v>149</v>
      </c>
      <c r="C58" s="281" t="s">
        <v>105</v>
      </c>
      <c r="D58" s="289">
        <v>1</v>
      </c>
      <c r="E58" s="136">
        <v>1</v>
      </c>
      <c r="F58" s="280">
        <f t="shared" si="95"/>
        <v>12</v>
      </c>
      <c r="G58" s="244">
        <f>References!B14</f>
        <v>34</v>
      </c>
      <c r="H58" s="68">
        <f t="shared" ref="H58" si="98">G58*F58</f>
        <v>408</v>
      </c>
      <c r="I58" s="47">
        <f t="shared" si="78"/>
        <v>305.78843098456088</v>
      </c>
      <c r="J58" s="67">
        <f>(References!$C$49*I58)</f>
        <v>2.5919038623335036</v>
      </c>
      <c r="K58" s="67">
        <f>J58/References!$G$52</f>
        <v>2.6682148057787765</v>
      </c>
      <c r="L58" s="67">
        <f t="shared" ref="L58" si="99">K58/F58</f>
        <v>0.22235123381489805</v>
      </c>
      <c r="M58" s="246">
        <v>7.7271381561705601</v>
      </c>
      <c r="N58" s="287">
        <f t="shared" ref="N58" si="100">L58+M58</f>
        <v>7.949489389985458</v>
      </c>
      <c r="O58" s="277">
        <f t="shared" si="82"/>
        <v>2.8775366677938573E-2</v>
      </c>
      <c r="P58" s="67">
        <f t="shared" si="83"/>
        <v>0</v>
      </c>
      <c r="Q58" s="67"/>
    </row>
    <row r="59" spans="1:19" s="60" customFormat="1">
      <c r="A59" s="127"/>
      <c r="B59" s="128" t="s">
        <v>149</v>
      </c>
      <c r="C59" s="131" t="s">
        <v>124</v>
      </c>
      <c r="D59" s="289">
        <v>1</v>
      </c>
      <c r="E59" s="69">
        <v>1</v>
      </c>
      <c r="F59" s="115">
        <f t="shared" si="95"/>
        <v>12</v>
      </c>
      <c r="G59" s="244">
        <f>References!B27</f>
        <v>175</v>
      </c>
      <c r="H59" s="68">
        <f t="shared" si="79"/>
        <v>2100</v>
      </c>
      <c r="I59" s="47">
        <f t="shared" si="78"/>
        <v>1573.9110418322985</v>
      </c>
      <c r="J59" s="67">
        <f>(References!$C$49*I59)</f>
        <v>13.34068164436362</v>
      </c>
      <c r="K59" s="67">
        <f>J59/References!$G$52</f>
        <v>13.733458559155466</v>
      </c>
      <c r="L59" s="67">
        <f t="shared" si="80"/>
        <v>1.1444548799296221</v>
      </c>
      <c r="M59" s="245">
        <v>34.854681686172</v>
      </c>
      <c r="N59" s="287">
        <f t="shared" si="81"/>
        <v>35.999136566101626</v>
      </c>
      <c r="O59" s="277">
        <f t="shared" si="82"/>
        <v>3.2835040360838098E-2</v>
      </c>
      <c r="P59" s="67">
        <f t="shared" si="83"/>
        <v>3.5527136788005009E-15</v>
      </c>
      <c r="Q59" s="67"/>
    </row>
    <row r="60" spans="1:19" s="60" customFormat="1">
      <c r="A60" s="127"/>
      <c r="B60" s="106" t="s">
        <v>149</v>
      </c>
      <c r="C60" s="137" t="s">
        <v>109</v>
      </c>
      <c r="D60" s="289">
        <v>1</v>
      </c>
      <c r="E60" s="136">
        <v>1</v>
      </c>
      <c r="F60" s="115">
        <f t="shared" si="95"/>
        <v>12</v>
      </c>
      <c r="G60" s="244">
        <f>References!B28</f>
        <v>250</v>
      </c>
      <c r="H60" s="68">
        <f t="shared" ref="H60:H62" si="101">G60*F60</f>
        <v>3000</v>
      </c>
      <c r="I60" s="47">
        <f t="shared" si="78"/>
        <v>2248.444345474712</v>
      </c>
      <c r="J60" s="67">
        <f>(References!$C$49*I60)</f>
        <v>19.05811663480517</v>
      </c>
      <c r="K60" s="67">
        <f>J60/References!$G$52</f>
        <v>19.619226513079237</v>
      </c>
      <c r="L60" s="67">
        <f t="shared" ref="L60:L63" si="102">K60/F60*E60</f>
        <v>1.634935542756603</v>
      </c>
      <c r="M60" s="245">
        <v>48.039545265960001</v>
      </c>
      <c r="N60" s="287">
        <f t="shared" ref="N60:N62" si="103">L60+M60</f>
        <v>49.674480808716602</v>
      </c>
      <c r="O60" s="277">
        <f t="shared" si="82"/>
        <v>3.4033118625606359E-2</v>
      </c>
      <c r="P60" s="67">
        <f t="shared" si="83"/>
        <v>-1.9984014443252818E-15</v>
      </c>
      <c r="Q60" s="67"/>
    </row>
    <row r="61" spans="1:19" s="60" customFormat="1">
      <c r="A61" s="127"/>
      <c r="B61" s="106" t="s">
        <v>149</v>
      </c>
      <c r="C61" s="137" t="s">
        <v>110</v>
      </c>
      <c r="D61" s="289">
        <v>1</v>
      </c>
      <c r="E61" s="136">
        <v>1</v>
      </c>
      <c r="F61" s="115">
        <f t="shared" si="95"/>
        <v>12</v>
      </c>
      <c r="G61" s="244">
        <f>References!B29</f>
        <v>324</v>
      </c>
      <c r="H61" s="68">
        <f t="shared" si="101"/>
        <v>3888</v>
      </c>
      <c r="I61" s="47">
        <f t="shared" si="78"/>
        <v>2913.9838717352268</v>
      </c>
      <c r="J61" s="67">
        <f>(References!$C$49*I61)</f>
        <v>24.6993191587075</v>
      </c>
      <c r="K61" s="67">
        <f>J61/References!$G$52</f>
        <v>25.426517560950689</v>
      </c>
      <c r="L61" s="67">
        <f t="shared" si="102"/>
        <v>2.1188764634125574</v>
      </c>
      <c r="M61" s="245">
        <v>62.85861066468415</v>
      </c>
      <c r="N61" s="287">
        <f t="shared" si="103"/>
        <v>64.977487128096712</v>
      </c>
      <c r="O61" s="277">
        <f t="shared" si="82"/>
        <v>3.3708611135482916E-2</v>
      </c>
      <c r="P61" s="67">
        <f t="shared" si="83"/>
        <v>4.4408920985006262E-15</v>
      </c>
      <c r="Q61" s="67"/>
    </row>
    <row r="62" spans="1:19" s="60" customFormat="1">
      <c r="A62" s="127"/>
      <c r="B62" s="106" t="s">
        <v>149</v>
      </c>
      <c r="C62" s="137" t="s">
        <v>111</v>
      </c>
      <c r="D62" s="289">
        <v>1</v>
      </c>
      <c r="E62" s="136">
        <v>1</v>
      </c>
      <c r="F62" s="115">
        <f t="shared" si="95"/>
        <v>12</v>
      </c>
      <c r="G62" s="244">
        <f>References!B30</f>
        <v>473</v>
      </c>
      <c r="H62" s="68">
        <f t="shared" si="101"/>
        <v>5676</v>
      </c>
      <c r="I62" s="47">
        <f t="shared" si="78"/>
        <v>4254.0567016381556</v>
      </c>
      <c r="J62" s="67">
        <f>(References!$C$49*I62)</f>
        <v>36.057956673051386</v>
      </c>
      <c r="K62" s="67">
        <f>J62/References!$G$52</f>
        <v>37.11957656274592</v>
      </c>
      <c r="L62" s="67">
        <f t="shared" si="102"/>
        <v>3.0932980468954931</v>
      </c>
      <c r="M62" s="245">
        <v>89.562539643196303</v>
      </c>
      <c r="N62" s="287">
        <f t="shared" si="103"/>
        <v>92.655837690091801</v>
      </c>
      <c r="O62" s="277">
        <f t="shared" si="82"/>
        <v>3.4537855438431374E-2</v>
      </c>
      <c r="P62" s="67">
        <f t="shared" si="83"/>
        <v>4.8849813083506888E-15</v>
      </c>
      <c r="Q62" s="67"/>
    </row>
    <row r="63" spans="1:19" s="60" customFormat="1">
      <c r="A63" s="216"/>
      <c r="B63" s="106" t="s">
        <v>149</v>
      </c>
      <c r="C63" s="137" t="s">
        <v>114</v>
      </c>
      <c r="D63" s="290">
        <v>1</v>
      </c>
      <c r="E63" s="136">
        <v>1</v>
      </c>
      <c r="F63" s="115">
        <f t="shared" si="95"/>
        <v>12</v>
      </c>
      <c r="G63" s="243">
        <f>+References!B33</f>
        <v>980</v>
      </c>
      <c r="H63" s="68">
        <f>G63*F63</f>
        <v>11760</v>
      </c>
      <c r="I63" s="47">
        <f t="shared" si="78"/>
        <v>8813.9018342608724</v>
      </c>
      <c r="J63" s="67">
        <f>(References!$C$49*I63)</f>
        <v>74.707817208436282</v>
      </c>
      <c r="K63" s="67">
        <f>J63/References!$G$52</f>
        <v>76.907367931270613</v>
      </c>
      <c r="L63" s="67">
        <f t="shared" si="102"/>
        <v>6.4089473276058841</v>
      </c>
      <c r="M63" s="246">
        <v>228.86221744256318</v>
      </c>
      <c r="N63" s="287">
        <f>L63+M63</f>
        <v>235.27116477016907</v>
      </c>
      <c r="O63" s="277">
        <f t="shared" si="82"/>
        <v>2.8003518445390913E-2</v>
      </c>
      <c r="P63" s="67">
        <f t="shared" si="83"/>
        <v>0</v>
      </c>
      <c r="Q63" s="67"/>
    </row>
    <row r="64" spans="1:19">
      <c r="A64" s="127"/>
      <c r="B64" s="128" t="s">
        <v>149</v>
      </c>
      <c r="C64" s="58" t="s">
        <v>120</v>
      </c>
      <c r="D64" s="289">
        <v>1</v>
      </c>
      <c r="E64" s="69">
        <v>1</v>
      </c>
      <c r="F64" s="115">
        <f t="shared" si="95"/>
        <v>12</v>
      </c>
      <c r="G64" s="244">
        <f>References!B13</f>
        <v>20</v>
      </c>
      <c r="H64" s="68">
        <f t="shared" si="79"/>
        <v>240</v>
      </c>
      <c r="I64" s="47">
        <f t="shared" si="78"/>
        <v>179.87554763797698</v>
      </c>
      <c r="J64" s="67">
        <f>(References!$C$49*I64)</f>
        <v>1.5246493307844138</v>
      </c>
      <c r="K64" s="67">
        <f>J64/References!$G$52</f>
        <v>1.5695381210463391</v>
      </c>
      <c r="L64" s="67">
        <f t="shared" si="80"/>
        <v>0.13079484342052825</v>
      </c>
      <c r="M64" s="245">
        <v>8.1964373772932717</v>
      </c>
      <c r="N64" s="287">
        <f t="shared" si="81"/>
        <v>8.3272322207137996</v>
      </c>
      <c r="O64" s="277">
        <f t="shared" si="82"/>
        <v>1.5957523665449017E-2</v>
      </c>
      <c r="P64" s="67">
        <f t="shared" si="83"/>
        <v>-3.0531133177191805E-16</v>
      </c>
      <c r="Q64" s="67"/>
      <c r="R64" s="60"/>
      <c r="S64" s="60"/>
    </row>
    <row r="65" spans="1:19">
      <c r="A65" s="127"/>
      <c r="B65" s="128" t="s">
        <v>149</v>
      </c>
      <c r="C65" s="58" t="s">
        <v>121</v>
      </c>
      <c r="D65" s="289">
        <v>1</v>
      </c>
      <c r="E65" s="69">
        <v>1</v>
      </c>
      <c r="F65" s="115">
        <f t="shared" si="95"/>
        <v>12</v>
      </c>
      <c r="G65" s="244">
        <f>References!B26</f>
        <v>29</v>
      </c>
      <c r="H65" s="68">
        <f t="shared" si="79"/>
        <v>348</v>
      </c>
      <c r="I65" s="47">
        <f t="shared" si="78"/>
        <v>260.81954407506663</v>
      </c>
      <c r="J65" s="67">
        <f>(References!$C$49*I65)</f>
        <v>2.2107415296374002</v>
      </c>
      <c r="K65" s="67">
        <f>J65/References!$G$52</f>
        <v>2.2758302755171917</v>
      </c>
      <c r="L65" s="67">
        <f t="shared" si="80"/>
        <v>0.18965252295976598</v>
      </c>
      <c r="M65" s="245">
        <v>8.3569383494417764</v>
      </c>
      <c r="N65" s="287">
        <f t="shared" si="81"/>
        <v>8.5465908724015431</v>
      </c>
      <c r="O65" s="277">
        <f t="shared" si="82"/>
        <v>2.2694019631296469E-2</v>
      </c>
      <c r="P65" s="67">
        <f t="shared" si="83"/>
        <v>7.7715611723760958E-16</v>
      </c>
      <c r="Q65" s="67"/>
      <c r="R65" s="60"/>
      <c r="S65" s="60"/>
    </row>
    <row r="66" spans="1:19">
      <c r="A66" s="127"/>
      <c r="B66" s="128" t="s">
        <v>149</v>
      </c>
      <c r="C66" s="58" t="s">
        <v>122</v>
      </c>
      <c r="D66" s="289">
        <v>1</v>
      </c>
      <c r="E66" s="69">
        <v>1</v>
      </c>
      <c r="F66" s="115">
        <f t="shared" si="95"/>
        <v>12</v>
      </c>
      <c r="G66" s="244">
        <f>References!B21</f>
        <v>47</v>
      </c>
      <c r="H66" s="68">
        <f t="shared" si="79"/>
        <v>564</v>
      </c>
      <c r="I66" s="47">
        <f t="shared" si="78"/>
        <v>422.70753694924588</v>
      </c>
      <c r="J66" s="67">
        <f>(References!$C$49*I66)</f>
        <v>3.5829259273433722</v>
      </c>
      <c r="K66" s="67">
        <f>J66/References!$G$52</f>
        <v>3.6884145844588967</v>
      </c>
      <c r="L66" s="67">
        <f t="shared" si="80"/>
        <v>0.30736788203824139</v>
      </c>
      <c r="M66" s="245">
        <v>12.38239340976779</v>
      </c>
      <c r="N66" s="287">
        <f t="shared" si="81"/>
        <v>12.689761291806031</v>
      </c>
      <c r="O66" s="277">
        <f t="shared" si="82"/>
        <v>2.4822978229376541E-2</v>
      </c>
      <c r="P66" s="67">
        <f t="shared" si="83"/>
        <v>-5.5511151231257827E-16</v>
      </c>
      <c r="Q66" s="67"/>
      <c r="R66" s="60"/>
      <c r="S66" s="60"/>
    </row>
    <row r="67" spans="1:19">
      <c r="A67" s="127"/>
      <c r="B67" s="128" t="s">
        <v>149</v>
      </c>
      <c r="C67" s="58" t="s">
        <v>123</v>
      </c>
      <c r="D67" s="289">
        <v>1</v>
      </c>
      <c r="E67" s="69">
        <v>1</v>
      </c>
      <c r="F67" s="115">
        <f t="shared" si="95"/>
        <v>12</v>
      </c>
      <c r="G67" s="244">
        <f>References!B22</f>
        <v>68</v>
      </c>
      <c r="H67" s="68">
        <f t="shared" si="79"/>
        <v>816</v>
      </c>
      <c r="I67" s="47">
        <f t="shared" si="78"/>
        <v>611.57686196912175</v>
      </c>
      <c r="J67" s="67">
        <f>(References!$C$49*I67)</f>
        <v>5.1838077246670071</v>
      </c>
      <c r="K67" s="67">
        <f>J67/References!$G$52</f>
        <v>5.3364296115575529</v>
      </c>
      <c r="L67" s="67">
        <f t="shared" si="80"/>
        <v>0.44470246762979609</v>
      </c>
      <c r="M67" s="245">
        <v>17.010156663184642</v>
      </c>
      <c r="N67" s="287">
        <f t="shared" si="81"/>
        <v>17.454859130814437</v>
      </c>
      <c r="O67" s="277">
        <f t="shared" si="82"/>
        <v>2.6143349319778627E-2</v>
      </c>
      <c r="P67" s="67">
        <f t="shared" si="83"/>
        <v>0</v>
      </c>
      <c r="Q67" s="67"/>
      <c r="R67" s="60"/>
      <c r="S67" s="60"/>
    </row>
    <row r="68" spans="1:19">
      <c r="A68" s="127"/>
      <c r="B68" s="128" t="s">
        <v>149</v>
      </c>
      <c r="C68" s="58" t="s">
        <v>125</v>
      </c>
      <c r="D68" s="289">
        <v>1</v>
      </c>
      <c r="E68" s="69">
        <v>1</v>
      </c>
      <c r="F68" s="115">
        <f t="shared" si="95"/>
        <v>12</v>
      </c>
      <c r="G68" s="244">
        <f>References!B27</f>
        <v>175</v>
      </c>
      <c r="H68" s="68">
        <f t="shared" si="79"/>
        <v>2100</v>
      </c>
      <c r="I68" s="47">
        <f t="shared" si="78"/>
        <v>1573.9110418322985</v>
      </c>
      <c r="J68" s="67">
        <f>(References!$C$49*I68)</f>
        <v>13.34068164436362</v>
      </c>
      <c r="K68" s="67">
        <f>J68/References!$G$52</f>
        <v>13.733458559155466</v>
      </c>
      <c r="L68" s="67">
        <f t="shared" si="80"/>
        <v>1.1444548799296221</v>
      </c>
      <c r="M68" s="245">
        <v>38.340837937154248</v>
      </c>
      <c r="N68" s="287">
        <f t="shared" si="81"/>
        <v>39.485292817083874</v>
      </c>
      <c r="O68" s="277">
        <f t="shared" si="82"/>
        <v>2.9849500989142085E-2</v>
      </c>
      <c r="P68" s="67">
        <f t="shared" si="83"/>
        <v>3.5527136788005009E-15</v>
      </c>
      <c r="Q68" s="67"/>
      <c r="R68" s="60"/>
      <c r="S68" s="60"/>
    </row>
    <row r="69" spans="1:19">
      <c r="A69" s="127"/>
      <c r="B69" s="128" t="s">
        <v>149</v>
      </c>
      <c r="C69" s="58" t="s">
        <v>126</v>
      </c>
      <c r="D69" s="289">
        <v>1</v>
      </c>
      <c r="E69" s="69">
        <v>1</v>
      </c>
      <c r="F69" s="115">
        <f t="shared" si="95"/>
        <v>12</v>
      </c>
      <c r="G69" s="244">
        <f>References!B28</f>
        <v>250</v>
      </c>
      <c r="H69" s="68">
        <f t="shared" si="79"/>
        <v>3000</v>
      </c>
      <c r="I69" s="47">
        <f t="shared" si="78"/>
        <v>2248.444345474712</v>
      </c>
      <c r="J69" s="67">
        <f>(References!$C$49*I69)</f>
        <v>19.05811663480517</v>
      </c>
      <c r="K69" s="67">
        <f>J69/References!$G$52</f>
        <v>19.619226513079237</v>
      </c>
      <c r="L69" s="67">
        <f t="shared" si="80"/>
        <v>1.634935542756603</v>
      </c>
      <c r="M69" s="245">
        <v>51.622138346212402</v>
      </c>
      <c r="N69" s="287">
        <f t="shared" si="81"/>
        <v>53.257073888969003</v>
      </c>
      <c r="O69" s="277">
        <f t="shared" si="82"/>
        <v>3.1671209196946423E-2</v>
      </c>
      <c r="P69" s="67">
        <f t="shared" si="83"/>
        <v>-1.9984014443252818E-15</v>
      </c>
      <c r="Q69" s="67"/>
      <c r="R69" s="60"/>
      <c r="S69" s="60"/>
    </row>
    <row r="70" spans="1:19">
      <c r="A70" s="127"/>
      <c r="B70" s="128" t="s">
        <v>149</v>
      </c>
      <c r="C70" s="58" t="s">
        <v>127</v>
      </c>
      <c r="D70" s="289">
        <v>1</v>
      </c>
      <c r="E70" s="69">
        <v>1</v>
      </c>
      <c r="F70" s="115">
        <f t="shared" si="95"/>
        <v>12</v>
      </c>
      <c r="G70" s="244">
        <f>References!B29</f>
        <v>324</v>
      </c>
      <c r="H70" s="68">
        <f t="shared" si="79"/>
        <v>3888</v>
      </c>
      <c r="I70" s="47">
        <f t="shared" si="78"/>
        <v>2913.9838717352268</v>
      </c>
      <c r="J70" s="67">
        <f>(References!$C$49*I70)</f>
        <v>24.6993191587075</v>
      </c>
      <c r="K70" s="67">
        <f>J70/References!$G$52</f>
        <v>25.426517560950689</v>
      </c>
      <c r="L70" s="67">
        <f t="shared" si="80"/>
        <v>2.1188764634125574</v>
      </c>
      <c r="M70" s="245">
        <v>68.244646459741702</v>
      </c>
      <c r="N70" s="287">
        <f t="shared" si="81"/>
        <v>70.363522923154264</v>
      </c>
      <c r="O70" s="277">
        <f t="shared" si="82"/>
        <v>3.1048244416688523E-2</v>
      </c>
      <c r="P70" s="67">
        <f t="shared" si="83"/>
        <v>4.4408920985006262E-15</v>
      </c>
      <c r="Q70" s="67"/>
      <c r="R70" s="60"/>
      <c r="S70" s="60"/>
    </row>
    <row r="71" spans="1:19">
      <c r="A71" s="127"/>
      <c r="B71" s="128" t="s">
        <v>149</v>
      </c>
      <c r="C71" s="58" t="s">
        <v>128</v>
      </c>
      <c r="D71" s="289">
        <v>1</v>
      </c>
      <c r="E71" s="69">
        <v>1</v>
      </c>
      <c r="F71" s="115">
        <f t="shared" si="95"/>
        <v>12</v>
      </c>
      <c r="G71" s="244">
        <f>References!B30</f>
        <v>473</v>
      </c>
      <c r="H71" s="68">
        <f t="shared" si="79"/>
        <v>5676</v>
      </c>
      <c r="I71" s="47">
        <f t="shared" si="78"/>
        <v>4254.0567016381556</v>
      </c>
      <c r="J71" s="67">
        <f>(References!$C$49*I71)</f>
        <v>36.057956673051386</v>
      </c>
      <c r="K71" s="67">
        <f>J71/References!$G$52</f>
        <v>37.11957656274592</v>
      </c>
      <c r="L71" s="67">
        <f t="shared" si="80"/>
        <v>3.0932980468954931</v>
      </c>
      <c r="M71" s="245">
        <v>96.740329528867818</v>
      </c>
      <c r="N71" s="287">
        <f t="shared" si="81"/>
        <v>99.833627575763316</v>
      </c>
      <c r="O71" s="277">
        <f t="shared" si="82"/>
        <v>3.1975268866253313E-2</v>
      </c>
      <c r="P71" s="67">
        <f t="shared" si="83"/>
        <v>4.8849813083506888E-15</v>
      </c>
      <c r="Q71" s="67"/>
      <c r="R71" s="60"/>
      <c r="S71" s="60"/>
    </row>
    <row r="72" spans="1:19">
      <c r="A72" s="127"/>
      <c r="B72" s="128" t="s">
        <v>149</v>
      </c>
      <c r="C72" s="58" t="s">
        <v>129</v>
      </c>
      <c r="D72" s="289">
        <v>1</v>
      </c>
      <c r="E72" s="69">
        <v>1</v>
      </c>
      <c r="F72" s="115">
        <f t="shared" si="95"/>
        <v>12</v>
      </c>
      <c r="G72" s="244">
        <f>References!B31</f>
        <v>613</v>
      </c>
      <c r="H72" s="68">
        <f t="shared" si="79"/>
        <v>7356</v>
      </c>
      <c r="I72" s="47">
        <f t="shared" si="78"/>
        <v>5513.185535103994</v>
      </c>
      <c r="J72" s="67">
        <f>(References!$C$49*I72)</f>
        <v>46.730501988542279</v>
      </c>
      <c r="K72" s="67">
        <f>J72/References!$G$52</f>
        <v>48.106343410070288</v>
      </c>
      <c r="L72" s="67">
        <f t="shared" si="80"/>
        <v>4.0088619508391909</v>
      </c>
      <c r="M72" s="245">
        <v>126.3861514709902</v>
      </c>
      <c r="N72" s="287">
        <f t="shared" si="81"/>
        <v>130.39501342182939</v>
      </c>
      <c r="O72" s="277">
        <f t="shared" si="82"/>
        <v>3.1719155177846819E-2</v>
      </c>
      <c r="P72" s="67">
        <f t="shared" si="83"/>
        <v>0</v>
      </c>
      <c r="Q72" s="67"/>
      <c r="R72" s="60"/>
      <c r="S72" s="60"/>
    </row>
    <row r="73" spans="1:19">
      <c r="A73" s="127"/>
      <c r="B73" s="128" t="s">
        <v>149</v>
      </c>
      <c r="C73" s="58" t="s">
        <v>166</v>
      </c>
      <c r="D73" s="289">
        <v>1</v>
      </c>
      <c r="E73" s="69">
        <v>1</v>
      </c>
      <c r="F73" s="115">
        <f t="shared" si="95"/>
        <v>12</v>
      </c>
      <c r="G73" s="244">
        <f>References!B32</f>
        <v>840</v>
      </c>
      <c r="H73" s="68">
        <f t="shared" si="79"/>
        <v>10080</v>
      </c>
      <c r="I73" s="47">
        <f t="shared" si="78"/>
        <v>7554.7730007950331</v>
      </c>
      <c r="J73" s="67">
        <f>(References!$C$49*I73)</f>
        <v>64.035271892945374</v>
      </c>
      <c r="K73" s="67">
        <f>J73/References!$G$52</f>
        <v>65.920601083946238</v>
      </c>
      <c r="L73" s="67">
        <f t="shared" si="80"/>
        <v>5.4933834236621868</v>
      </c>
      <c r="M73" s="245">
        <v>183.50743346657953</v>
      </c>
      <c r="N73" s="287">
        <f t="shared" si="81"/>
        <v>189.00081689024171</v>
      </c>
      <c r="O73" s="277">
        <f t="shared" si="82"/>
        <v>2.9935481739831779E-2</v>
      </c>
      <c r="P73" s="67">
        <f t="shared" si="83"/>
        <v>0</v>
      </c>
      <c r="Q73" s="67"/>
      <c r="R73" s="60"/>
      <c r="S73" s="60"/>
    </row>
    <row r="74" spans="1:19">
      <c r="A74" s="129"/>
      <c r="B74" s="128" t="s">
        <v>149</v>
      </c>
      <c r="C74" s="58" t="s">
        <v>131</v>
      </c>
      <c r="D74" s="289">
        <v>1</v>
      </c>
      <c r="E74" s="69">
        <v>1</v>
      </c>
      <c r="F74" s="115">
        <f t="shared" si="95"/>
        <v>12</v>
      </c>
      <c r="G74" s="244">
        <f>References!B33</f>
        <v>980</v>
      </c>
      <c r="H74" s="68">
        <f t="shared" si="79"/>
        <v>11760</v>
      </c>
      <c r="I74" s="47">
        <f t="shared" si="78"/>
        <v>8813.9018342608724</v>
      </c>
      <c r="J74" s="67">
        <f>(References!$C$49*I74)</f>
        <v>74.707817208436282</v>
      </c>
      <c r="K74" s="67">
        <f>J74/References!$G$52</f>
        <v>76.907367931270613</v>
      </c>
      <c r="L74" s="67">
        <f t="shared" si="80"/>
        <v>6.4089473276058841</v>
      </c>
      <c r="M74" s="245">
        <v>243.74207295158465</v>
      </c>
      <c r="N74" s="287">
        <f t="shared" si="81"/>
        <v>250.15102027919053</v>
      </c>
      <c r="O74" s="277">
        <f t="shared" si="82"/>
        <v>2.6293972353631848E-2</v>
      </c>
      <c r="P74" s="67">
        <f t="shared" si="83"/>
        <v>0</v>
      </c>
      <c r="Q74" s="67"/>
      <c r="R74" s="60"/>
      <c r="S74" s="60"/>
    </row>
    <row r="75" spans="1:19">
      <c r="A75" s="129"/>
      <c r="B75" s="128" t="s">
        <v>149</v>
      </c>
      <c r="C75" s="58" t="s">
        <v>160</v>
      </c>
      <c r="D75" s="289">
        <v>1</v>
      </c>
      <c r="E75" s="136">
        <v>1</v>
      </c>
      <c r="F75" s="115">
        <f t="shared" si="95"/>
        <v>12</v>
      </c>
      <c r="G75" s="244">
        <f>+G68</f>
        <v>175</v>
      </c>
      <c r="H75" s="68">
        <f t="shared" ref="H75:H80" si="104">G75*F75</f>
        <v>2100</v>
      </c>
      <c r="I75" s="47">
        <f t="shared" si="78"/>
        <v>1573.9110418322985</v>
      </c>
      <c r="J75" s="67">
        <f>(References!$C$49*I75)</f>
        <v>13.34068164436362</v>
      </c>
      <c r="K75" s="67">
        <f>J75/References!$G$52</f>
        <v>13.733458559155466</v>
      </c>
      <c r="L75" s="67">
        <f t="shared" ref="L75:L80" si="105">K75/F75*E75</f>
        <v>1.1444548799296221</v>
      </c>
      <c r="M75" s="245">
        <v>38.340837937154248</v>
      </c>
      <c r="N75" s="287">
        <f t="shared" ref="N75:N80" si="106">L75+M75</f>
        <v>39.485292817083874</v>
      </c>
      <c r="O75" s="277">
        <f t="shared" si="82"/>
        <v>2.9849500989142085E-2</v>
      </c>
      <c r="P75" s="67">
        <f t="shared" si="83"/>
        <v>3.5527136788005009E-15</v>
      </c>
      <c r="Q75" s="67"/>
      <c r="R75" s="60"/>
      <c r="S75" s="60"/>
    </row>
    <row r="76" spans="1:19">
      <c r="A76" s="129"/>
      <c r="B76" s="128" t="s">
        <v>149</v>
      </c>
      <c r="C76" s="58" t="s">
        <v>161</v>
      </c>
      <c r="D76" s="289">
        <v>1</v>
      </c>
      <c r="E76" s="136">
        <v>1</v>
      </c>
      <c r="F76" s="115">
        <f t="shared" si="95"/>
        <v>12</v>
      </c>
      <c r="G76" s="244">
        <f t="shared" ref="G76:G77" si="107">+G69</f>
        <v>250</v>
      </c>
      <c r="H76" s="68">
        <f t="shared" si="104"/>
        <v>3000</v>
      </c>
      <c r="I76" s="47">
        <f t="shared" si="78"/>
        <v>2248.444345474712</v>
      </c>
      <c r="J76" s="67">
        <f>(References!$C$49*I76)</f>
        <v>19.05811663480517</v>
      </c>
      <c r="K76" s="67">
        <f>J76/References!$G$52</f>
        <v>19.619226513079237</v>
      </c>
      <c r="L76" s="67">
        <f t="shared" si="105"/>
        <v>1.634935542756603</v>
      </c>
      <c r="M76" s="245">
        <v>51.622138346212402</v>
      </c>
      <c r="N76" s="287">
        <f t="shared" si="106"/>
        <v>53.257073888969003</v>
      </c>
      <c r="O76" s="277">
        <f t="shared" si="82"/>
        <v>3.1671209196946423E-2</v>
      </c>
      <c r="P76" s="67">
        <f t="shared" si="83"/>
        <v>-1.9984014443252818E-15</v>
      </c>
      <c r="Q76" s="67"/>
      <c r="R76" s="60"/>
      <c r="S76" s="60"/>
    </row>
    <row r="77" spans="1:19">
      <c r="A77" s="129"/>
      <c r="B77" s="128" t="s">
        <v>149</v>
      </c>
      <c r="C77" s="58" t="s">
        <v>162</v>
      </c>
      <c r="D77" s="289">
        <v>1</v>
      </c>
      <c r="E77" s="136">
        <v>1</v>
      </c>
      <c r="F77" s="115">
        <f t="shared" si="95"/>
        <v>12</v>
      </c>
      <c r="G77" s="244">
        <f t="shared" si="107"/>
        <v>324</v>
      </c>
      <c r="H77" s="68">
        <f t="shared" si="104"/>
        <v>3888</v>
      </c>
      <c r="I77" s="47">
        <f t="shared" si="78"/>
        <v>2913.9838717352268</v>
      </c>
      <c r="J77" s="67">
        <f>(References!$C$49*I77)</f>
        <v>24.6993191587075</v>
      </c>
      <c r="K77" s="67">
        <f>J77/References!$G$52</f>
        <v>25.426517560950689</v>
      </c>
      <c r="L77" s="67">
        <f t="shared" si="105"/>
        <v>2.1188764634125574</v>
      </c>
      <c r="M77" s="245">
        <v>68.244646459741702</v>
      </c>
      <c r="N77" s="287">
        <f t="shared" si="106"/>
        <v>70.363522923154264</v>
      </c>
      <c r="O77" s="277">
        <f t="shared" si="82"/>
        <v>3.1048244416688523E-2</v>
      </c>
      <c r="P77" s="67">
        <f t="shared" si="83"/>
        <v>4.4408920985006262E-15</v>
      </c>
      <c r="Q77" s="67"/>
      <c r="R77" s="60"/>
      <c r="S77" s="60"/>
    </row>
    <row r="78" spans="1:19">
      <c r="A78" s="129"/>
      <c r="B78" s="128" t="s">
        <v>149</v>
      </c>
      <c r="C78" s="58" t="s">
        <v>163</v>
      </c>
      <c r="D78" s="289">
        <v>1</v>
      </c>
      <c r="E78" s="136">
        <v>1</v>
      </c>
      <c r="F78" s="115">
        <f t="shared" si="95"/>
        <v>12</v>
      </c>
      <c r="G78" s="244">
        <f>+G72</f>
        <v>613</v>
      </c>
      <c r="H78" s="68">
        <f t="shared" si="104"/>
        <v>7356</v>
      </c>
      <c r="I78" s="47">
        <f t="shared" si="78"/>
        <v>5513.185535103994</v>
      </c>
      <c r="J78" s="67">
        <f>(References!$C$49*I78)</f>
        <v>46.730501988542279</v>
      </c>
      <c r="K78" s="67">
        <f>J78/References!$G$52</f>
        <v>48.106343410070288</v>
      </c>
      <c r="L78" s="67">
        <f t="shared" si="105"/>
        <v>4.0088619508391909</v>
      </c>
      <c r="M78" s="245">
        <v>126.3861514709902</v>
      </c>
      <c r="N78" s="287">
        <f t="shared" si="106"/>
        <v>130.39501342182939</v>
      </c>
      <c r="O78" s="277">
        <f t="shared" si="82"/>
        <v>3.1719155177846819E-2</v>
      </c>
      <c r="P78" s="67">
        <f t="shared" si="83"/>
        <v>0</v>
      </c>
      <c r="Q78" s="67"/>
      <c r="R78" s="60"/>
      <c r="S78" s="60"/>
    </row>
    <row r="79" spans="1:19">
      <c r="A79" s="129"/>
      <c r="B79" s="128" t="s">
        <v>149</v>
      </c>
      <c r="C79" s="58" t="s">
        <v>173</v>
      </c>
      <c r="D79" s="289">
        <v>1</v>
      </c>
      <c r="E79" s="136">
        <v>1</v>
      </c>
      <c r="F79" s="115">
        <f t="shared" si="95"/>
        <v>12</v>
      </c>
      <c r="G79" s="244">
        <f>+G73</f>
        <v>840</v>
      </c>
      <c r="H79" s="68">
        <f t="shared" si="104"/>
        <v>10080</v>
      </c>
      <c r="I79" s="47">
        <f t="shared" ref="I79:I110" si="108">$D$139*H79</f>
        <v>7554.7730007950331</v>
      </c>
      <c r="J79" s="67">
        <f>(References!$C$49*I79)</f>
        <v>64.035271892945374</v>
      </c>
      <c r="K79" s="67">
        <f>J79/References!$G$52</f>
        <v>65.920601083946238</v>
      </c>
      <c r="L79" s="67">
        <f t="shared" si="105"/>
        <v>5.4933834236621868</v>
      </c>
      <c r="M79" s="245">
        <v>183.50743346657953</v>
      </c>
      <c r="N79" s="287">
        <f t="shared" si="106"/>
        <v>189.00081689024171</v>
      </c>
      <c r="O79" s="277">
        <f t="shared" si="82"/>
        <v>2.9935481739831779E-2</v>
      </c>
      <c r="P79" s="67">
        <f t="shared" si="83"/>
        <v>0</v>
      </c>
      <c r="Q79" s="67"/>
      <c r="R79" s="60"/>
      <c r="S79" s="60"/>
    </row>
    <row r="80" spans="1:19">
      <c r="A80" s="129"/>
      <c r="B80" s="128" t="s">
        <v>149</v>
      </c>
      <c r="C80" s="58" t="s">
        <v>164</v>
      </c>
      <c r="D80" s="289">
        <v>1</v>
      </c>
      <c r="E80" s="136">
        <v>1</v>
      </c>
      <c r="F80" s="115">
        <f t="shared" si="95"/>
        <v>12</v>
      </c>
      <c r="G80" s="244">
        <f>+G74</f>
        <v>980</v>
      </c>
      <c r="H80" s="68">
        <f t="shared" si="104"/>
        <v>11760</v>
      </c>
      <c r="I80" s="47">
        <f t="shared" si="108"/>
        <v>8813.9018342608724</v>
      </c>
      <c r="J80" s="67">
        <f>(References!$C$49*I80)</f>
        <v>74.707817208436282</v>
      </c>
      <c r="K80" s="67">
        <f>J80/References!$G$52</f>
        <v>76.907367931270613</v>
      </c>
      <c r="L80" s="67">
        <f t="shared" si="105"/>
        <v>6.4089473276058841</v>
      </c>
      <c r="M80" s="245">
        <v>243.74207295158465</v>
      </c>
      <c r="N80" s="287">
        <f t="shared" si="106"/>
        <v>250.15102027919053</v>
      </c>
      <c r="O80" s="277">
        <f t="shared" si="82"/>
        <v>2.6293972353631848E-2</v>
      </c>
      <c r="P80" s="67">
        <f t="shared" si="83"/>
        <v>0</v>
      </c>
      <c r="Q80" s="67"/>
      <c r="R80" s="60"/>
      <c r="S80" s="60"/>
    </row>
    <row r="81" spans="1:19">
      <c r="A81" s="129"/>
      <c r="B81" s="43" t="s">
        <v>150</v>
      </c>
      <c r="C81" s="58" t="s">
        <v>132</v>
      </c>
      <c r="D81" s="289">
        <v>1</v>
      </c>
      <c r="E81" s="69">
        <v>1</v>
      </c>
      <c r="F81" s="115">
        <f t="shared" si="95"/>
        <v>12</v>
      </c>
      <c r="G81" s="244">
        <f>References!B37</f>
        <v>1301</v>
      </c>
      <c r="H81" s="68">
        <f t="shared" si="79"/>
        <v>15612</v>
      </c>
      <c r="I81" s="47">
        <f t="shared" si="108"/>
        <v>11700.904373850402</v>
      </c>
      <c r="J81" s="67">
        <f>(References!$C$49*I81)</f>
        <v>99.17843896752612</v>
      </c>
      <c r="K81" s="67">
        <f>J81/References!$G$52</f>
        <v>102.09845477406435</v>
      </c>
      <c r="L81" s="67">
        <f t="shared" si="80"/>
        <v>8.5082045645053626</v>
      </c>
      <c r="M81" s="245">
        <v>377.78294221606524</v>
      </c>
      <c r="N81" s="287">
        <f t="shared" si="81"/>
        <v>386.29114678057061</v>
      </c>
      <c r="O81" s="277">
        <f t="shared" si="82"/>
        <v>2.2521410084310446E-2</v>
      </c>
      <c r="P81" s="67">
        <f t="shared" si="83"/>
        <v>1.4210854715202004E-14</v>
      </c>
      <c r="Q81" s="67"/>
      <c r="R81" s="60"/>
      <c r="S81" s="60"/>
    </row>
    <row r="82" spans="1:19">
      <c r="A82" s="129"/>
      <c r="B82" s="43" t="s">
        <v>150</v>
      </c>
      <c r="C82" s="58" t="s">
        <v>133</v>
      </c>
      <c r="D82" s="289">
        <v>1</v>
      </c>
      <c r="E82" s="69">
        <v>1</v>
      </c>
      <c r="F82" s="115">
        <f t="shared" si="95"/>
        <v>12</v>
      </c>
      <c r="G82" s="244">
        <f>References!B38</f>
        <v>1686</v>
      </c>
      <c r="H82" s="68">
        <f t="shared" si="79"/>
        <v>20232</v>
      </c>
      <c r="I82" s="47">
        <f t="shared" si="108"/>
        <v>15163.508665881458</v>
      </c>
      <c r="J82" s="67">
        <f>(References!$C$49*I82)</f>
        <v>128.52793858512607</v>
      </c>
      <c r="K82" s="67">
        <f>J82/References!$G$52</f>
        <v>132.31206360420637</v>
      </c>
      <c r="L82" s="67">
        <f t="shared" si="80"/>
        <v>11.026005300350532</v>
      </c>
      <c r="M82" s="245">
        <v>471.03430489053153</v>
      </c>
      <c r="N82" s="287">
        <f t="shared" si="81"/>
        <v>482.06031019088203</v>
      </c>
      <c r="O82" s="277">
        <f t="shared" si="82"/>
        <v>2.3408072800372739E-2</v>
      </c>
      <c r="P82" s="67">
        <f t="shared" si="83"/>
        <v>-2.6645352591003757E-14</v>
      </c>
      <c r="Q82" s="67"/>
      <c r="R82" s="60"/>
      <c r="S82" s="60"/>
    </row>
    <row r="83" spans="1:19">
      <c r="A83" s="129"/>
      <c r="B83" s="43" t="s">
        <v>150</v>
      </c>
      <c r="C83" s="58" t="s">
        <v>134</v>
      </c>
      <c r="D83" s="289">
        <v>1</v>
      </c>
      <c r="E83" s="69">
        <v>1</v>
      </c>
      <c r="F83" s="115">
        <f t="shared" si="95"/>
        <v>12</v>
      </c>
      <c r="G83" s="244">
        <f>References!B39</f>
        <v>2046</v>
      </c>
      <c r="H83" s="68">
        <f t="shared" si="79"/>
        <v>24552</v>
      </c>
      <c r="I83" s="47">
        <f t="shared" si="108"/>
        <v>18401.268523365045</v>
      </c>
      <c r="J83" s="67">
        <f>(References!$C$49*I83)</f>
        <v>155.97162653924553</v>
      </c>
      <c r="K83" s="67">
        <f>J83/References!$G$52</f>
        <v>160.56374978304049</v>
      </c>
      <c r="L83" s="67">
        <f t="shared" si="80"/>
        <v>13.380312481920042</v>
      </c>
      <c r="M83" s="245">
        <v>543.92869691410328</v>
      </c>
      <c r="N83" s="287">
        <f t="shared" si="81"/>
        <v>557.30900939602327</v>
      </c>
      <c r="O83" s="277">
        <f t="shared" si="82"/>
        <v>2.4599386937720347E-2</v>
      </c>
      <c r="P83" s="67">
        <f t="shared" si="83"/>
        <v>-5.5067062021407764E-14</v>
      </c>
      <c r="Q83" s="67"/>
      <c r="R83" s="60"/>
      <c r="S83" s="60"/>
    </row>
    <row r="84" spans="1:19" s="60" customFormat="1">
      <c r="A84" s="127"/>
      <c r="B84" s="43" t="s">
        <v>150</v>
      </c>
      <c r="C84" s="58" t="s">
        <v>130</v>
      </c>
      <c r="D84" s="289">
        <v>1</v>
      </c>
      <c r="E84" s="69">
        <v>1</v>
      </c>
      <c r="F84" s="115">
        <f t="shared" si="95"/>
        <v>12</v>
      </c>
      <c r="G84" s="244">
        <f>References!B40</f>
        <v>2310</v>
      </c>
      <c r="H84" s="68">
        <f t="shared" ref="H84:H109" si="109">G84*F84</f>
        <v>27720</v>
      </c>
      <c r="I84" s="47">
        <f t="shared" si="108"/>
        <v>20775.625752186341</v>
      </c>
      <c r="J84" s="67">
        <f>(References!$C$49*I84)</f>
        <v>176.09699770559979</v>
      </c>
      <c r="K84" s="67">
        <f>J84/References!$G$52</f>
        <v>181.28165298085216</v>
      </c>
      <c r="L84" s="67">
        <f t="shared" ref="L84:L109" si="110">K84/F84*E84</f>
        <v>15.106804415071013</v>
      </c>
      <c r="M84" s="245">
        <v>642.72839034636183</v>
      </c>
      <c r="N84" s="287">
        <f t="shared" si="81"/>
        <v>657.83519476143283</v>
      </c>
      <c r="O84" s="277">
        <f t="shared" si="82"/>
        <v>2.3504180991491697E-2</v>
      </c>
      <c r="P84" s="67">
        <f t="shared" si="83"/>
        <v>-1.5987211554602254E-14</v>
      </c>
      <c r="Q84" s="67"/>
    </row>
    <row r="85" spans="1:19">
      <c r="A85" s="127"/>
      <c r="B85" s="43" t="s">
        <v>151</v>
      </c>
      <c r="C85" s="58" t="s">
        <v>124</v>
      </c>
      <c r="D85" s="289">
        <v>1</v>
      </c>
      <c r="E85" s="69">
        <v>1</v>
      </c>
      <c r="F85" s="115">
        <f t="shared" si="95"/>
        <v>12</v>
      </c>
      <c r="G85" s="244">
        <f>References!B34</f>
        <v>482</v>
      </c>
      <c r="H85" s="68">
        <f t="shared" si="109"/>
        <v>5784</v>
      </c>
      <c r="I85" s="47">
        <f t="shared" si="108"/>
        <v>4335.0006980752451</v>
      </c>
      <c r="J85" s="67">
        <f>(References!$C$49*I85)</f>
        <v>36.744048871904369</v>
      </c>
      <c r="K85" s="67">
        <f>J85/References!$G$52</f>
        <v>37.825868717216764</v>
      </c>
      <c r="L85" s="67">
        <f t="shared" si="110"/>
        <v>3.1521557264347302</v>
      </c>
      <c r="M85" s="245">
        <v>210.70986234346279</v>
      </c>
      <c r="N85" s="287">
        <f t="shared" si="81"/>
        <v>213.86201806989752</v>
      </c>
      <c r="O85" s="277">
        <f t="shared" si="82"/>
        <v>1.4959697146480173E-2</v>
      </c>
      <c r="P85" s="67">
        <f t="shared" si="83"/>
        <v>0</v>
      </c>
      <c r="Q85" s="67"/>
      <c r="R85" s="60"/>
      <c r="S85" s="60"/>
    </row>
    <row r="86" spans="1:19">
      <c r="A86" s="127"/>
      <c r="B86" s="43" t="s">
        <v>151</v>
      </c>
      <c r="C86" s="58" t="s">
        <v>135</v>
      </c>
      <c r="D86" s="289">
        <v>1</v>
      </c>
      <c r="E86" s="69">
        <v>1</v>
      </c>
      <c r="F86" s="115">
        <f t="shared" si="95"/>
        <v>12</v>
      </c>
      <c r="G86" s="244">
        <f>References!B36</f>
        <v>892</v>
      </c>
      <c r="H86" s="68">
        <f t="shared" si="109"/>
        <v>10704</v>
      </c>
      <c r="I86" s="47">
        <f t="shared" si="108"/>
        <v>8022.4494246537733</v>
      </c>
      <c r="J86" s="67">
        <f>(References!$C$49*I86)</f>
        <v>67.999360152984849</v>
      </c>
      <c r="K86" s="67">
        <f>J86/References!$G$52</f>
        <v>70.001400198666715</v>
      </c>
      <c r="L86" s="67">
        <f t="shared" si="110"/>
        <v>5.8334500165555596</v>
      </c>
      <c r="M86" s="245">
        <v>343.20874021372009</v>
      </c>
      <c r="N86" s="287">
        <f t="shared" si="81"/>
        <v>349.04219023027565</v>
      </c>
      <c r="O86" s="277">
        <f t="shared" si="82"/>
        <v>1.699679912849248E-2</v>
      </c>
      <c r="P86" s="67">
        <f t="shared" si="83"/>
        <v>0</v>
      </c>
      <c r="Q86" s="67"/>
      <c r="R86" s="60"/>
      <c r="S86" s="60"/>
    </row>
    <row r="87" spans="1:19">
      <c r="A87" s="127"/>
      <c r="B87" s="43" t="s">
        <v>151</v>
      </c>
      <c r="C87" s="58" t="s">
        <v>132</v>
      </c>
      <c r="D87" s="289">
        <v>1</v>
      </c>
      <c r="E87" s="69">
        <v>1</v>
      </c>
      <c r="F87" s="115">
        <f t="shared" si="95"/>
        <v>12</v>
      </c>
      <c r="G87" s="244">
        <f>References!B37</f>
        <v>1301</v>
      </c>
      <c r="H87" s="68">
        <f t="shared" si="109"/>
        <v>15612</v>
      </c>
      <c r="I87" s="47">
        <f t="shared" si="108"/>
        <v>11700.904373850402</v>
      </c>
      <c r="J87" s="67">
        <f>(References!$C$49*I87)</f>
        <v>99.17843896752612</v>
      </c>
      <c r="K87" s="67">
        <f>J87/References!$G$52</f>
        <v>102.09845477406435</v>
      </c>
      <c r="L87" s="67">
        <f t="shared" si="110"/>
        <v>8.5082045645053626</v>
      </c>
      <c r="M87" s="245">
        <v>452.00198534773392</v>
      </c>
      <c r="N87" s="287">
        <f t="shared" si="81"/>
        <v>460.5101899122393</v>
      </c>
      <c r="O87" s="277">
        <f t="shared" si="82"/>
        <v>1.8823378746798722E-2</v>
      </c>
      <c r="P87" s="67">
        <f t="shared" si="83"/>
        <v>1.4210854715202004E-14</v>
      </c>
      <c r="Q87" s="67"/>
      <c r="R87" s="60"/>
      <c r="S87" s="60"/>
    </row>
    <row r="88" spans="1:19">
      <c r="A88" s="127"/>
      <c r="B88" s="43" t="s">
        <v>151</v>
      </c>
      <c r="C88" s="58" t="s">
        <v>133</v>
      </c>
      <c r="D88" s="289">
        <v>1</v>
      </c>
      <c r="E88" s="69">
        <v>1</v>
      </c>
      <c r="F88" s="115">
        <f t="shared" si="95"/>
        <v>12</v>
      </c>
      <c r="G88" s="244">
        <f>References!B38</f>
        <v>1686</v>
      </c>
      <c r="H88" s="68">
        <f t="shared" si="109"/>
        <v>20232</v>
      </c>
      <c r="I88" s="47">
        <f t="shared" si="108"/>
        <v>15163.508665881458</v>
      </c>
      <c r="J88" s="67">
        <f>(References!$C$49*I88)</f>
        <v>128.52793858512607</v>
      </c>
      <c r="K88" s="67">
        <f>J88/References!$G$52</f>
        <v>132.31206360420637</v>
      </c>
      <c r="L88" s="67">
        <f t="shared" si="110"/>
        <v>11.026005300350532</v>
      </c>
      <c r="M88" s="245">
        <v>572.960924252616</v>
      </c>
      <c r="N88" s="287">
        <f t="shared" si="81"/>
        <v>583.98692955296656</v>
      </c>
      <c r="O88" s="277">
        <f t="shared" si="82"/>
        <v>1.9243904485690917E-2</v>
      </c>
      <c r="P88" s="67">
        <f t="shared" si="83"/>
        <v>3.0198066269804258E-14</v>
      </c>
      <c r="Q88" s="67"/>
      <c r="R88" s="60"/>
      <c r="S88" s="60"/>
    </row>
    <row r="89" spans="1:19">
      <c r="A89" s="127"/>
      <c r="B89" s="43" t="s">
        <v>151</v>
      </c>
      <c r="C89" s="58" t="s">
        <v>134</v>
      </c>
      <c r="D89" s="289">
        <v>1</v>
      </c>
      <c r="E89" s="69">
        <v>1</v>
      </c>
      <c r="F89" s="115">
        <f t="shared" si="95"/>
        <v>12</v>
      </c>
      <c r="G89" s="244">
        <f>References!B39</f>
        <v>2046</v>
      </c>
      <c r="H89" s="68">
        <f t="shared" si="109"/>
        <v>24552</v>
      </c>
      <c r="I89" s="47">
        <f t="shared" si="108"/>
        <v>18401.268523365045</v>
      </c>
      <c r="J89" s="67">
        <f>(References!$C$49*I89)</f>
        <v>155.97162653924553</v>
      </c>
      <c r="K89" s="67">
        <f>J89/References!$G$52</f>
        <v>160.56374978304049</v>
      </c>
      <c r="L89" s="67">
        <f t="shared" si="110"/>
        <v>13.380312481920042</v>
      </c>
      <c r="M89" s="245">
        <v>661.3122010614901</v>
      </c>
      <c r="N89" s="287">
        <f t="shared" si="81"/>
        <v>674.69251354341009</v>
      </c>
      <c r="O89" s="277">
        <f t="shared" si="82"/>
        <v>2.0232973866870958E-2</v>
      </c>
      <c r="P89" s="67">
        <f t="shared" si="83"/>
        <v>-5.5067062021407764E-14</v>
      </c>
      <c r="Q89" s="67"/>
      <c r="R89" s="60"/>
      <c r="S89" s="60"/>
    </row>
    <row r="90" spans="1:19">
      <c r="A90" s="127"/>
      <c r="B90" s="43" t="s">
        <v>151</v>
      </c>
      <c r="C90" s="58" t="s">
        <v>130</v>
      </c>
      <c r="D90" s="289">
        <v>1</v>
      </c>
      <c r="E90" s="69">
        <v>1</v>
      </c>
      <c r="F90" s="115">
        <f t="shared" si="95"/>
        <v>12</v>
      </c>
      <c r="G90" s="244">
        <f>References!B40</f>
        <v>2310</v>
      </c>
      <c r="H90" s="68">
        <f t="shared" si="109"/>
        <v>27720</v>
      </c>
      <c r="I90" s="47">
        <f t="shared" si="108"/>
        <v>20775.625752186341</v>
      </c>
      <c r="J90" s="67">
        <f>(References!$C$49*I90)</f>
        <v>176.09699770559979</v>
      </c>
      <c r="K90" s="67">
        <f>J90/References!$G$52</f>
        <v>181.28165298085216</v>
      </c>
      <c r="L90" s="67">
        <f t="shared" si="110"/>
        <v>15.106804415071013</v>
      </c>
      <c r="M90" s="245">
        <v>762.70067898126592</v>
      </c>
      <c r="N90" s="287">
        <f t="shared" si="81"/>
        <v>777.80748339633692</v>
      </c>
      <c r="O90" s="277">
        <f t="shared" si="82"/>
        <v>1.9806989598133134E-2</v>
      </c>
      <c r="P90" s="67">
        <f t="shared" si="83"/>
        <v>-1.5987211554602254E-14</v>
      </c>
      <c r="Q90" s="67"/>
      <c r="R90" s="60"/>
      <c r="S90" s="60"/>
    </row>
    <row r="91" spans="1:19">
      <c r="A91" s="127"/>
      <c r="B91" s="43" t="s">
        <v>136</v>
      </c>
      <c r="C91" s="58" t="s">
        <v>137</v>
      </c>
      <c r="D91" s="289">
        <v>1</v>
      </c>
      <c r="E91" s="69">
        <v>1</v>
      </c>
      <c r="F91" s="115">
        <f t="shared" si="95"/>
        <v>12</v>
      </c>
      <c r="G91" s="244">
        <f>References!B42</f>
        <v>125</v>
      </c>
      <c r="H91" s="68">
        <f t="shared" si="109"/>
        <v>1500</v>
      </c>
      <c r="I91" s="47">
        <f t="shared" si="108"/>
        <v>1124.222172737356</v>
      </c>
      <c r="J91" s="67">
        <f>(References!$C$49*I91)</f>
        <v>9.5290583174025851</v>
      </c>
      <c r="K91" s="67">
        <f>J91/References!$G$52</f>
        <v>9.8096132565396186</v>
      </c>
      <c r="L91" s="67">
        <f t="shared" si="110"/>
        <v>0.81746777137830151</v>
      </c>
      <c r="M91" s="245">
        <v>24.854772632979998</v>
      </c>
      <c r="N91" s="287">
        <f t="shared" si="81"/>
        <v>25.672240404358298</v>
      </c>
      <c r="O91" s="277">
        <f t="shared" si="82"/>
        <v>3.2889770646849406E-2</v>
      </c>
      <c r="P91" s="67">
        <f t="shared" si="83"/>
        <v>-9.9920072216264089E-16</v>
      </c>
      <c r="Q91" s="67"/>
      <c r="R91" s="60"/>
      <c r="S91" s="60"/>
    </row>
    <row r="92" spans="1:19" ht="15.6" customHeight="1">
      <c r="A92" s="127"/>
      <c r="B92" s="43" t="s">
        <v>136</v>
      </c>
      <c r="C92" s="58" t="s">
        <v>138</v>
      </c>
      <c r="D92" s="289">
        <v>1</v>
      </c>
      <c r="E92" s="69">
        <v>1</v>
      </c>
      <c r="F92" s="115">
        <f t="shared" ref="F92:F109" si="111">D92*E92*12</f>
        <v>12</v>
      </c>
      <c r="G92" s="244">
        <f>References!B42</f>
        <v>125</v>
      </c>
      <c r="H92" s="68">
        <f t="shared" si="109"/>
        <v>1500</v>
      </c>
      <c r="I92" s="47">
        <f t="shared" si="108"/>
        <v>1124.222172737356</v>
      </c>
      <c r="J92" s="67">
        <f>(References!$C$49*I92)</f>
        <v>9.5290583174025851</v>
      </c>
      <c r="K92" s="67">
        <f>J92/References!$G$52</f>
        <v>9.8096132565396186</v>
      </c>
      <c r="L92" s="67">
        <f t="shared" si="110"/>
        <v>0.81746777137830151</v>
      </c>
      <c r="M92" s="245">
        <v>24.854772632979998</v>
      </c>
      <c r="N92" s="287">
        <f t="shared" si="81"/>
        <v>25.672240404358298</v>
      </c>
      <c r="O92" s="277">
        <f t="shared" si="82"/>
        <v>3.2889770646849406E-2</v>
      </c>
      <c r="P92" s="67">
        <f t="shared" si="83"/>
        <v>-9.9920072216264089E-16</v>
      </c>
      <c r="Q92" s="67"/>
      <c r="R92" s="60"/>
      <c r="S92" s="60"/>
    </row>
    <row r="93" spans="1:19">
      <c r="A93" s="127"/>
      <c r="B93" s="279" t="s">
        <v>152</v>
      </c>
      <c r="C93" s="60" t="s">
        <v>105</v>
      </c>
      <c r="D93" s="289">
        <v>1</v>
      </c>
      <c r="E93" s="136">
        <v>1</v>
      </c>
      <c r="F93" s="280">
        <f t="shared" ref="F93:F96" si="112">D93*E93*12</f>
        <v>12</v>
      </c>
      <c r="G93" s="244">
        <f>References!B26</f>
        <v>29</v>
      </c>
      <c r="H93" s="68">
        <f t="shared" ref="H93" si="113">G93*F93</f>
        <v>348</v>
      </c>
      <c r="I93" s="47">
        <f t="shared" si="108"/>
        <v>260.81954407506663</v>
      </c>
      <c r="J93" s="67">
        <f>(References!$C$49*I93)</f>
        <v>2.2107415296374002</v>
      </c>
      <c r="K93" s="67">
        <f>J93/References!$G$52</f>
        <v>2.2758302755171917</v>
      </c>
      <c r="L93" s="67">
        <f t="shared" si="110"/>
        <v>0.18965252295976598</v>
      </c>
      <c r="M93" s="245">
        <v>6.7881472508513596</v>
      </c>
      <c r="N93" s="287">
        <f t="shared" ref="N93" si="114">L93+M93</f>
        <v>6.9777997738111255</v>
      </c>
      <c r="O93" s="277">
        <f t="shared" ref="O93" si="115">L93/M93</f>
        <v>2.7938775626291847E-2</v>
      </c>
      <c r="P93" s="67">
        <f t="shared" ref="P93" si="116">N93-M93-L93</f>
        <v>0</v>
      </c>
      <c r="Q93" s="67"/>
      <c r="R93" s="60"/>
      <c r="S93" s="60"/>
    </row>
    <row r="94" spans="1:19">
      <c r="A94" s="127"/>
      <c r="B94" s="279" t="s">
        <v>152</v>
      </c>
      <c r="C94" s="60" t="s">
        <v>145</v>
      </c>
      <c r="D94" s="289">
        <v>1</v>
      </c>
      <c r="E94" s="136">
        <v>1</v>
      </c>
      <c r="F94" s="280">
        <f t="shared" si="112"/>
        <v>12</v>
      </c>
      <c r="G94" s="244">
        <f>References!B26</f>
        <v>29</v>
      </c>
      <c r="H94" s="68">
        <f t="shared" ref="H94:H96" si="117">G94*F94</f>
        <v>348</v>
      </c>
      <c r="I94" s="47">
        <f t="shared" si="108"/>
        <v>260.81954407506663</v>
      </c>
      <c r="J94" s="67">
        <f>(References!$C$49*I94)</f>
        <v>2.2107415296374002</v>
      </c>
      <c r="K94" s="67">
        <f>J94/References!$G$52</f>
        <v>2.2758302755171917</v>
      </c>
      <c r="L94" s="67">
        <f t="shared" ref="L94:L96" si="118">K94/F94*E94</f>
        <v>0.18965252295976598</v>
      </c>
      <c r="M94" s="245">
        <v>7.5881472508513594</v>
      </c>
      <c r="N94" s="287">
        <f t="shared" ref="N94:N96" si="119">L94+M94</f>
        <v>7.7777997738111253</v>
      </c>
      <c r="O94" s="277">
        <f t="shared" ref="O94:O129" si="120">L94/M94</f>
        <v>2.4993258128786014E-2</v>
      </c>
      <c r="P94" s="67">
        <f t="shared" ref="P94:P129" si="121">N94-M94-L94</f>
        <v>0</v>
      </c>
      <c r="Q94" s="67"/>
      <c r="R94" s="60"/>
      <c r="S94" s="60"/>
    </row>
    <row r="95" spans="1:19">
      <c r="A95" s="129"/>
      <c r="B95" s="43" t="s">
        <v>152</v>
      </c>
      <c r="C95" s="58" t="s">
        <v>146</v>
      </c>
      <c r="D95" s="289">
        <v>1</v>
      </c>
      <c r="E95" s="69">
        <v>1</v>
      </c>
      <c r="F95" s="115">
        <f t="shared" si="112"/>
        <v>12</v>
      </c>
      <c r="G95" s="244">
        <f>References!B21</f>
        <v>47</v>
      </c>
      <c r="H95" s="68">
        <f t="shared" si="117"/>
        <v>564</v>
      </c>
      <c r="I95" s="47">
        <f t="shared" si="108"/>
        <v>422.70753694924588</v>
      </c>
      <c r="J95" s="67">
        <f>(References!$C$49*I95)</f>
        <v>3.5829259273433722</v>
      </c>
      <c r="K95" s="67">
        <f>J95/References!$G$52</f>
        <v>3.6884145844588967</v>
      </c>
      <c r="L95" s="67">
        <f t="shared" si="118"/>
        <v>0.30736788203824139</v>
      </c>
      <c r="M95" s="245">
        <v>10.782514510000478</v>
      </c>
      <c r="N95" s="287">
        <f t="shared" si="119"/>
        <v>11.089882392038719</v>
      </c>
      <c r="O95" s="277">
        <f t="shared" si="120"/>
        <v>2.8506141285798071E-2</v>
      </c>
      <c r="P95" s="67">
        <f t="shared" si="121"/>
        <v>-5.5511151231257827E-16</v>
      </c>
      <c r="Q95" s="67"/>
      <c r="R95" s="60"/>
      <c r="S95" s="60"/>
    </row>
    <row r="96" spans="1:19">
      <c r="A96" s="129"/>
      <c r="B96" s="43" t="s">
        <v>152</v>
      </c>
      <c r="C96" s="58" t="s">
        <v>147</v>
      </c>
      <c r="D96" s="289">
        <v>1</v>
      </c>
      <c r="E96" s="69">
        <v>1</v>
      </c>
      <c r="F96" s="115">
        <f t="shared" si="112"/>
        <v>12</v>
      </c>
      <c r="G96" s="244">
        <f>References!B22</f>
        <v>68</v>
      </c>
      <c r="H96" s="68">
        <f t="shared" si="117"/>
        <v>816</v>
      </c>
      <c r="I96" s="47">
        <f t="shared" si="108"/>
        <v>611.57686196912175</v>
      </c>
      <c r="J96" s="67">
        <f>(References!$C$49*I96)</f>
        <v>5.1838077246670071</v>
      </c>
      <c r="K96" s="67">
        <f>J96/References!$G$52</f>
        <v>5.3364296115575529</v>
      </c>
      <c r="L96" s="67">
        <f t="shared" si="118"/>
        <v>0.44470246762979609</v>
      </c>
      <c r="M96" s="245">
        <v>14.62427631234112</v>
      </c>
      <c r="N96" s="287">
        <f t="shared" si="119"/>
        <v>15.068978779970916</v>
      </c>
      <c r="O96" s="277">
        <f t="shared" si="120"/>
        <v>3.0408511035484267E-2</v>
      </c>
      <c r="P96" s="67">
        <f t="shared" si="121"/>
        <v>0</v>
      </c>
      <c r="Q96" s="67"/>
      <c r="R96" s="60"/>
      <c r="S96" s="60"/>
    </row>
    <row r="97" spans="1:19">
      <c r="A97" s="127"/>
      <c r="B97" s="43" t="s">
        <v>152</v>
      </c>
      <c r="C97" s="58" t="s">
        <v>139</v>
      </c>
      <c r="D97" s="289">
        <v>1</v>
      </c>
      <c r="E97" s="69">
        <v>1</v>
      </c>
      <c r="F97" s="115">
        <f t="shared" si="111"/>
        <v>12</v>
      </c>
      <c r="G97" s="244">
        <f>References!B27</f>
        <v>175</v>
      </c>
      <c r="H97" s="68">
        <f t="shared" si="109"/>
        <v>2100</v>
      </c>
      <c r="I97" s="47">
        <f t="shared" si="108"/>
        <v>1573.9110418322985</v>
      </c>
      <c r="J97" s="67">
        <f>(References!$C$49*I97)</f>
        <v>13.34068164436362</v>
      </c>
      <c r="K97" s="67">
        <f>J97/References!$G$52</f>
        <v>13.733458559155466</v>
      </c>
      <c r="L97" s="67">
        <f t="shared" si="110"/>
        <v>1.1444548799296221</v>
      </c>
      <c r="M97" s="245">
        <v>33.325744975980484</v>
      </c>
      <c r="N97" s="287">
        <f t="shared" si="81"/>
        <v>34.47019985591011</v>
      </c>
      <c r="O97" s="277">
        <f t="shared" si="120"/>
        <v>3.4341464256972723E-2</v>
      </c>
      <c r="P97" s="67">
        <f t="shared" si="121"/>
        <v>3.5527136788005009E-15</v>
      </c>
      <c r="Q97" s="67"/>
      <c r="R97" s="60"/>
      <c r="S97" s="60"/>
    </row>
    <row r="98" spans="1:19">
      <c r="A98" s="129"/>
      <c r="B98" s="43" t="s">
        <v>152</v>
      </c>
      <c r="C98" s="58" t="s">
        <v>140</v>
      </c>
      <c r="D98" s="289">
        <v>1</v>
      </c>
      <c r="E98" s="69">
        <v>1</v>
      </c>
      <c r="F98" s="115">
        <f t="shared" si="111"/>
        <v>12</v>
      </c>
      <c r="G98" s="244">
        <f>References!B28</f>
        <v>250</v>
      </c>
      <c r="H98" s="68">
        <f t="shared" si="109"/>
        <v>3000</v>
      </c>
      <c r="I98" s="47">
        <f t="shared" si="108"/>
        <v>2248.444345474712</v>
      </c>
      <c r="J98" s="67">
        <f>(References!$C$49*I98)</f>
        <v>19.05811663480517</v>
      </c>
      <c r="K98" s="67">
        <f>J98/References!$G$52</f>
        <v>19.619226513079237</v>
      </c>
      <c r="L98" s="67">
        <f t="shared" si="110"/>
        <v>1.634935542756603</v>
      </c>
      <c r="M98" s="245">
        <v>44.126578240095249</v>
      </c>
      <c r="N98" s="287">
        <f t="shared" si="81"/>
        <v>45.76151378285185</v>
      </c>
      <c r="O98" s="277">
        <f t="shared" si="120"/>
        <v>3.7051038352913401E-2</v>
      </c>
      <c r="P98" s="67">
        <f t="shared" si="121"/>
        <v>-1.9984014443252818E-15</v>
      </c>
      <c r="Q98" s="67"/>
      <c r="R98" s="60"/>
      <c r="S98" s="60"/>
    </row>
    <row r="99" spans="1:19">
      <c r="A99" s="129"/>
      <c r="B99" s="43" t="s">
        <v>152</v>
      </c>
      <c r="C99" s="58" t="s">
        <v>141</v>
      </c>
      <c r="D99" s="289">
        <v>1</v>
      </c>
      <c r="E99" s="69">
        <v>1</v>
      </c>
      <c r="F99" s="115">
        <f t="shared" si="111"/>
        <v>12</v>
      </c>
      <c r="G99" s="244">
        <f>References!B29</f>
        <v>324</v>
      </c>
      <c r="H99" s="68">
        <f t="shared" si="109"/>
        <v>3888</v>
      </c>
      <c r="I99" s="47">
        <f t="shared" si="108"/>
        <v>2913.9838717352268</v>
      </c>
      <c r="J99" s="67">
        <f>(References!$C$49*I99)</f>
        <v>24.6993191587075</v>
      </c>
      <c r="K99" s="67">
        <f>J99/References!$G$52</f>
        <v>25.426517560950689</v>
      </c>
      <c r="L99" s="67">
        <f t="shared" si="110"/>
        <v>2.1188764634125574</v>
      </c>
      <c r="M99" s="245">
        <v>58.257787474423743</v>
      </c>
      <c r="N99" s="287">
        <f t="shared" si="81"/>
        <v>60.376663937836298</v>
      </c>
      <c r="O99" s="277">
        <f t="shared" si="120"/>
        <v>3.6370699184942165E-2</v>
      </c>
      <c r="P99" s="67">
        <f t="shared" si="121"/>
        <v>0</v>
      </c>
      <c r="Q99" s="67"/>
      <c r="R99" s="60"/>
      <c r="S99" s="60"/>
    </row>
    <row r="100" spans="1:19" s="60" customFormat="1">
      <c r="A100" s="216"/>
      <c r="B100" s="106" t="s">
        <v>152</v>
      </c>
      <c r="C100" s="118" t="s">
        <v>115</v>
      </c>
      <c r="D100" s="289">
        <v>1</v>
      </c>
      <c r="E100" s="136">
        <v>1</v>
      </c>
      <c r="F100" s="115">
        <f t="shared" si="111"/>
        <v>12</v>
      </c>
      <c r="G100" s="243">
        <f>References!B30</f>
        <v>473</v>
      </c>
      <c r="H100" s="68">
        <f>G100*F100</f>
        <v>5676</v>
      </c>
      <c r="I100" s="47">
        <f t="shared" si="108"/>
        <v>4254.0567016381556</v>
      </c>
      <c r="J100" s="67">
        <f>(References!$C$49*I100)</f>
        <v>36.057956673051386</v>
      </c>
      <c r="K100" s="67">
        <f>J100/References!$G$52</f>
        <v>37.11957656274592</v>
      </c>
      <c r="L100" s="67">
        <f t="shared" si="110"/>
        <v>3.0932980468954931</v>
      </c>
      <c r="M100" s="246">
        <v>81.716714113861315</v>
      </c>
      <c r="N100" s="287">
        <f>L100+M100</f>
        <v>84.810012160756813</v>
      </c>
      <c r="O100" s="277">
        <f t="shared" si="120"/>
        <v>3.78539210789288E-2</v>
      </c>
      <c r="P100" s="67">
        <f t="shared" si="121"/>
        <v>4.8849813083506888E-15</v>
      </c>
      <c r="Q100" s="67"/>
    </row>
    <row r="101" spans="1:19">
      <c r="A101" s="129"/>
      <c r="B101" s="43" t="s">
        <v>152</v>
      </c>
      <c r="C101" s="79" t="s">
        <v>142</v>
      </c>
      <c r="D101" s="289">
        <v>1</v>
      </c>
      <c r="E101" s="69">
        <v>1</v>
      </c>
      <c r="F101" s="115">
        <f t="shared" si="111"/>
        <v>12</v>
      </c>
      <c r="G101" s="244">
        <f>References!B31</f>
        <v>613</v>
      </c>
      <c r="H101" s="68">
        <f t="shared" si="109"/>
        <v>7356</v>
      </c>
      <c r="I101" s="47">
        <f t="shared" si="108"/>
        <v>5513.185535103994</v>
      </c>
      <c r="J101" s="67">
        <f>(References!$C$49*I101)</f>
        <v>46.730501988542279</v>
      </c>
      <c r="K101" s="67">
        <f>J101/References!$G$52</f>
        <v>48.106343410070288</v>
      </c>
      <c r="L101" s="67">
        <f t="shared" si="110"/>
        <v>4.0088619508391909</v>
      </c>
      <c r="M101" s="245">
        <v>106.39077003183952</v>
      </c>
      <c r="N101" s="287">
        <f t="shared" si="81"/>
        <v>110.39963198267871</v>
      </c>
      <c r="O101" s="277">
        <f t="shared" si="120"/>
        <v>3.7680542679026201E-2</v>
      </c>
      <c r="P101" s="67">
        <f t="shared" si="121"/>
        <v>0</v>
      </c>
      <c r="Q101" s="67"/>
      <c r="R101" s="60"/>
      <c r="S101" s="60"/>
    </row>
    <row r="102" spans="1:19">
      <c r="A102" s="127"/>
      <c r="B102" s="43" t="s">
        <v>153</v>
      </c>
      <c r="C102" s="58" t="s">
        <v>296</v>
      </c>
      <c r="D102" s="289">
        <v>1</v>
      </c>
      <c r="E102" s="69">
        <v>1</v>
      </c>
      <c r="F102" s="115">
        <f t="shared" si="111"/>
        <v>12</v>
      </c>
      <c r="G102" s="244">
        <f>References!B21</f>
        <v>47</v>
      </c>
      <c r="H102" s="68">
        <f t="shared" si="109"/>
        <v>564</v>
      </c>
      <c r="I102" s="47">
        <f t="shared" si="108"/>
        <v>422.70753694924588</v>
      </c>
      <c r="J102" s="67">
        <f>(References!$C$49*I102)</f>
        <v>3.5829259273433722</v>
      </c>
      <c r="K102" s="67">
        <f>J102/References!$G$52</f>
        <v>3.6884145844588967</v>
      </c>
      <c r="L102" s="67">
        <f t="shared" si="110"/>
        <v>0.30736788203824139</v>
      </c>
      <c r="M102" s="245">
        <v>11.132514510000478</v>
      </c>
      <c r="N102" s="287">
        <f t="shared" si="81"/>
        <v>11.439882392038719</v>
      </c>
      <c r="O102" s="277">
        <f t="shared" si="120"/>
        <v>2.7609924223510236E-2</v>
      </c>
      <c r="P102" s="67">
        <f t="shared" si="121"/>
        <v>-5.5511151231257827E-16</v>
      </c>
      <c r="Q102" s="67"/>
      <c r="R102" s="60"/>
      <c r="S102" s="60"/>
    </row>
    <row r="103" spans="1:19">
      <c r="A103" s="127"/>
      <c r="B103" s="43" t="s">
        <v>153</v>
      </c>
      <c r="C103" s="58" t="s">
        <v>295</v>
      </c>
      <c r="D103" s="289">
        <v>1</v>
      </c>
      <c r="E103" s="69">
        <v>1</v>
      </c>
      <c r="F103" s="115">
        <f t="shared" si="111"/>
        <v>12</v>
      </c>
      <c r="G103" s="244">
        <f>References!B22</f>
        <v>68</v>
      </c>
      <c r="H103" s="68">
        <f t="shared" si="109"/>
        <v>816</v>
      </c>
      <c r="I103" s="47">
        <f t="shared" si="108"/>
        <v>611.57686196912175</v>
      </c>
      <c r="J103" s="67">
        <f>(References!$C$49*I103)</f>
        <v>5.1838077246670071</v>
      </c>
      <c r="K103" s="67">
        <f>J103/References!$G$52</f>
        <v>5.3364296115575529</v>
      </c>
      <c r="L103" s="67">
        <f t="shared" si="110"/>
        <v>0.44470246762979609</v>
      </c>
      <c r="M103" s="245">
        <v>14.72427631234112</v>
      </c>
      <c r="N103" s="287">
        <f t="shared" si="81"/>
        <v>15.168978779970915</v>
      </c>
      <c r="O103" s="277">
        <f t="shared" si="120"/>
        <v>3.0201991472889551E-2</v>
      </c>
      <c r="P103" s="67">
        <f t="shared" si="121"/>
        <v>0</v>
      </c>
      <c r="Q103" s="67"/>
      <c r="R103" s="60"/>
      <c r="S103" s="60"/>
    </row>
    <row r="104" spans="1:19">
      <c r="A104" s="127"/>
      <c r="B104" s="43" t="s">
        <v>153</v>
      </c>
      <c r="C104" s="58" t="s">
        <v>121</v>
      </c>
      <c r="D104" s="289">
        <v>1</v>
      </c>
      <c r="E104" s="69">
        <v>1</v>
      </c>
      <c r="F104" s="115">
        <f t="shared" si="111"/>
        <v>12</v>
      </c>
      <c r="G104" s="244">
        <f>References!B26</f>
        <v>29</v>
      </c>
      <c r="H104" s="68">
        <f t="shared" si="109"/>
        <v>348</v>
      </c>
      <c r="I104" s="47">
        <f t="shared" si="108"/>
        <v>260.81954407506663</v>
      </c>
      <c r="J104" s="67">
        <f>(References!$C$49*I104)</f>
        <v>2.2107415296374002</v>
      </c>
      <c r="K104" s="67">
        <f>J104/References!$G$52</f>
        <v>2.2758302755171917</v>
      </c>
      <c r="L104" s="67">
        <f t="shared" si="110"/>
        <v>0.18965252295976598</v>
      </c>
      <c r="M104" s="245">
        <v>8.0644815244921197</v>
      </c>
      <c r="N104" s="287">
        <f t="shared" si="81"/>
        <v>8.2541340474518865</v>
      </c>
      <c r="O104" s="277">
        <f t="shared" si="120"/>
        <v>2.3517013757646348E-2</v>
      </c>
      <c r="P104" s="67">
        <f t="shared" si="121"/>
        <v>7.7715611723760958E-16</v>
      </c>
      <c r="Q104" s="67"/>
      <c r="R104" s="60"/>
      <c r="S104" s="60"/>
    </row>
    <row r="105" spans="1:19">
      <c r="A105" s="127"/>
      <c r="B105" s="43" t="s">
        <v>153</v>
      </c>
      <c r="C105" s="58" t="s">
        <v>122</v>
      </c>
      <c r="D105" s="289">
        <v>1</v>
      </c>
      <c r="E105" s="69">
        <v>1</v>
      </c>
      <c r="F105" s="115">
        <f t="shared" si="111"/>
        <v>12</v>
      </c>
      <c r="G105" s="244">
        <f>References!B21</f>
        <v>47</v>
      </c>
      <c r="H105" s="68">
        <f t="shared" si="109"/>
        <v>564</v>
      </c>
      <c r="I105" s="47">
        <f t="shared" si="108"/>
        <v>422.70753694924588</v>
      </c>
      <c r="J105" s="67">
        <f>(References!$C$49*I105)</f>
        <v>3.5829259273433722</v>
      </c>
      <c r="K105" s="67">
        <f>J105/References!$G$52</f>
        <v>3.6884145844588967</v>
      </c>
      <c r="L105" s="67">
        <f t="shared" si="110"/>
        <v>0.30736788203824139</v>
      </c>
      <c r="M105" s="245">
        <v>11.927460570957212</v>
      </c>
      <c r="N105" s="287">
        <f t="shared" si="81"/>
        <v>12.234828452995453</v>
      </c>
      <c r="O105" s="277">
        <f t="shared" si="120"/>
        <v>2.5769767186375553E-2</v>
      </c>
      <c r="P105" s="67">
        <f t="shared" si="121"/>
        <v>-5.5511151231257827E-16</v>
      </c>
      <c r="Q105" s="67"/>
      <c r="R105" s="60"/>
      <c r="S105" s="60"/>
    </row>
    <row r="106" spans="1:19">
      <c r="A106" s="129"/>
      <c r="B106" s="43" t="s">
        <v>153</v>
      </c>
      <c r="C106" s="58" t="s">
        <v>123</v>
      </c>
      <c r="D106" s="289">
        <v>1</v>
      </c>
      <c r="E106" s="69">
        <v>1</v>
      </c>
      <c r="F106" s="115">
        <f t="shared" si="111"/>
        <v>12</v>
      </c>
      <c r="G106" s="244">
        <f>References!B22</f>
        <v>68</v>
      </c>
      <c r="H106" s="68">
        <f t="shared" si="109"/>
        <v>816</v>
      </c>
      <c r="I106" s="47">
        <f t="shared" si="108"/>
        <v>611.57686196912175</v>
      </c>
      <c r="J106" s="67">
        <f>(References!$C$49*I106)</f>
        <v>5.1838077246670071</v>
      </c>
      <c r="K106" s="67">
        <f>J106/References!$G$52</f>
        <v>5.3364296115575529</v>
      </c>
      <c r="L106" s="67">
        <f t="shared" si="110"/>
        <v>0.44470246762979609</v>
      </c>
      <c r="M106" s="245">
        <v>16.327757404968775</v>
      </c>
      <c r="N106" s="287">
        <f t="shared" si="81"/>
        <v>16.772459872598571</v>
      </c>
      <c r="O106" s="277">
        <f t="shared" si="120"/>
        <v>2.7235979602101796E-2</v>
      </c>
      <c r="P106" s="67">
        <f t="shared" si="121"/>
        <v>0</v>
      </c>
      <c r="Q106" s="67"/>
      <c r="R106" s="60"/>
      <c r="S106" s="60"/>
    </row>
    <row r="107" spans="1:19">
      <c r="A107" s="129"/>
      <c r="B107" s="43" t="s">
        <v>154</v>
      </c>
      <c r="C107" s="58" t="s">
        <v>132</v>
      </c>
      <c r="D107" s="289">
        <v>1</v>
      </c>
      <c r="E107" s="69">
        <v>1</v>
      </c>
      <c r="F107" s="115">
        <f t="shared" si="111"/>
        <v>12</v>
      </c>
      <c r="G107" s="244">
        <f>References!B37</f>
        <v>1301</v>
      </c>
      <c r="H107" s="68">
        <f t="shared" si="109"/>
        <v>15612</v>
      </c>
      <c r="I107" s="47">
        <f t="shared" si="108"/>
        <v>11700.904373850402</v>
      </c>
      <c r="J107" s="67">
        <f>(References!$C$49*I107)</f>
        <v>99.17843896752612</v>
      </c>
      <c r="K107" s="67">
        <f>J107/References!$G$52</f>
        <v>102.09845477406435</v>
      </c>
      <c r="L107" s="67">
        <f t="shared" si="110"/>
        <v>8.5082045645053626</v>
      </c>
      <c r="M107" s="245">
        <v>325.28152627047291</v>
      </c>
      <c r="N107" s="287">
        <f t="shared" si="81"/>
        <v>333.78973083497829</v>
      </c>
      <c r="O107" s="277">
        <f t="shared" si="120"/>
        <v>2.6156433358071357E-2</v>
      </c>
      <c r="P107" s="67">
        <f t="shared" si="121"/>
        <v>1.4210854715202004E-14</v>
      </c>
      <c r="Q107" s="67"/>
      <c r="R107" s="60"/>
      <c r="S107" s="60"/>
    </row>
    <row r="108" spans="1:19">
      <c r="A108" s="129"/>
      <c r="B108" s="43" t="s">
        <v>154</v>
      </c>
      <c r="C108" s="58" t="s">
        <v>133</v>
      </c>
      <c r="D108" s="289">
        <v>1</v>
      </c>
      <c r="E108" s="69">
        <v>1</v>
      </c>
      <c r="F108" s="115">
        <f t="shared" si="111"/>
        <v>12</v>
      </c>
      <c r="G108" s="244">
        <f>References!B38</f>
        <v>1686</v>
      </c>
      <c r="H108" s="68">
        <f t="shared" si="109"/>
        <v>20232</v>
      </c>
      <c r="I108" s="47">
        <f t="shared" si="108"/>
        <v>15163.508665881458</v>
      </c>
      <c r="J108" s="67">
        <f>(References!$C$49*I108)</f>
        <v>128.52793858512607</v>
      </c>
      <c r="K108" s="67">
        <f>J108/References!$G$52</f>
        <v>132.31206360420637</v>
      </c>
      <c r="L108" s="67">
        <f t="shared" si="110"/>
        <v>11.026005300350532</v>
      </c>
      <c r="M108" s="245">
        <v>401.03963811924683</v>
      </c>
      <c r="N108" s="287">
        <f t="shared" si="81"/>
        <v>412.06564341959734</v>
      </c>
      <c r="O108" s="277">
        <f t="shared" si="120"/>
        <v>2.7493554881654895E-2</v>
      </c>
      <c r="P108" s="67">
        <f t="shared" si="121"/>
        <v>-2.6645352591003757E-14</v>
      </c>
      <c r="Q108" s="67"/>
      <c r="R108" s="60"/>
      <c r="S108" s="60"/>
    </row>
    <row r="109" spans="1:19">
      <c r="A109" s="129"/>
      <c r="B109" s="43" t="s">
        <v>154</v>
      </c>
      <c r="C109" s="58" t="s">
        <v>134</v>
      </c>
      <c r="D109" s="289">
        <v>1</v>
      </c>
      <c r="E109" s="69">
        <v>1</v>
      </c>
      <c r="F109" s="115">
        <f t="shared" si="111"/>
        <v>12</v>
      </c>
      <c r="G109" s="244">
        <f>References!B39</f>
        <v>2046</v>
      </c>
      <c r="H109" s="68">
        <f t="shared" si="109"/>
        <v>24552</v>
      </c>
      <c r="I109" s="47">
        <f t="shared" si="108"/>
        <v>18401.268523365045</v>
      </c>
      <c r="J109" s="67">
        <f>(References!$C$49*I109)</f>
        <v>155.97162653924553</v>
      </c>
      <c r="K109" s="67">
        <f>J109/References!$G$52</f>
        <v>160.56374978304049</v>
      </c>
      <c r="L109" s="67">
        <f t="shared" si="110"/>
        <v>13.380312481920042</v>
      </c>
      <c r="M109" s="245">
        <v>456.4407793171261</v>
      </c>
      <c r="N109" s="287">
        <f t="shared" si="81"/>
        <v>469.82109179904614</v>
      </c>
      <c r="O109" s="277">
        <f t="shared" si="120"/>
        <v>2.9314454554078447E-2</v>
      </c>
      <c r="P109" s="67">
        <f t="shared" si="121"/>
        <v>0</v>
      </c>
      <c r="Q109" s="67"/>
      <c r="R109" s="60"/>
      <c r="S109" s="60"/>
    </row>
    <row r="110" spans="1:19" s="60" customFormat="1">
      <c r="A110" s="127"/>
      <c r="B110" s="43" t="s">
        <v>154</v>
      </c>
      <c r="C110" s="58" t="s">
        <v>130</v>
      </c>
      <c r="D110" s="289">
        <v>1</v>
      </c>
      <c r="E110" s="69">
        <v>1</v>
      </c>
      <c r="F110" s="115">
        <f t="shared" ref="F110:F116" si="122">D110*E110*12</f>
        <v>12</v>
      </c>
      <c r="G110" s="244">
        <f>References!B40</f>
        <v>2310</v>
      </c>
      <c r="H110" s="68">
        <f t="shared" ref="H110:H116" si="123">G110*F110</f>
        <v>27720</v>
      </c>
      <c r="I110" s="47">
        <f t="shared" si="108"/>
        <v>20775.625752186341</v>
      </c>
      <c r="J110" s="67">
        <f>(References!$C$49*I110)</f>
        <v>176.09699770559979</v>
      </c>
      <c r="K110" s="67">
        <f>J110/References!$G$52</f>
        <v>181.28165298085216</v>
      </c>
      <c r="L110" s="67">
        <f t="shared" ref="L110:L116" si="124">K110/F110*E110</f>
        <v>15.106804415071013</v>
      </c>
      <c r="M110" s="245">
        <v>537.75805365794952</v>
      </c>
      <c r="N110" s="287">
        <f t="shared" si="81"/>
        <v>552.86485807302051</v>
      </c>
      <c r="O110" s="277">
        <f t="shared" si="120"/>
        <v>2.8092195574405961E-2</v>
      </c>
      <c r="P110" s="67">
        <f t="shared" si="121"/>
        <v>-1.5987211554602254E-14</v>
      </c>
      <c r="Q110" s="67"/>
    </row>
    <row r="111" spans="1:19">
      <c r="A111" s="127"/>
      <c r="B111" s="43" t="s">
        <v>155</v>
      </c>
      <c r="C111" s="58" t="s">
        <v>275</v>
      </c>
      <c r="D111" s="289">
        <v>1</v>
      </c>
      <c r="E111" s="69">
        <v>1</v>
      </c>
      <c r="F111" s="115">
        <f t="shared" si="122"/>
        <v>12</v>
      </c>
      <c r="G111" s="244">
        <f>References!B34</f>
        <v>482</v>
      </c>
      <c r="H111" s="68">
        <f t="shared" si="123"/>
        <v>5784</v>
      </c>
      <c r="I111" s="47">
        <f t="shared" ref="I111:I125" si="125">$D$139*H111</f>
        <v>4335.0006980752451</v>
      </c>
      <c r="J111" s="67">
        <f>(References!$C$49*I111)</f>
        <v>36.744048871904369</v>
      </c>
      <c r="K111" s="67">
        <f>J111/References!$G$52</f>
        <v>37.825868717216764</v>
      </c>
      <c r="L111" s="67">
        <f t="shared" si="124"/>
        <v>3.1521557264347302</v>
      </c>
      <c r="M111" s="245">
        <v>185.71021967739577</v>
      </c>
      <c r="N111" s="287">
        <f t="shared" si="81"/>
        <v>188.8623754038305</v>
      </c>
      <c r="O111" s="277">
        <f t="shared" si="120"/>
        <v>1.6973517838223758E-2</v>
      </c>
      <c r="P111" s="67">
        <f t="shared" si="121"/>
        <v>0</v>
      </c>
      <c r="Q111" s="67"/>
      <c r="R111" s="60"/>
      <c r="S111" s="60"/>
    </row>
    <row r="112" spans="1:19">
      <c r="A112" s="127"/>
      <c r="B112" s="43" t="s">
        <v>155</v>
      </c>
      <c r="C112" s="58" t="s">
        <v>276</v>
      </c>
      <c r="D112" s="289">
        <v>1</v>
      </c>
      <c r="E112" s="69">
        <v>1</v>
      </c>
      <c r="F112" s="115">
        <f t="shared" si="122"/>
        <v>12</v>
      </c>
      <c r="G112" s="244">
        <f>References!B36</f>
        <v>892</v>
      </c>
      <c r="H112" s="68">
        <f t="shared" si="123"/>
        <v>10704</v>
      </c>
      <c r="I112" s="47">
        <f t="shared" si="125"/>
        <v>8022.4494246537733</v>
      </c>
      <c r="J112" s="67">
        <f>(References!$C$49*I112)</f>
        <v>67.999360152984849</v>
      </c>
      <c r="K112" s="67">
        <f>J112/References!$G$52</f>
        <v>70.001400198666715</v>
      </c>
      <c r="L112" s="67">
        <f t="shared" si="124"/>
        <v>5.8334500165555596</v>
      </c>
      <c r="M112" s="245">
        <v>293.23111835010081</v>
      </c>
      <c r="N112" s="287">
        <f t="shared" si="81"/>
        <v>299.06456836665637</v>
      </c>
      <c r="O112" s="277">
        <f t="shared" si="120"/>
        <v>1.9893693579924765E-2</v>
      </c>
      <c r="P112" s="67">
        <f t="shared" si="121"/>
        <v>0</v>
      </c>
      <c r="Q112" s="67"/>
      <c r="R112" s="60"/>
      <c r="S112" s="60"/>
    </row>
    <row r="113" spans="1:19">
      <c r="A113" s="127"/>
      <c r="B113" s="43" t="s">
        <v>155</v>
      </c>
      <c r="C113" s="58" t="s">
        <v>277</v>
      </c>
      <c r="D113" s="289">
        <v>1</v>
      </c>
      <c r="E113" s="69">
        <v>1</v>
      </c>
      <c r="F113" s="115">
        <f t="shared" si="122"/>
        <v>12</v>
      </c>
      <c r="G113" s="244">
        <f>References!B37</f>
        <v>1301</v>
      </c>
      <c r="H113" s="68">
        <f t="shared" si="123"/>
        <v>15612</v>
      </c>
      <c r="I113" s="47">
        <f t="shared" si="125"/>
        <v>11700.904373850402</v>
      </c>
      <c r="J113" s="67">
        <f>(References!$C$49*I113)</f>
        <v>99.17843896752612</v>
      </c>
      <c r="K113" s="67">
        <f>J113/References!$G$52</f>
        <v>102.09845477406435</v>
      </c>
      <c r="L113" s="67">
        <f t="shared" si="124"/>
        <v>8.5082045645053626</v>
      </c>
      <c r="M113" s="245">
        <v>377.02472081804763</v>
      </c>
      <c r="N113" s="287">
        <f t="shared" si="81"/>
        <v>385.532925382553</v>
      </c>
      <c r="O113" s="277">
        <f t="shared" si="120"/>
        <v>2.2566702114505184E-2</v>
      </c>
      <c r="P113" s="67">
        <f t="shared" si="121"/>
        <v>1.4210854715202004E-14</v>
      </c>
      <c r="Q113" s="67"/>
      <c r="R113" s="60"/>
      <c r="S113" s="60"/>
    </row>
    <row r="114" spans="1:19">
      <c r="A114" s="127"/>
      <c r="B114" s="43" t="s">
        <v>155</v>
      </c>
      <c r="C114" s="58" t="s">
        <v>278</v>
      </c>
      <c r="D114" s="289">
        <v>1</v>
      </c>
      <c r="E114" s="69">
        <v>1</v>
      </c>
      <c r="F114" s="115">
        <f t="shared" si="122"/>
        <v>12</v>
      </c>
      <c r="G114" s="244">
        <f>References!B38</f>
        <v>1686</v>
      </c>
      <c r="H114" s="68">
        <f t="shared" si="123"/>
        <v>20232</v>
      </c>
      <c r="I114" s="47">
        <f t="shared" si="125"/>
        <v>15163.508665881458</v>
      </c>
      <c r="J114" s="67">
        <f>(References!$C$49*I114)</f>
        <v>128.52793858512607</v>
      </c>
      <c r="K114" s="67">
        <f>J114/References!$G$52</f>
        <v>132.31206360420637</v>
      </c>
      <c r="L114" s="67">
        <f t="shared" si="124"/>
        <v>11.026005300350532</v>
      </c>
      <c r="M114" s="245">
        <v>472.96235358834781</v>
      </c>
      <c r="N114" s="287">
        <f t="shared" si="81"/>
        <v>483.98835888869831</v>
      </c>
      <c r="O114" s="277">
        <f t="shared" si="120"/>
        <v>2.331264891739615E-2</v>
      </c>
      <c r="P114" s="67">
        <f t="shared" si="121"/>
        <v>-2.6645352591003757E-14</v>
      </c>
      <c r="Q114" s="67"/>
      <c r="R114" s="60"/>
      <c r="S114" s="60"/>
    </row>
    <row r="115" spans="1:19">
      <c r="A115" s="127"/>
      <c r="B115" s="43" t="s">
        <v>155</v>
      </c>
      <c r="C115" s="58" t="s">
        <v>279</v>
      </c>
      <c r="D115" s="289">
        <v>1</v>
      </c>
      <c r="E115" s="69">
        <v>1</v>
      </c>
      <c r="F115" s="115">
        <f t="shared" si="122"/>
        <v>12</v>
      </c>
      <c r="G115" s="244">
        <f>References!B39</f>
        <v>2046</v>
      </c>
      <c r="H115" s="68">
        <f t="shared" si="123"/>
        <v>24552</v>
      </c>
      <c r="I115" s="47">
        <f t="shared" si="125"/>
        <v>18401.268523365045</v>
      </c>
      <c r="J115" s="67">
        <f>(References!$C$49*I115)</f>
        <v>155.97162653924553</v>
      </c>
      <c r="K115" s="67">
        <f>J115/References!$G$52</f>
        <v>160.56374978304049</v>
      </c>
      <c r="L115" s="67">
        <f t="shared" si="124"/>
        <v>13.380312481920042</v>
      </c>
      <c r="M115" s="245">
        <v>536.33565119966954</v>
      </c>
      <c r="N115" s="287">
        <f t="shared" si="81"/>
        <v>549.71596368158953</v>
      </c>
      <c r="O115" s="277">
        <f t="shared" si="120"/>
        <v>2.4947646966952709E-2</v>
      </c>
      <c r="P115" s="67">
        <f t="shared" si="121"/>
        <v>-5.5067062021407764E-14</v>
      </c>
      <c r="Q115" s="67"/>
      <c r="R115" s="60"/>
      <c r="S115" s="60"/>
    </row>
    <row r="116" spans="1:19">
      <c r="B116" s="43" t="s">
        <v>155</v>
      </c>
      <c r="C116" s="58" t="s">
        <v>280</v>
      </c>
      <c r="D116" s="289">
        <v>1</v>
      </c>
      <c r="E116" s="136">
        <v>1</v>
      </c>
      <c r="F116" s="115">
        <f t="shared" si="122"/>
        <v>12</v>
      </c>
      <c r="G116" s="244">
        <f>References!B40</f>
        <v>2310</v>
      </c>
      <c r="H116" s="68">
        <f t="shared" si="123"/>
        <v>27720</v>
      </c>
      <c r="I116" s="47">
        <f t="shared" si="125"/>
        <v>20775.625752186341</v>
      </c>
      <c r="J116" s="67">
        <f>(References!$C$49*I116)</f>
        <v>176.09699770559979</v>
      </c>
      <c r="K116" s="67">
        <f>J116/References!$G$52</f>
        <v>181.28165298085216</v>
      </c>
      <c r="L116" s="67">
        <f t="shared" si="124"/>
        <v>15.106804415071013</v>
      </c>
      <c r="M116" s="245">
        <v>612.74614992189322</v>
      </c>
      <c r="N116" s="287">
        <f t="shared" si="81"/>
        <v>627.85295433696422</v>
      </c>
      <c r="O116" s="277">
        <f t="shared" si="120"/>
        <v>2.4654262482100748E-2</v>
      </c>
      <c r="P116" s="67">
        <f t="shared" si="121"/>
        <v>-1.5987211554602254E-14</v>
      </c>
      <c r="Q116" s="67"/>
      <c r="R116" s="60"/>
      <c r="S116" s="60"/>
    </row>
    <row r="117" spans="1:19">
      <c r="B117" s="43" t="s">
        <v>150</v>
      </c>
      <c r="C117" s="58" t="s">
        <v>128</v>
      </c>
      <c r="D117" s="289">
        <v>1</v>
      </c>
      <c r="E117" s="136">
        <v>1</v>
      </c>
      <c r="F117" s="115">
        <f t="shared" ref="F117:F122" si="126">D117*E117*12</f>
        <v>12</v>
      </c>
      <c r="G117" s="244">
        <f>G81</f>
        <v>1301</v>
      </c>
      <c r="H117" s="68">
        <f t="shared" ref="H117:H122" si="127">G117*F117</f>
        <v>15612</v>
      </c>
      <c r="I117" s="47">
        <f t="shared" si="125"/>
        <v>11700.904373850402</v>
      </c>
      <c r="J117" s="67">
        <f>(References!$C$49*I117)</f>
        <v>99.17843896752612</v>
      </c>
      <c r="K117" s="67">
        <f>J117/References!$G$52</f>
        <v>102.09845477406435</v>
      </c>
      <c r="L117" s="67">
        <f t="shared" ref="L117:L122" si="128">K117/F117*E117</f>
        <v>8.5082045645053626</v>
      </c>
      <c r="M117" s="245">
        <v>428.50795374344472</v>
      </c>
      <c r="N117" s="287">
        <f t="shared" ref="N117:N122" si="129">L117+M117</f>
        <v>437.01615830795009</v>
      </c>
      <c r="O117" s="277">
        <f t="shared" si="120"/>
        <v>1.9855418062086603E-2</v>
      </c>
      <c r="P117" s="67">
        <f t="shared" si="121"/>
        <v>1.4210854715202004E-14</v>
      </c>
      <c r="Q117" s="67"/>
      <c r="R117" s="60"/>
      <c r="S117" s="60"/>
    </row>
    <row r="118" spans="1:19">
      <c r="B118" s="43" t="s">
        <v>150</v>
      </c>
      <c r="C118" s="58" t="s">
        <v>129</v>
      </c>
      <c r="D118" s="289">
        <v>1</v>
      </c>
      <c r="E118" s="136">
        <v>1</v>
      </c>
      <c r="F118" s="115">
        <f t="shared" si="126"/>
        <v>12</v>
      </c>
      <c r="G118" s="244">
        <f>G82</f>
        <v>1686</v>
      </c>
      <c r="H118" s="68">
        <f t="shared" si="127"/>
        <v>20232</v>
      </c>
      <c r="I118" s="47">
        <f t="shared" si="125"/>
        <v>15163.508665881458</v>
      </c>
      <c r="J118" s="67">
        <f>(References!$C$49*I118)</f>
        <v>128.52793858512607</v>
      </c>
      <c r="K118" s="67">
        <f>J118/References!$G$52</f>
        <v>132.31206360420637</v>
      </c>
      <c r="L118" s="67">
        <f t="shared" si="128"/>
        <v>11.026005300350532</v>
      </c>
      <c r="M118" s="245">
        <v>542.95702035963257</v>
      </c>
      <c r="N118" s="287">
        <f t="shared" si="129"/>
        <v>553.98302565998313</v>
      </c>
      <c r="O118" s="277">
        <f t="shared" si="120"/>
        <v>2.0307326154558894E-2</v>
      </c>
      <c r="P118" s="67">
        <f t="shared" si="121"/>
        <v>3.0198066269804258E-14</v>
      </c>
      <c r="Q118" s="67"/>
      <c r="R118" s="60"/>
      <c r="S118" s="60"/>
    </row>
    <row r="119" spans="1:19">
      <c r="B119" s="43" t="s">
        <v>150</v>
      </c>
      <c r="C119" s="58" t="s">
        <v>165</v>
      </c>
      <c r="D119" s="289">
        <v>1</v>
      </c>
      <c r="E119" s="136">
        <v>1</v>
      </c>
      <c r="F119" s="115">
        <f t="shared" si="126"/>
        <v>12</v>
      </c>
      <c r="G119" s="244">
        <f>G83</f>
        <v>2046</v>
      </c>
      <c r="H119" s="68">
        <f t="shared" si="127"/>
        <v>24552</v>
      </c>
      <c r="I119" s="47">
        <f t="shared" si="125"/>
        <v>18401.268523365045</v>
      </c>
      <c r="J119" s="67">
        <f>(References!$C$49*I119)</f>
        <v>155.97162653924553</v>
      </c>
      <c r="K119" s="67">
        <f>J119/References!$G$52</f>
        <v>160.56374978304049</v>
      </c>
      <c r="L119" s="67">
        <f t="shared" si="128"/>
        <v>13.380312481920042</v>
      </c>
      <c r="M119" s="245">
        <v>623.8235687966469</v>
      </c>
      <c r="N119" s="287">
        <f t="shared" si="129"/>
        <v>637.20388127856688</v>
      </c>
      <c r="O119" s="277">
        <f t="shared" si="120"/>
        <v>2.1448872968571241E-2</v>
      </c>
      <c r="P119" s="67">
        <f t="shared" si="121"/>
        <v>-5.5067062021407764E-14</v>
      </c>
      <c r="Q119" s="67"/>
      <c r="R119" s="60"/>
      <c r="S119" s="60"/>
    </row>
    <row r="120" spans="1:19">
      <c r="B120" s="43" t="s">
        <v>150</v>
      </c>
      <c r="C120" s="58" t="s">
        <v>166</v>
      </c>
      <c r="D120" s="289">
        <v>1</v>
      </c>
      <c r="E120" s="136">
        <v>1</v>
      </c>
      <c r="F120" s="115">
        <f t="shared" si="126"/>
        <v>12</v>
      </c>
      <c r="G120" s="244">
        <f>G84</f>
        <v>2310</v>
      </c>
      <c r="H120" s="68">
        <f t="shared" si="127"/>
        <v>27720</v>
      </c>
      <c r="I120" s="47">
        <f t="shared" si="125"/>
        <v>20775.625752186341</v>
      </c>
      <c r="J120" s="67">
        <f>(References!$C$49*I120)</f>
        <v>176.09699770559979</v>
      </c>
      <c r="K120" s="67">
        <f>J120/References!$G$52</f>
        <v>181.28165298085216</v>
      </c>
      <c r="L120" s="67">
        <f t="shared" si="128"/>
        <v>15.106804415071013</v>
      </c>
      <c r="M120" s="245">
        <v>717.71648661030554</v>
      </c>
      <c r="N120" s="287">
        <f t="shared" si="129"/>
        <v>732.82329102537653</v>
      </c>
      <c r="O120" s="277">
        <f t="shared" si="120"/>
        <v>2.1048428866973303E-2</v>
      </c>
      <c r="P120" s="67">
        <f t="shared" si="121"/>
        <v>-1.5987211554602254E-14</v>
      </c>
      <c r="Q120" s="67"/>
      <c r="R120" s="60"/>
      <c r="S120" s="60"/>
    </row>
    <row r="121" spans="1:19">
      <c r="A121" s="127"/>
      <c r="B121" s="43" t="s">
        <v>152</v>
      </c>
      <c r="C121" s="58" t="s">
        <v>167</v>
      </c>
      <c r="D121" s="289">
        <v>1</v>
      </c>
      <c r="E121" s="136">
        <v>1</v>
      </c>
      <c r="F121" s="115">
        <f t="shared" si="126"/>
        <v>12</v>
      </c>
      <c r="G121" s="244">
        <f>+References!B27</f>
        <v>175</v>
      </c>
      <c r="H121" s="68">
        <f t="shared" si="127"/>
        <v>2100</v>
      </c>
      <c r="I121" s="47">
        <f t="shared" si="125"/>
        <v>1573.9110418322985</v>
      </c>
      <c r="J121" s="67">
        <f>(References!$C$49*I121)</f>
        <v>13.34068164436362</v>
      </c>
      <c r="K121" s="67">
        <f>J121/References!$G$52</f>
        <v>13.733458559155466</v>
      </c>
      <c r="L121" s="67">
        <f t="shared" si="128"/>
        <v>1.1444548799296221</v>
      </c>
      <c r="M121" s="245">
        <v>33.325744975980484</v>
      </c>
      <c r="N121" s="287">
        <f t="shared" si="129"/>
        <v>34.47019985591011</v>
      </c>
      <c r="O121" s="277">
        <f t="shared" si="120"/>
        <v>3.4341464256972723E-2</v>
      </c>
      <c r="P121" s="67">
        <f t="shared" si="121"/>
        <v>3.5527136788005009E-15</v>
      </c>
      <c r="Q121" s="67"/>
      <c r="R121" s="60"/>
      <c r="S121" s="60"/>
    </row>
    <row r="122" spans="1:19">
      <c r="A122" s="129"/>
      <c r="B122" s="43" t="s">
        <v>152</v>
      </c>
      <c r="C122" s="58" t="s">
        <v>168</v>
      </c>
      <c r="D122" s="289">
        <v>1</v>
      </c>
      <c r="E122" s="136">
        <v>1</v>
      </c>
      <c r="F122" s="115">
        <f t="shared" si="126"/>
        <v>12</v>
      </c>
      <c r="G122" s="244">
        <f>+References!B28</f>
        <v>250</v>
      </c>
      <c r="H122" s="68">
        <f t="shared" si="127"/>
        <v>3000</v>
      </c>
      <c r="I122" s="47">
        <f t="shared" si="125"/>
        <v>2248.444345474712</v>
      </c>
      <c r="J122" s="67">
        <f>(References!$C$49*I122)</f>
        <v>19.05811663480517</v>
      </c>
      <c r="K122" s="67">
        <f>J122/References!$G$52</f>
        <v>19.619226513079237</v>
      </c>
      <c r="L122" s="67">
        <f t="shared" si="128"/>
        <v>1.634935542756603</v>
      </c>
      <c r="M122" s="245">
        <v>44.126578240095249</v>
      </c>
      <c r="N122" s="287">
        <f t="shared" si="129"/>
        <v>45.76151378285185</v>
      </c>
      <c r="O122" s="277">
        <f t="shared" si="120"/>
        <v>3.7051038352913401E-2</v>
      </c>
      <c r="P122" s="67">
        <f t="shared" si="121"/>
        <v>-1.9984014443252818E-15</v>
      </c>
      <c r="Q122" s="67"/>
      <c r="R122" s="60"/>
      <c r="S122" s="60"/>
    </row>
    <row r="123" spans="1:19">
      <c r="A123" s="127"/>
      <c r="B123" s="43" t="s">
        <v>152</v>
      </c>
      <c r="C123" s="58" t="s">
        <v>171</v>
      </c>
      <c r="D123" s="289">
        <v>1</v>
      </c>
      <c r="E123" s="136">
        <v>1</v>
      </c>
      <c r="F123" s="115">
        <f t="shared" ref="F123:F129" si="130">D123*E123*12</f>
        <v>12</v>
      </c>
      <c r="G123" s="244">
        <f>+References!B30</f>
        <v>473</v>
      </c>
      <c r="H123" s="68">
        <f t="shared" ref="H123:H129" si="131">G123*F123</f>
        <v>5676</v>
      </c>
      <c r="I123" s="47">
        <f t="shared" si="125"/>
        <v>4254.0567016381556</v>
      </c>
      <c r="J123" s="67">
        <f>(References!$C$49*I123)</f>
        <v>36.057956673051386</v>
      </c>
      <c r="K123" s="67">
        <f>J123/References!$G$52</f>
        <v>37.11957656274592</v>
      </c>
      <c r="L123" s="67">
        <f t="shared" ref="L123:L129" si="132">K123/F123*E123</f>
        <v>3.0932980468954931</v>
      </c>
      <c r="M123" s="245">
        <v>81.716714113861315</v>
      </c>
      <c r="N123" s="287">
        <f t="shared" ref="N123:N129" si="133">L123+M123</f>
        <v>84.810012160756813</v>
      </c>
      <c r="O123" s="277">
        <f t="shared" si="120"/>
        <v>3.78539210789288E-2</v>
      </c>
      <c r="P123" s="67">
        <f t="shared" si="121"/>
        <v>4.8849813083506888E-15</v>
      </c>
      <c r="Q123" s="67"/>
      <c r="R123" s="60"/>
      <c r="S123" s="60"/>
    </row>
    <row r="124" spans="1:19">
      <c r="A124" s="129"/>
      <c r="B124" s="43" t="s">
        <v>152</v>
      </c>
      <c r="C124" s="58" t="s">
        <v>170</v>
      </c>
      <c r="D124" s="289">
        <v>1</v>
      </c>
      <c r="E124" s="136">
        <v>1</v>
      </c>
      <c r="F124" s="115">
        <f t="shared" si="130"/>
        <v>12</v>
      </c>
      <c r="G124" s="244">
        <f>+References!B31</f>
        <v>613</v>
      </c>
      <c r="H124" s="68">
        <f t="shared" si="131"/>
        <v>7356</v>
      </c>
      <c r="I124" s="47">
        <f t="shared" si="125"/>
        <v>5513.185535103994</v>
      </c>
      <c r="J124" s="67">
        <f>(References!$C$49*I124)</f>
        <v>46.730501988542279</v>
      </c>
      <c r="K124" s="67">
        <f>J124/References!$G$52</f>
        <v>48.106343410070288</v>
      </c>
      <c r="L124" s="67">
        <f t="shared" si="132"/>
        <v>4.0088619508391909</v>
      </c>
      <c r="M124" s="245">
        <v>106.39077003183952</v>
      </c>
      <c r="N124" s="287">
        <f t="shared" si="133"/>
        <v>110.39963198267871</v>
      </c>
      <c r="O124" s="277">
        <f t="shared" si="120"/>
        <v>3.7680542679026201E-2</v>
      </c>
      <c r="P124" s="67">
        <f t="shared" si="121"/>
        <v>0</v>
      </c>
      <c r="Q124" s="67"/>
      <c r="R124" s="60"/>
      <c r="S124" s="60"/>
    </row>
    <row r="125" spans="1:19">
      <c r="A125" s="63"/>
      <c r="B125" s="43" t="s">
        <v>152</v>
      </c>
      <c r="C125" s="58" t="s">
        <v>172</v>
      </c>
      <c r="D125" s="289">
        <v>1</v>
      </c>
      <c r="E125" s="136">
        <v>1</v>
      </c>
      <c r="F125" s="115">
        <f t="shared" si="130"/>
        <v>12</v>
      </c>
      <c r="G125" s="244">
        <f>+References!B32</f>
        <v>840</v>
      </c>
      <c r="H125" s="68">
        <f t="shared" si="131"/>
        <v>10080</v>
      </c>
      <c r="I125" s="47">
        <f t="shared" si="125"/>
        <v>7554.7730007950331</v>
      </c>
      <c r="J125" s="67">
        <f>(References!$C$49*I125)</f>
        <v>64.035271892945374</v>
      </c>
      <c r="K125" s="67">
        <f>J125/References!$G$52</f>
        <v>65.920601083946238</v>
      </c>
      <c r="L125" s="67">
        <f t="shared" si="132"/>
        <v>5.4933834236621868</v>
      </c>
      <c r="M125" s="245">
        <v>153.51436130785351</v>
      </c>
      <c r="N125" s="287">
        <f t="shared" si="133"/>
        <v>159.00774473151569</v>
      </c>
      <c r="O125" s="277">
        <f t="shared" si="120"/>
        <v>3.5784166229541912E-2</v>
      </c>
      <c r="P125" s="67">
        <f t="shared" si="121"/>
        <v>0</v>
      </c>
      <c r="Q125" s="67"/>
      <c r="R125" s="60"/>
      <c r="S125" s="60"/>
    </row>
    <row r="126" spans="1:19">
      <c r="A126" s="129"/>
      <c r="B126" s="43" t="s">
        <v>154</v>
      </c>
      <c r="C126" s="58" t="s">
        <v>128</v>
      </c>
      <c r="D126" s="289">
        <v>1</v>
      </c>
      <c r="E126" s="136">
        <v>1</v>
      </c>
      <c r="F126" s="115">
        <f t="shared" si="130"/>
        <v>12</v>
      </c>
      <c r="G126" s="244">
        <f>+G107</f>
        <v>1301</v>
      </c>
      <c r="H126" s="68">
        <f t="shared" si="131"/>
        <v>15612</v>
      </c>
      <c r="I126" s="47">
        <f t="shared" ref="I126:I129" si="134">$D$139*H126</f>
        <v>11700.904373850402</v>
      </c>
      <c r="J126" s="67">
        <f>(References!$C$49*I126)</f>
        <v>99.17843896752612</v>
      </c>
      <c r="K126" s="67">
        <f>J126/References!$G$52</f>
        <v>102.09845477406435</v>
      </c>
      <c r="L126" s="67">
        <f t="shared" si="132"/>
        <v>8.5082045645053626</v>
      </c>
      <c r="M126" s="245">
        <v>377.02472081804763</v>
      </c>
      <c r="N126" s="287">
        <f t="shared" si="133"/>
        <v>385.532925382553</v>
      </c>
      <c r="O126" s="277">
        <f t="shared" si="120"/>
        <v>2.2566702114505184E-2</v>
      </c>
      <c r="P126" s="67">
        <f t="shared" si="121"/>
        <v>1.4210854715202004E-14</v>
      </c>
      <c r="Q126" s="67"/>
      <c r="R126" s="60"/>
      <c r="S126" s="60"/>
    </row>
    <row r="127" spans="1:19">
      <c r="A127" s="129"/>
      <c r="B127" s="43" t="s">
        <v>154</v>
      </c>
      <c r="C127" s="58" t="s">
        <v>129</v>
      </c>
      <c r="D127" s="289">
        <v>1</v>
      </c>
      <c r="E127" s="136">
        <v>1</v>
      </c>
      <c r="F127" s="115">
        <f t="shared" si="130"/>
        <v>12</v>
      </c>
      <c r="G127" s="244">
        <f t="shared" ref="G127:G129" si="135">+G108</f>
        <v>1686</v>
      </c>
      <c r="H127" s="68">
        <f t="shared" si="131"/>
        <v>20232</v>
      </c>
      <c r="I127" s="47">
        <f t="shared" si="134"/>
        <v>15163.508665881458</v>
      </c>
      <c r="J127" s="67">
        <f>(References!$C$49*I127)</f>
        <v>128.52793858512607</v>
      </c>
      <c r="K127" s="67">
        <f>J127/References!$G$52</f>
        <v>132.31206360420637</v>
      </c>
      <c r="L127" s="67">
        <f t="shared" si="132"/>
        <v>11.026005300350532</v>
      </c>
      <c r="M127" s="245">
        <v>472.96235358834781</v>
      </c>
      <c r="N127" s="287">
        <f t="shared" si="133"/>
        <v>483.98835888869831</v>
      </c>
      <c r="O127" s="277">
        <f t="shared" si="120"/>
        <v>2.331264891739615E-2</v>
      </c>
      <c r="P127" s="67">
        <f t="shared" si="121"/>
        <v>-2.6645352591003757E-14</v>
      </c>
      <c r="Q127" s="67"/>
      <c r="R127" s="60"/>
      <c r="S127" s="60"/>
    </row>
    <row r="128" spans="1:19">
      <c r="A128" s="129"/>
      <c r="B128" s="43" t="s">
        <v>154</v>
      </c>
      <c r="C128" s="58" t="s">
        <v>165</v>
      </c>
      <c r="D128" s="289">
        <v>1</v>
      </c>
      <c r="E128" s="136">
        <v>1</v>
      </c>
      <c r="F128" s="115">
        <f t="shared" si="130"/>
        <v>12</v>
      </c>
      <c r="G128" s="244">
        <f t="shared" si="135"/>
        <v>2046</v>
      </c>
      <c r="H128" s="68">
        <f t="shared" si="131"/>
        <v>24552</v>
      </c>
      <c r="I128" s="47">
        <f t="shared" si="134"/>
        <v>18401.268523365045</v>
      </c>
      <c r="J128" s="67">
        <f>(References!$C$49*I128)</f>
        <v>155.97162653924553</v>
      </c>
      <c r="K128" s="67">
        <f>J128/References!$G$52</f>
        <v>160.56374978304049</v>
      </c>
      <c r="L128" s="67">
        <f t="shared" si="132"/>
        <v>13.380312481920042</v>
      </c>
      <c r="M128" s="245">
        <v>536.33565119966954</v>
      </c>
      <c r="N128" s="287">
        <f t="shared" si="133"/>
        <v>549.71596368158953</v>
      </c>
      <c r="O128" s="277">
        <f t="shared" si="120"/>
        <v>2.4947646966952709E-2</v>
      </c>
      <c r="P128" s="67">
        <f t="shared" si="121"/>
        <v>-5.5067062021407764E-14</v>
      </c>
      <c r="Q128" s="67"/>
      <c r="R128" s="60"/>
      <c r="S128" s="60"/>
    </row>
    <row r="129" spans="1:19" s="60" customFormat="1">
      <c r="A129" s="58"/>
      <c r="B129" s="43" t="s">
        <v>154</v>
      </c>
      <c r="C129" s="58" t="s">
        <v>166</v>
      </c>
      <c r="D129" s="289">
        <v>1</v>
      </c>
      <c r="E129" s="136">
        <v>1</v>
      </c>
      <c r="F129" s="115">
        <f t="shared" si="130"/>
        <v>12</v>
      </c>
      <c r="G129" s="244">
        <f t="shared" si="135"/>
        <v>2310</v>
      </c>
      <c r="H129" s="68">
        <f t="shared" si="131"/>
        <v>27720</v>
      </c>
      <c r="I129" s="47">
        <f t="shared" si="134"/>
        <v>20775.625752186341</v>
      </c>
      <c r="J129" s="67">
        <f>(References!$C$49*I129)</f>
        <v>176.09699770559979</v>
      </c>
      <c r="K129" s="67">
        <f>J129/References!$G$52</f>
        <v>181.28165298085216</v>
      </c>
      <c r="L129" s="67">
        <f t="shared" si="132"/>
        <v>15.106804415071013</v>
      </c>
      <c r="M129" s="245">
        <v>612.74614992189322</v>
      </c>
      <c r="N129" s="287">
        <f t="shared" si="133"/>
        <v>627.85295433696422</v>
      </c>
      <c r="O129" s="277">
        <f t="shared" si="120"/>
        <v>2.4654262482100748E-2</v>
      </c>
      <c r="P129" s="67">
        <f t="shared" si="121"/>
        <v>-1.5987211554602254E-14</v>
      </c>
      <c r="Q129" s="67"/>
    </row>
    <row r="130" spans="1:19">
      <c r="A130" s="63"/>
      <c r="B130" s="43"/>
      <c r="D130" s="272"/>
      <c r="E130" s="136"/>
      <c r="F130" s="115"/>
      <c r="G130" s="116"/>
      <c r="H130" s="68"/>
      <c r="I130" s="47"/>
      <c r="J130" s="67"/>
      <c r="K130" s="67"/>
      <c r="L130" s="67"/>
      <c r="M130" s="273"/>
      <c r="N130" s="67"/>
      <c r="O130" s="67"/>
      <c r="P130" s="67"/>
      <c r="Q130" s="67"/>
      <c r="R130" s="60"/>
      <c r="S130" s="60"/>
    </row>
    <row r="131" spans="1:19">
      <c r="A131" s="63"/>
      <c r="C131" s="79"/>
      <c r="D131" s="39"/>
      <c r="E131" s="31"/>
      <c r="F131" s="57"/>
      <c r="G131" s="102"/>
      <c r="H131" s="57"/>
      <c r="J131" s="67"/>
      <c r="K131" s="80"/>
      <c r="L131" s="80"/>
      <c r="M131" s="117"/>
      <c r="N131" s="80"/>
      <c r="O131" s="60"/>
      <c r="P131" s="60"/>
      <c r="Q131" s="60"/>
    </row>
    <row r="132" spans="1:19">
      <c r="A132" s="63"/>
      <c r="C132" s="66"/>
    </row>
    <row r="133" spans="1:19">
      <c r="A133" s="63"/>
      <c r="C133" s="66"/>
    </row>
    <row r="134" spans="1:19">
      <c r="A134" s="63"/>
      <c r="C134" s="328" t="s">
        <v>87</v>
      </c>
      <c r="D134" s="328"/>
      <c r="E134" s="78"/>
      <c r="F134" s="78"/>
    </row>
    <row r="135" spans="1:19">
      <c r="A135" s="63"/>
      <c r="D135" s="55" t="s">
        <v>17</v>
      </c>
      <c r="E135" s="38"/>
      <c r="F135" s="38"/>
      <c r="J135" s="42"/>
      <c r="O135" s="59"/>
      <c r="P135" s="42"/>
    </row>
    <row r="136" spans="1:19">
      <c r="A136" s="63"/>
      <c r="C136" s="58" t="s">
        <v>33</v>
      </c>
      <c r="D136" s="152">
        <f>Disposal!S33+Disposal!S44</f>
        <v>4973.8905638129745</v>
      </c>
      <c r="E136" s="57"/>
      <c r="F136" s="57"/>
      <c r="G136" s="103"/>
      <c r="J136" s="42"/>
      <c r="O136" s="59"/>
      <c r="P136" s="80"/>
    </row>
    <row r="137" spans="1:19">
      <c r="A137" s="63"/>
      <c r="C137" s="58" t="s">
        <v>34</v>
      </c>
      <c r="D137" s="36">
        <f>D136*2000</f>
        <v>9947781.1276259497</v>
      </c>
      <c r="E137" s="36"/>
      <c r="F137" s="36"/>
      <c r="J137" s="42"/>
      <c r="P137" s="80"/>
    </row>
    <row r="138" spans="1:19">
      <c r="A138" s="63"/>
      <c r="C138" s="58" t="s">
        <v>5</v>
      </c>
      <c r="D138" s="36">
        <f>F44</f>
        <v>281405.93040000001</v>
      </c>
      <c r="E138" s="57"/>
      <c r="F138" s="57"/>
      <c r="J138" s="42"/>
      <c r="O138" s="59"/>
      <c r="P138" s="80"/>
    </row>
    <row r="139" spans="1:19">
      <c r="C139" s="43" t="s">
        <v>12</v>
      </c>
      <c r="D139" s="35">
        <f>D137/$H$44</f>
        <v>0.74948144849157072</v>
      </c>
      <c r="E139" s="35"/>
      <c r="F139" s="35"/>
      <c r="J139" s="42"/>
      <c r="M139" s="41"/>
      <c r="N139" s="41"/>
      <c r="O139" s="40"/>
      <c r="P139" s="40"/>
    </row>
    <row r="140" spans="1:19">
      <c r="G140" s="103"/>
      <c r="H140" s="32"/>
      <c r="J140" s="42"/>
      <c r="M140" s="44"/>
      <c r="N140" s="29"/>
      <c r="O140" s="61"/>
      <c r="P140" s="30"/>
    </row>
    <row r="141" spans="1:19">
      <c r="D141" s="34"/>
      <c r="E141" s="33"/>
      <c r="G141" s="103"/>
      <c r="H141" s="32"/>
      <c r="J141" s="42"/>
      <c r="M141" s="44"/>
      <c r="N141" s="29"/>
      <c r="O141" s="61"/>
      <c r="P141" s="30"/>
    </row>
    <row r="142" spans="1:19">
      <c r="D142" s="34"/>
      <c r="E142" s="33"/>
      <c r="G142" s="103"/>
      <c r="H142" s="32"/>
      <c r="J142" s="42"/>
      <c r="M142" s="44"/>
      <c r="N142" s="29"/>
      <c r="O142" s="61"/>
      <c r="P142" s="30"/>
    </row>
    <row r="143" spans="1:19">
      <c r="D143" s="58"/>
      <c r="I143" s="58"/>
    </row>
    <row r="144" spans="1:19">
      <c r="D144" s="58"/>
      <c r="E144" s="42"/>
      <c r="I144" s="58"/>
    </row>
    <row r="145" spans="4:9">
      <c r="D145" s="58"/>
      <c r="I145" s="58"/>
    </row>
    <row r="146" spans="4:9">
      <c r="D146" s="58"/>
      <c r="I146" s="58"/>
    </row>
    <row r="147" spans="4:9">
      <c r="D147" s="58"/>
    </row>
  </sheetData>
  <mergeCells count="4">
    <mergeCell ref="A2:A16"/>
    <mergeCell ref="C134:D134"/>
    <mergeCell ref="A37:A42"/>
    <mergeCell ref="A23:A28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topLeftCell="A34" workbookViewId="0">
      <selection activeCell="B55" sqref="B55"/>
    </sheetView>
  </sheetViews>
  <sheetFormatPr defaultColWidth="9.109375" defaultRowHeight="14.4"/>
  <cols>
    <col min="1" max="1" width="36.44140625" style="3" bestFit="1" customWidth="1"/>
    <col min="2" max="2" width="22.109375" style="3" bestFit="1" customWidth="1"/>
    <col min="3" max="3" width="19.5546875" style="3" customWidth="1"/>
    <col min="4" max="4" width="10.5546875" style="3" bestFit="1" customWidth="1"/>
    <col min="5" max="5" width="8.88671875" style="3" customWidth="1"/>
    <col min="6" max="6" width="11.44140625" style="3" bestFit="1" customWidth="1"/>
    <col min="7" max="7" width="10" style="3" bestFit="1" customWidth="1"/>
    <col min="8" max="8" width="8" style="3" bestFit="1" customWidth="1"/>
    <col min="9" max="9" width="15.88671875" style="3" bestFit="1" customWidth="1"/>
    <col min="10" max="10" width="15.88671875" style="3" customWidth="1"/>
    <col min="11" max="16384" width="9.109375" style="3"/>
  </cols>
  <sheetData>
    <row r="1" spans="1:8">
      <c r="A1" s="329" t="s">
        <v>19</v>
      </c>
      <c r="B1" s="329"/>
      <c r="C1" s="329"/>
      <c r="D1" s="329"/>
      <c r="E1" s="329"/>
      <c r="F1" s="329"/>
      <c r="G1" s="329"/>
      <c r="H1" s="329"/>
    </row>
    <row r="2" spans="1:8">
      <c r="A2" s="3" t="s">
        <v>56</v>
      </c>
      <c r="B2" s="9" t="s">
        <v>43</v>
      </c>
      <c r="C2" s="9" t="s">
        <v>44</v>
      </c>
      <c r="D2" s="9" t="s">
        <v>45</v>
      </c>
      <c r="E2" s="10" t="s">
        <v>47</v>
      </c>
      <c r="F2" s="10" t="s">
        <v>48</v>
      </c>
      <c r="G2" s="10" t="s">
        <v>49</v>
      </c>
      <c r="H2" s="9" t="s">
        <v>52</v>
      </c>
    </row>
    <row r="3" spans="1:8">
      <c r="A3" s="3" t="s">
        <v>53</v>
      </c>
      <c r="B3" s="1">
        <f>52*5/12</f>
        <v>21.666666666666668</v>
      </c>
      <c r="C3" s="11">
        <f>$B$3*2</f>
        <v>43.333333333333336</v>
      </c>
      <c r="D3" s="11">
        <f>$B$3*3</f>
        <v>65</v>
      </c>
      <c r="E3" s="11">
        <f>$B$3*4</f>
        <v>86.666666666666671</v>
      </c>
      <c r="F3" s="11">
        <f>$B$3*5</f>
        <v>108.33333333333334</v>
      </c>
      <c r="G3" s="11">
        <f>$B$3*6</f>
        <v>130</v>
      </c>
      <c r="H3" s="11">
        <f>$B$3*7</f>
        <v>151.66666666666669</v>
      </c>
    </row>
    <row r="4" spans="1:8">
      <c r="A4" s="3" t="s">
        <v>88</v>
      </c>
      <c r="B4" s="1">
        <f>52*4/12</f>
        <v>17.333333333333332</v>
      </c>
      <c r="C4" s="11">
        <f>$B$4*2</f>
        <v>34.666666666666664</v>
      </c>
      <c r="D4" s="11">
        <f>$B$4*3</f>
        <v>52</v>
      </c>
      <c r="E4" s="11">
        <f>$B$4*4</f>
        <v>69.333333333333329</v>
      </c>
      <c r="F4" s="11">
        <f>$B$4*5</f>
        <v>86.666666666666657</v>
      </c>
      <c r="G4" s="11">
        <f>$B$4*6</f>
        <v>104</v>
      </c>
      <c r="H4" s="11">
        <f>$B$4*7</f>
        <v>121.33333333333333</v>
      </c>
    </row>
    <row r="5" spans="1:8">
      <c r="A5" s="3" t="s">
        <v>54</v>
      </c>
      <c r="B5" s="1">
        <f>52*3/12</f>
        <v>13</v>
      </c>
      <c r="C5" s="11">
        <f>$B$5*2</f>
        <v>26</v>
      </c>
      <c r="D5" s="11">
        <f>$B$5*3</f>
        <v>39</v>
      </c>
      <c r="E5" s="11">
        <f>$B$5*4</f>
        <v>52</v>
      </c>
      <c r="F5" s="11">
        <f>$B$5*5</f>
        <v>65</v>
      </c>
      <c r="G5" s="11">
        <f>$B$5*6</f>
        <v>78</v>
      </c>
      <c r="H5" s="11">
        <f>$B$5*7</f>
        <v>91</v>
      </c>
    </row>
    <row r="6" spans="1:8">
      <c r="A6" s="3" t="s">
        <v>55</v>
      </c>
      <c r="B6" s="1">
        <f>52*2/12</f>
        <v>8.6666666666666661</v>
      </c>
      <c r="C6" s="12">
        <f>$B$6*2</f>
        <v>17.333333333333332</v>
      </c>
      <c r="D6" s="12">
        <f>$B$6*3</f>
        <v>26</v>
      </c>
      <c r="E6" s="12">
        <f>$B$6*4</f>
        <v>34.666666666666664</v>
      </c>
      <c r="F6" s="12">
        <f>$B$6*5</f>
        <v>43.333333333333329</v>
      </c>
      <c r="G6" s="12">
        <f>$B$6*6</f>
        <v>52</v>
      </c>
      <c r="H6" s="12">
        <f>$B$6*7</f>
        <v>60.666666666666664</v>
      </c>
    </row>
    <row r="7" spans="1:8">
      <c r="A7" s="3" t="s">
        <v>22</v>
      </c>
      <c r="B7" s="1">
        <f>52/12</f>
        <v>4.333333333333333</v>
      </c>
      <c r="C7" s="12">
        <f>$B$7*2</f>
        <v>8.6666666666666661</v>
      </c>
      <c r="D7" s="12">
        <f>$B$7*3</f>
        <v>13</v>
      </c>
      <c r="E7" s="12">
        <f>$B$7*4</f>
        <v>17.333333333333332</v>
      </c>
      <c r="F7" s="12">
        <f>$B$7*5</f>
        <v>21.666666666666664</v>
      </c>
      <c r="G7" s="12">
        <f>$B$7*6</f>
        <v>26</v>
      </c>
      <c r="H7" s="12">
        <f>$B$7*7</f>
        <v>30.333333333333332</v>
      </c>
    </row>
    <row r="8" spans="1:8">
      <c r="A8" s="3" t="s">
        <v>24</v>
      </c>
      <c r="B8" s="1">
        <f>26/12</f>
        <v>2.1666666666666665</v>
      </c>
      <c r="C8" s="12">
        <f>$B$8*2</f>
        <v>4.333333333333333</v>
      </c>
      <c r="D8" s="12">
        <f>$B$8*3</f>
        <v>6.5</v>
      </c>
      <c r="E8" s="12">
        <f>$B$8*4</f>
        <v>8.6666666666666661</v>
      </c>
      <c r="F8" s="12">
        <f>$B$8*5</f>
        <v>10.833333333333332</v>
      </c>
      <c r="G8" s="12">
        <f>$B$8*6</f>
        <v>13</v>
      </c>
      <c r="H8" s="12">
        <f>$B$8*7</f>
        <v>15.166666666666666</v>
      </c>
    </row>
    <row r="9" spans="1:8">
      <c r="A9" s="3" t="s">
        <v>23</v>
      </c>
      <c r="B9" s="1">
        <f>12/12</f>
        <v>1</v>
      </c>
      <c r="C9" s="12">
        <f>$B$9*2</f>
        <v>2</v>
      </c>
      <c r="D9" s="12">
        <f>$B$9*3</f>
        <v>3</v>
      </c>
      <c r="E9" s="12">
        <f>$B$9*4</f>
        <v>4</v>
      </c>
      <c r="F9" s="12">
        <f>$B$9*5</f>
        <v>5</v>
      </c>
      <c r="G9" s="12">
        <f>$B$9*6</f>
        <v>6</v>
      </c>
      <c r="H9" s="12">
        <f>$B$9*7</f>
        <v>7</v>
      </c>
    </row>
    <row r="10" spans="1:8">
      <c r="B10" s="1"/>
      <c r="C10" s="12"/>
      <c r="D10" s="12"/>
      <c r="E10" s="12"/>
      <c r="F10" s="12"/>
      <c r="G10" s="12"/>
      <c r="H10" s="12"/>
    </row>
    <row r="11" spans="1:8">
      <c r="A11" s="329" t="s">
        <v>11</v>
      </c>
      <c r="B11" s="329"/>
      <c r="C11" s="26"/>
      <c r="D11" s="12"/>
      <c r="E11" s="12"/>
      <c r="F11" s="12"/>
      <c r="G11" s="12"/>
      <c r="H11" s="12"/>
    </row>
    <row r="12" spans="1:8">
      <c r="A12" s="24" t="s">
        <v>51</v>
      </c>
      <c r="B12" s="28" t="s">
        <v>81</v>
      </c>
      <c r="C12" s="26"/>
      <c r="D12" s="12"/>
      <c r="E12" s="12"/>
      <c r="F12" s="12"/>
      <c r="G12" s="12"/>
      <c r="H12" s="12"/>
    </row>
    <row r="13" spans="1:8">
      <c r="A13" s="27" t="s">
        <v>82</v>
      </c>
      <c r="B13" s="25">
        <v>20</v>
      </c>
      <c r="C13" s="26"/>
      <c r="D13" s="12"/>
      <c r="E13" s="12"/>
      <c r="F13" s="12"/>
      <c r="G13" s="12"/>
      <c r="H13" s="12"/>
    </row>
    <row r="14" spans="1:8">
      <c r="A14" s="27" t="s">
        <v>57</v>
      </c>
      <c r="B14" s="25">
        <v>34</v>
      </c>
      <c r="C14" s="26"/>
      <c r="D14" s="12"/>
      <c r="E14" s="12"/>
      <c r="F14" s="12"/>
      <c r="G14" s="12"/>
      <c r="H14" s="12"/>
    </row>
    <row r="15" spans="1:8">
      <c r="A15" s="27" t="s">
        <v>58</v>
      </c>
      <c r="B15" s="25">
        <v>51</v>
      </c>
      <c r="C15" s="26"/>
      <c r="D15" s="12"/>
      <c r="E15" s="12"/>
      <c r="F15" s="12"/>
      <c r="G15" s="12"/>
      <c r="H15" s="12"/>
    </row>
    <row r="16" spans="1:8">
      <c r="A16" s="27" t="s">
        <v>59</v>
      </c>
      <c r="B16" s="25">
        <v>77</v>
      </c>
      <c r="C16" s="26"/>
      <c r="D16" s="12"/>
      <c r="E16" s="12"/>
      <c r="F16" s="3" t="s">
        <v>20</v>
      </c>
      <c r="G16" s="5">
        <v>2000</v>
      </c>
      <c r="H16" s="12"/>
    </row>
    <row r="17" spans="1:8">
      <c r="A17" s="27" t="s">
        <v>60</v>
      </c>
      <c r="B17" s="25">
        <v>97</v>
      </c>
      <c r="C17" s="26"/>
      <c r="D17" s="12"/>
      <c r="E17" s="12"/>
      <c r="F17" s="3" t="s">
        <v>21</v>
      </c>
      <c r="G17" s="14" t="s">
        <v>46</v>
      </c>
      <c r="H17" s="12"/>
    </row>
    <row r="18" spans="1:8">
      <c r="A18" s="27" t="s">
        <v>61</v>
      </c>
      <c r="B18" s="25">
        <v>117</v>
      </c>
      <c r="C18" s="26"/>
      <c r="D18" s="12"/>
      <c r="E18" s="12"/>
      <c r="H18" s="12"/>
    </row>
    <row r="19" spans="1:8">
      <c r="A19" s="27" t="s">
        <v>62</v>
      </c>
      <c r="B19" s="25">
        <v>157</v>
      </c>
      <c r="C19" s="26"/>
      <c r="D19" s="12"/>
      <c r="E19" s="12"/>
      <c r="F19" s="7"/>
      <c r="G19" s="8"/>
      <c r="H19" s="12"/>
    </row>
    <row r="20" spans="1:8" s="22" customFormat="1">
      <c r="A20" s="46" t="s">
        <v>92</v>
      </c>
      <c r="B20" s="37">
        <v>37</v>
      </c>
      <c r="C20" s="45" t="s">
        <v>83</v>
      </c>
      <c r="D20" s="26"/>
      <c r="E20" s="26"/>
      <c r="F20" s="7"/>
      <c r="G20" s="8"/>
      <c r="H20" s="26"/>
    </row>
    <row r="21" spans="1:8">
      <c r="A21" s="27" t="s">
        <v>63</v>
      </c>
      <c r="B21" s="25">
        <v>47</v>
      </c>
      <c r="C21" s="26"/>
      <c r="D21" s="12"/>
      <c r="E21" s="12"/>
      <c r="F21" s="12"/>
      <c r="G21" s="12"/>
      <c r="H21" s="12"/>
    </row>
    <row r="22" spans="1:8">
      <c r="A22" s="27" t="s">
        <v>64</v>
      </c>
      <c r="B22" s="25">
        <v>68</v>
      </c>
      <c r="C22" s="26"/>
      <c r="D22" s="12"/>
      <c r="E22" s="12"/>
      <c r="F22" s="12"/>
      <c r="G22" s="12"/>
      <c r="H22" s="12"/>
    </row>
    <row r="23" spans="1:8">
      <c r="A23" s="27" t="s">
        <v>65</v>
      </c>
      <c r="B23" s="25">
        <v>34</v>
      </c>
      <c r="C23" s="26"/>
      <c r="D23" s="12"/>
      <c r="E23" s="12"/>
      <c r="F23" s="12"/>
      <c r="G23" s="12"/>
      <c r="H23" s="12"/>
    </row>
    <row r="24" spans="1:8">
      <c r="A24" s="27" t="s">
        <v>32</v>
      </c>
      <c r="B24" s="25">
        <v>34</v>
      </c>
      <c r="C24" s="26"/>
      <c r="D24" s="12"/>
      <c r="E24" s="12"/>
      <c r="F24" s="12"/>
      <c r="G24" s="12"/>
      <c r="H24" s="12"/>
    </row>
    <row r="25" spans="1:8">
      <c r="A25" s="24" t="s">
        <v>66</v>
      </c>
      <c r="B25" s="25"/>
      <c r="C25" s="26"/>
      <c r="D25" s="12"/>
      <c r="E25" s="12"/>
      <c r="F25" s="12"/>
      <c r="G25" s="12"/>
      <c r="H25" s="12"/>
    </row>
    <row r="26" spans="1:8">
      <c r="A26" s="27" t="s">
        <v>67</v>
      </c>
      <c r="B26" s="25">
        <v>29</v>
      </c>
      <c r="C26" s="26"/>
      <c r="D26" s="12"/>
      <c r="E26" s="12"/>
      <c r="F26" s="12"/>
      <c r="G26" s="12"/>
      <c r="H26" s="12"/>
    </row>
    <row r="27" spans="1:8">
      <c r="A27" s="27" t="s">
        <v>68</v>
      </c>
      <c r="B27" s="25">
        <v>175</v>
      </c>
      <c r="C27" s="26"/>
      <c r="D27" s="12"/>
      <c r="E27" s="12"/>
      <c r="F27" s="12"/>
      <c r="G27" s="12"/>
      <c r="H27" s="12"/>
    </row>
    <row r="28" spans="1:8">
      <c r="A28" s="27" t="s">
        <v>69</v>
      </c>
      <c r="B28" s="25">
        <v>250</v>
      </c>
      <c r="C28" s="26"/>
      <c r="D28" s="12"/>
      <c r="E28" s="12"/>
      <c r="F28" s="12"/>
      <c r="G28" s="12"/>
      <c r="H28" s="12"/>
    </row>
    <row r="29" spans="1:8">
      <c r="A29" s="27" t="s">
        <v>70</v>
      </c>
      <c r="B29" s="25">
        <v>324</v>
      </c>
      <c r="C29" s="26"/>
      <c r="D29" s="12"/>
      <c r="E29" s="12"/>
      <c r="F29" s="12"/>
      <c r="G29" s="12"/>
      <c r="H29" s="12"/>
    </row>
    <row r="30" spans="1:8">
      <c r="A30" s="27" t="s">
        <v>71</v>
      </c>
      <c r="B30" s="25">
        <v>473</v>
      </c>
      <c r="C30" s="26"/>
      <c r="D30" s="12"/>
      <c r="E30" s="12"/>
      <c r="F30" s="12"/>
      <c r="G30" s="12"/>
      <c r="H30" s="12"/>
    </row>
    <row r="31" spans="1:8">
      <c r="A31" s="27" t="s">
        <v>72</v>
      </c>
      <c r="B31" s="25">
        <v>613</v>
      </c>
      <c r="C31" s="26"/>
      <c r="D31" s="12"/>
      <c r="E31" s="12"/>
      <c r="F31" s="12"/>
      <c r="G31" s="12"/>
      <c r="H31" s="12"/>
    </row>
    <row r="32" spans="1:8">
      <c r="A32" s="27" t="s">
        <v>73</v>
      </c>
      <c r="B32" s="25">
        <v>840</v>
      </c>
      <c r="C32" s="26"/>
      <c r="D32" s="12"/>
      <c r="E32" s="12"/>
      <c r="F32" s="12"/>
      <c r="G32" s="12"/>
      <c r="H32" s="12"/>
    </row>
    <row r="33" spans="1:12">
      <c r="A33" s="27" t="s">
        <v>74</v>
      </c>
      <c r="B33" s="25">
        <v>980</v>
      </c>
      <c r="C33" s="26"/>
      <c r="D33" s="12"/>
      <c r="E33" s="12"/>
      <c r="F33" s="12"/>
      <c r="G33" s="12"/>
      <c r="H33" s="12"/>
    </row>
    <row r="34" spans="1:12">
      <c r="A34" s="27" t="s">
        <v>89</v>
      </c>
      <c r="B34" s="25">
        <v>482</v>
      </c>
      <c r="C34" s="26" t="s">
        <v>83</v>
      </c>
      <c r="D34" s="12"/>
      <c r="E34" s="12"/>
      <c r="F34" s="12"/>
      <c r="G34" s="12"/>
      <c r="H34" s="12"/>
    </row>
    <row r="35" spans="1:12">
      <c r="A35" s="27" t="s">
        <v>90</v>
      </c>
      <c r="B35" s="25">
        <v>689</v>
      </c>
      <c r="C35" s="26" t="s">
        <v>83</v>
      </c>
      <c r="D35" s="12"/>
      <c r="E35" s="12"/>
      <c r="F35" s="12"/>
      <c r="G35" s="12"/>
      <c r="H35" s="12"/>
    </row>
    <row r="36" spans="1:12" s="22" customFormat="1">
      <c r="A36" s="27" t="s">
        <v>76</v>
      </c>
      <c r="B36" s="25">
        <v>892</v>
      </c>
      <c r="C36" s="26" t="s">
        <v>83</v>
      </c>
      <c r="D36" s="23"/>
      <c r="E36" s="23"/>
      <c r="F36" s="23"/>
      <c r="G36" s="23"/>
      <c r="H36" s="23"/>
    </row>
    <row r="37" spans="1:12" s="22" customFormat="1">
      <c r="A37" s="27" t="s">
        <v>75</v>
      </c>
      <c r="B37" s="25">
        <v>1301</v>
      </c>
      <c r="C37" s="26"/>
      <c r="D37" s="23"/>
      <c r="E37" s="23"/>
      <c r="F37" s="23"/>
      <c r="G37" s="23"/>
      <c r="H37" s="23"/>
    </row>
    <row r="38" spans="1:12" s="22" customFormat="1">
      <c r="A38" s="27" t="s">
        <v>77</v>
      </c>
      <c r="B38" s="25">
        <v>1686</v>
      </c>
      <c r="C38" s="26"/>
      <c r="D38" s="23"/>
      <c r="E38" s="23"/>
      <c r="F38" s="23"/>
      <c r="G38" s="23"/>
      <c r="H38" s="23"/>
    </row>
    <row r="39" spans="1:12" s="22" customFormat="1">
      <c r="A39" s="27" t="s">
        <v>78</v>
      </c>
      <c r="B39" s="25">
        <v>2046</v>
      </c>
      <c r="C39" s="26"/>
      <c r="D39" s="23"/>
      <c r="E39" s="23"/>
      <c r="F39" s="23"/>
      <c r="G39" s="23"/>
      <c r="H39" s="23"/>
    </row>
    <row r="40" spans="1:12" s="22" customFormat="1">
      <c r="A40" s="27" t="s">
        <v>79</v>
      </c>
      <c r="B40" s="25">
        <v>2310</v>
      </c>
      <c r="C40" s="26"/>
      <c r="D40" s="23"/>
      <c r="E40" s="23"/>
      <c r="F40" s="23"/>
      <c r="G40" s="23"/>
      <c r="H40" s="23"/>
    </row>
    <row r="41" spans="1:12" s="22" customFormat="1">
      <c r="A41" s="27" t="s">
        <v>91</v>
      </c>
      <c r="B41" s="25">
        <v>2800</v>
      </c>
      <c r="C41" s="26" t="s">
        <v>83</v>
      </c>
      <c r="D41" s="23"/>
      <c r="E41" s="23"/>
      <c r="F41" s="23"/>
      <c r="G41" s="23"/>
      <c r="H41" s="23"/>
    </row>
    <row r="42" spans="1:12" s="22" customFormat="1">
      <c r="A42" s="27" t="s">
        <v>80</v>
      </c>
      <c r="B42" s="25">
        <v>125</v>
      </c>
      <c r="C42" s="26"/>
      <c r="D42" s="23"/>
      <c r="E42" s="23"/>
      <c r="F42" s="23"/>
      <c r="G42" s="23"/>
      <c r="H42" s="23"/>
    </row>
    <row r="43" spans="1:12">
      <c r="B43" s="96" t="s">
        <v>94</v>
      </c>
      <c r="C43" s="96"/>
      <c r="D43" s="96"/>
    </row>
    <row r="46" spans="1:12">
      <c r="A46" s="21" t="s">
        <v>96</v>
      </c>
      <c r="B46" s="19" t="s">
        <v>6</v>
      </c>
      <c r="C46" s="19" t="s">
        <v>7</v>
      </c>
      <c r="F46" s="330" t="s">
        <v>27</v>
      </c>
      <c r="G46" s="330"/>
      <c r="J46" s="284"/>
      <c r="K46" s="284"/>
      <c r="L46" s="284"/>
    </row>
    <row r="47" spans="1:12">
      <c r="A47" s="15" t="s">
        <v>8</v>
      </c>
      <c r="B47" s="275">
        <v>183.71</v>
      </c>
      <c r="C47" s="133">
        <f>B47/2000</f>
        <v>9.1855000000000006E-2</v>
      </c>
      <c r="F47" s="3" t="s">
        <v>28</v>
      </c>
      <c r="G47" s="149">
        <f>0.0175</f>
        <v>1.7500000000000002E-2</v>
      </c>
      <c r="J47" s="285"/>
      <c r="K47" s="37"/>
      <c r="L47" s="286"/>
    </row>
    <row r="48" spans="1:12">
      <c r="A48" s="15" t="s">
        <v>9</v>
      </c>
      <c r="B48" s="274">
        <f>'Disposal cost back-up'!C43</f>
        <v>200.66226895267579</v>
      </c>
      <c r="C48" s="134">
        <f>B48/2000</f>
        <v>0.10033113447633789</v>
      </c>
      <c r="F48" s="3" t="s">
        <v>29</v>
      </c>
      <c r="G48" s="150">
        <v>5.1000000000000004E-3</v>
      </c>
    </row>
    <row r="49" spans="1:7">
      <c r="A49" s="13" t="s">
        <v>10</v>
      </c>
      <c r="B49" s="132">
        <f>B48-B47</f>
        <v>16.95226895267578</v>
      </c>
      <c r="C49" s="135">
        <f>C48-C47</f>
        <v>8.4761344763378821E-3</v>
      </c>
      <c r="F49" s="3" t="s">
        <v>50</v>
      </c>
      <c r="G49" s="151">
        <v>6.0000000000000001E-3</v>
      </c>
    </row>
    <row r="50" spans="1:7">
      <c r="B50" s="276">
        <f>B49/B47</f>
        <v>9.2277333583777585E-2</v>
      </c>
      <c r="F50" s="3" t="s">
        <v>17</v>
      </c>
      <c r="G50" s="16">
        <f>SUM(G47:G49)</f>
        <v>2.86E-2</v>
      </c>
    </row>
    <row r="51" spans="1:7">
      <c r="B51" s="20" t="str">
        <f>A46</f>
        <v>King County</v>
      </c>
    </row>
    <row r="52" spans="1:7">
      <c r="A52" s="3" t="s">
        <v>4</v>
      </c>
      <c r="B52" s="17">
        <f>B49</f>
        <v>16.95226895267578</v>
      </c>
      <c r="F52" s="3" t="s">
        <v>30</v>
      </c>
      <c r="G52" s="18">
        <f>1-G50</f>
        <v>0.97140000000000004</v>
      </c>
    </row>
    <row r="53" spans="1:7">
      <c r="A53" s="3" t="s">
        <v>26</v>
      </c>
      <c r="B53" s="17">
        <f>B52/$G$52</f>
        <v>17.451378374177249</v>
      </c>
    </row>
    <row r="54" spans="1:7">
      <c r="A54" s="3" t="s">
        <v>25</v>
      </c>
      <c r="B54" s="6">
        <f>'Calcs '!D136</f>
        <v>4973.8905638129745</v>
      </c>
    </row>
    <row r="55" spans="1:7">
      <c r="A55" s="2" t="s">
        <v>31</v>
      </c>
      <c r="B55" s="4">
        <f>B53*B54</f>
        <v>86801.246220850022</v>
      </c>
    </row>
    <row r="58" spans="1:7" ht="15" thickBot="1"/>
    <row r="59" spans="1:7">
      <c r="A59" s="81" t="s">
        <v>86</v>
      </c>
      <c r="B59" s="82" t="s">
        <v>84</v>
      </c>
      <c r="D59" s="17"/>
    </row>
    <row r="60" spans="1:7">
      <c r="A60" s="83" t="s">
        <v>85</v>
      </c>
      <c r="B60" s="84">
        <f>-'Calcs '!Q44</f>
        <v>86801.246220849847</v>
      </c>
    </row>
    <row r="61" spans="1:7">
      <c r="A61" s="83" t="s">
        <v>13</v>
      </c>
      <c r="B61" s="238">
        <f>B60-B55</f>
        <v>-1.7462298274040222E-10</v>
      </c>
    </row>
    <row r="62" spans="1:7">
      <c r="A62" s="83"/>
      <c r="B62" s="85"/>
    </row>
    <row r="63" spans="1:7">
      <c r="A63" s="86"/>
      <c r="B63" s="87"/>
    </row>
    <row r="64" spans="1:7">
      <c r="A64" s="83"/>
      <c r="B64" s="88"/>
    </row>
    <row r="65" spans="1:3" ht="15" thickBot="1">
      <c r="A65" s="89"/>
      <c r="B65" s="90"/>
      <c r="C65" s="22"/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Footer>&amp;L&amp;8&amp;F - &amp;A&amp;C&amp;D&amp;R&amp;P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6452-3ECB-4B66-8CB9-105E580685F4}">
  <sheetPr>
    <pageSetUpPr fitToPage="1"/>
  </sheetPr>
  <dimension ref="A1:Y467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S44" sqref="S44"/>
    </sheetView>
  </sheetViews>
  <sheetFormatPr defaultColWidth="10.88671875" defaultRowHeight="14.4" outlineLevelRow="1" outlineLevelCol="1"/>
  <cols>
    <col min="1" max="1" width="9" style="160" customWidth="1" outlineLevel="1"/>
    <col min="2" max="2" width="6.88671875" style="160" customWidth="1" outlineLevel="1"/>
    <col min="3" max="4" width="6.6640625" style="153" customWidth="1" outlineLevel="1"/>
    <col min="5" max="5" width="28.5546875" style="153" customWidth="1"/>
    <col min="6" max="17" width="13.44140625" style="153" customWidth="1"/>
    <col min="18" max="18" width="1.33203125" style="153" customWidth="1"/>
    <col min="19" max="19" width="13" style="154" bestFit="1" customWidth="1"/>
    <col min="20" max="20" width="2.33203125" style="153" customWidth="1"/>
    <col min="21" max="22" width="16.44140625" style="153" customWidth="1"/>
    <col min="23" max="23" width="10.88671875" style="153"/>
    <col min="24" max="24" width="12.109375" style="153" bestFit="1" customWidth="1"/>
    <col min="25" max="16384" width="10.88671875" style="153"/>
  </cols>
  <sheetData>
    <row r="1" spans="1:19">
      <c r="A1" s="331" t="s">
        <v>174</v>
      </c>
      <c r="B1" s="331"/>
      <c r="C1" s="331"/>
      <c r="D1" s="331"/>
      <c r="E1" s="331"/>
    </row>
    <row r="2" spans="1:19">
      <c r="A2" s="240" t="s">
        <v>272</v>
      </c>
    </row>
    <row r="3" spans="1:19" s="154" customFormat="1">
      <c r="A3" s="241" t="s">
        <v>175</v>
      </c>
      <c r="B3" s="241" t="s">
        <v>176</v>
      </c>
      <c r="C3" s="332" t="s">
        <v>177</v>
      </c>
      <c r="D3" s="332"/>
      <c r="F3" s="155">
        <v>44562</v>
      </c>
      <c r="G3" s="156">
        <f>EOMONTH(F3,1)</f>
        <v>44620</v>
      </c>
      <c r="H3" s="156">
        <f t="shared" ref="H3:Q3" si="0">EOMONTH(G3,1)</f>
        <v>44651</v>
      </c>
      <c r="I3" s="156">
        <f t="shared" si="0"/>
        <v>44681</v>
      </c>
      <c r="J3" s="156">
        <f t="shared" si="0"/>
        <v>44712</v>
      </c>
      <c r="K3" s="156">
        <f t="shared" si="0"/>
        <v>44742</v>
      </c>
      <c r="L3" s="156">
        <f t="shared" si="0"/>
        <v>44773</v>
      </c>
      <c r="M3" s="156">
        <f t="shared" si="0"/>
        <v>44804</v>
      </c>
      <c r="N3" s="156">
        <f t="shared" si="0"/>
        <v>44834</v>
      </c>
      <c r="O3" s="156">
        <f t="shared" si="0"/>
        <v>44865</v>
      </c>
      <c r="P3" s="156">
        <f t="shared" si="0"/>
        <v>44895</v>
      </c>
      <c r="Q3" s="156">
        <f t="shared" si="0"/>
        <v>44926</v>
      </c>
      <c r="S3" s="154" t="s">
        <v>178</v>
      </c>
    </row>
    <row r="4" spans="1:19" s="158" customFormat="1">
      <c r="A4" s="157"/>
      <c r="B4" s="157"/>
      <c r="C4" s="157"/>
      <c r="D4" s="157"/>
      <c r="F4" s="158">
        <f>MONTH(F3)</f>
        <v>1</v>
      </c>
      <c r="G4" s="158">
        <f t="shared" ref="G4:Q4" si="1">MONTH(G3)</f>
        <v>2</v>
      </c>
      <c r="H4" s="158">
        <f t="shared" si="1"/>
        <v>3</v>
      </c>
      <c r="I4" s="158">
        <f t="shared" si="1"/>
        <v>4</v>
      </c>
      <c r="J4" s="158">
        <f t="shared" si="1"/>
        <v>5</v>
      </c>
      <c r="K4" s="158">
        <f t="shared" si="1"/>
        <v>6</v>
      </c>
      <c r="L4" s="158">
        <f t="shared" si="1"/>
        <v>7</v>
      </c>
      <c r="M4" s="158">
        <f t="shared" si="1"/>
        <v>8</v>
      </c>
      <c r="N4" s="158">
        <f t="shared" si="1"/>
        <v>9</v>
      </c>
      <c r="O4" s="158">
        <f t="shared" si="1"/>
        <v>10</v>
      </c>
      <c r="P4" s="158">
        <f t="shared" si="1"/>
        <v>11</v>
      </c>
      <c r="Q4" s="158">
        <f t="shared" si="1"/>
        <v>12</v>
      </c>
      <c r="S4" s="159"/>
    </row>
    <row r="5" spans="1:19" ht="15" thickBot="1">
      <c r="C5" s="160"/>
      <c r="D5" s="160"/>
      <c r="E5" s="161" t="s">
        <v>179</v>
      </c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1"/>
    </row>
    <row r="6" spans="1:19">
      <c r="C6" s="160"/>
      <c r="D6" s="160"/>
    </row>
    <row r="7" spans="1:19">
      <c r="C7" s="160"/>
      <c r="D7" s="160"/>
      <c r="E7" s="154" t="s">
        <v>180</v>
      </c>
    </row>
    <row r="8" spans="1:19">
      <c r="C8" s="160"/>
      <c r="D8" s="160"/>
      <c r="E8" s="153" t="s">
        <v>181</v>
      </c>
      <c r="F8" s="247">
        <v>1113.02</v>
      </c>
      <c r="G8" s="247">
        <v>914.5</v>
      </c>
      <c r="H8" s="247">
        <v>1108.68</v>
      </c>
      <c r="I8" s="247">
        <v>1010.24</v>
      </c>
      <c r="J8" s="247">
        <v>0</v>
      </c>
      <c r="K8" s="247">
        <v>1161.6500000000001</v>
      </c>
      <c r="L8" s="247">
        <v>1002.31</v>
      </c>
      <c r="M8" s="247">
        <v>1167.98</v>
      </c>
      <c r="N8" s="247">
        <v>1068.08</v>
      </c>
      <c r="O8" s="247">
        <v>1057.52</v>
      </c>
      <c r="P8" s="247">
        <v>1052.3399999999999</v>
      </c>
      <c r="Q8" s="247">
        <v>1093.44</v>
      </c>
      <c r="S8" s="164">
        <f>SUM(F8:R8)</f>
        <v>11749.76</v>
      </c>
    </row>
    <row r="9" spans="1:19">
      <c r="C9" s="160"/>
      <c r="D9" s="160"/>
      <c r="E9" s="153" t="s">
        <v>182</v>
      </c>
      <c r="F9" s="247">
        <v>723.88000000000022</v>
      </c>
      <c r="G9" s="247">
        <v>796.49</v>
      </c>
      <c r="H9" s="247">
        <v>1009.24</v>
      </c>
      <c r="I9" s="247">
        <v>994.78999999999974</v>
      </c>
      <c r="J9" s="247">
        <v>655.71</v>
      </c>
      <c r="K9" s="247">
        <v>885.90999999999985</v>
      </c>
      <c r="L9" s="247">
        <v>861.36000000000013</v>
      </c>
      <c r="M9" s="247">
        <v>998.34999999999991</v>
      </c>
      <c r="N9" s="247">
        <v>920.65</v>
      </c>
      <c r="O9" s="247">
        <v>895.21</v>
      </c>
      <c r="P9" s="247">
        <v>1014.12</v>
      </c>
      <c r="Q9" s="247">
        <v>845.73</v>
      </c>
      <c r="S9" s="164">
        <f t="shared" ref="S9:S15" si="2">SUM(F9:R9)</f>
        <v>10601.44</v>
      </c>
    </row>
    <row r="10" spans="1:19">
      <c r="C10" s="160"/>
      <c r="D10" s="160"/>
      <c r="E10" s="153" t="s">
        <v>183</v>
      </c>
      <c r="F10" s="247">
        <v>1949.63</v>
      </c>
      <c r="G10" s="247">
        <v>1619.47</v>
      </c>
      <c r="H10" s="247">
        <v>2002.72</v>
      </c>
      <c r="I10" s="247">
        <v>1733.52</v>
      </c>
      <c r="J10" s="247">
        <v>1893.7</v>
      </c>
      <c r="K10" s="247">
        <v>1940.61</v>
      </c>
      <c r="L10" s="247">
        <v>1708.3</v>
      </c>
      <c r="M10" s="247">
        <v>1945.3300000000002</v>
      </c>
      <c r="N10" s="247">
        <v>1835.3</v>
      </c>
      <c r="O10" s="247">
        <v>1757.04</v>
      </c>
      <c r="P10" s="247">
        <v>1915.63</v>
      </c>
      <c r="Q10" s="247">
        <v>1846.1200000000001</v>
      </c>
      <c r="S10" s="164">
        <f t="shared" si="2"/>
        <v>22147.370000000003</v>
      </c>
    </row>
    <row r="11" spans="1:19">
      <c r="C11" s="160"/>
      <c r="D11" s="160"/>
      <c r="E11" s="153" t="s">
        <v>184</v>
      </c>
      <c r="F11" s="247">
        <v>598.65</v>
      </c>
      <c r="G11" s="247">
        <v>432.8</v>
      </c>
      <c r="H11" s="247">
        <v>595.39</v>
      </c>
      <c r="I11" s="247">
        <v>498.88</v>
      </c>
      <c r="J11" s="247">
        <v>549.96</v>
      </c>
      <c r="K11" s="247">
        <v>520.16999999999996</v>
      </c>
      <c r="L11" s="247">
        <v>399.53</v>
      </c>
      <c r="M11" s="247">
        <v>478.04</v>
      </c>
      <c r="N11" s="247">
        <v>441.9</v>
      </c>
      <c r="O11" s="247">
        <v>470.7</v>
      </c>
      <c r="P11" s="247">
        <v>529.17999999999995</v>
      </c>
      <c r="Q11" s="247">
        <v>559.80999999999995</v>
      </c>
      <c r="S11" s="164">
        <f t="shared" si="2"/>
        <v>6075.01</v>
      </c>
    </row>
    <row r="12" spans="1:19">
      <c r="C12" s="160"/>
      <c r="D12" s="160"/>
      <c r="E12" s="153" t="s">
        <v>185</v>
      </c>
      <c r="F12" s="247">
        <v>1635.88</v>
      </c>
      <c r="G12" s="247">
        <v>1214.73</v>
      </c>
      <c r="H12" s="247">
        <v>1409.72</v>
      </c>
      <c r="I12" s="247">
        <v>1273.0999999999999</v>
      </c>
      <c r="J12" s="247">
        <v>1363.83</v>
      </c>
      <c r="K12" s="247">
        <v>1418.59</v>
      </c>
      <c r="L12" s="247">
        <v>1353.94</v>
      </c>
      <c r="M12" s="247">
        <v>1470.48</v>
      </c>
      <c r="N12" s="247">
        <v>1396.25</v>
      </c>
      <c r="O12" s="247">
        <v>1301.8499999999999</v>
      </c>
      <c r="P12" s="247">
        <v>1354.08</v>
      </c>
      <c r="Q12" s="247">
        <v>1338.78</v>
      </c>
      <c r="S12" s="164">
        <f>SUM(F12:R12)</f>
        <v>16531.23</v>
      </c>
    </row>
    <row r="13" spans="1:19">
      <c r="C13" s="160"/>
      <c r="D13" s="160"/>
      <c r="E13" s="153" t="s">
        <v>186</v>
      </c>
      <c r="F13" s="247">
        <v>920.23</v>
      </c>
      <c r="G13" s="247">
        <v>746.13</v>
      </c>
      <c r="H13" s="247">
        <v>849.41</v>
      </c>
      <c r="I13" s="247">
        <v>654.73</v>
      </c>
      <c r="J13" s="247">
        <v>695.65</v>
      </c>
      <c r="K13" s="247">
        <v>709.51</v>
      </c>
      <c r="L13" s="247">
        <v>703.80000000000007</v>
      </c>
      <c r="M13" s="247">
        <v>729.36</v>
      </c>
      <c r="N13" s="247">
        <v>701.99</v>
      </c>
      <c r="O13" s="247">
        <v>621.27</v>
      </c>
      <c r="P13" s="247">
        <v>709.5</v>
      </c>
      <c r="Q13" s="247">
        <v>703.84</v>
      </c>
      <c r="S13" s="164">
        <f>SUM(F13:R13)</f>
        <v>8745.42</v>
      </c>
    </row>
    <row r="14" spans="1:19">
      <c r="C14" s="160"/>
      <c r="D14" s="160"/>
      <c r="E14" s="165" t="s">
        <v>266</v>
      </c>
      <c r="F14" s="248">
        <v>773.59</v>
      </c>
      <c r="G14" s="248">
        <v>792.08</v>
      </c>
      <c r="H14" s="248">
        <v>1157.44</v>
      </c>
      <c r="I14" s="248">
        <v>1589.87</v>
      </c>
      <c r="J14" s="248">
        <v>2094.65</v>
      </c>
      <c r="K14" s="248">
        <v>2393.08</v>
      </c>
      <c r="L14" s="248">
        <v>1604.16</v>
      </c>
      <c r="M14" s="248">
        <v>1231.04</v>
      </c>
      <c r="N14" s="248">
        <v>1134.45</v>
      </c>
      <c r="O14" s="248">
        <v>975.02</v>
      </c>
      <c r="P14" s="248">
        <v>1398.8</v>
      </c>
      <c r="Q14" s="248">
        <v>1016.92</v>
      </c>
      <c r="R14" s="165"/>
      <c r="S14" s="191">
        <f t="shared" si="2"/>
        <v>16161.1</v>
      </c>
    </row>
    <row r="15" spans="1:19">
      <c r="C15" s="160"/>
      <c r="D15" s="160"/>
      <c r="E15" s="153" t="s">
        <v>178</v>
      </c>
      <c r="F15" s="163">
        <f t="shared" ref="F15:P15" si="3">SUM(F8:F14)</f>
        <v>7714.880000000001</v>
      </c>
      <c r="G15" s="163">
        <f t="shared" si="3"/>
        <v>6516.2</v>
      </c>
      <c r="H15" s="163">
        <f t="shared" si="3"/>
        <v>8132.6</v>
      </c>
      <c r="I15" s="163">
        <f t="shared" si="3"/>
        <v>7755.1299999999983</v>
      </c>
      <c r="J15" s="163">
        <f t="shared" si="3"/>
        <v>7253.5</v>
      </c>
      <c r="K15" s="163">
        <f t="shared" si="3"/>
        <v>9029.52</v>
      </c>
      <c r="L15" s="163">
        <f t="shared" si="3"/>
        <v>7633.4000000000005</v>
      </c>
      <c r="M15" s="163">
        <f t="shared" si="3"/>
        <v>8020.58</v>
      </c>
      <c r="N15" s="163">
        <f t="shared" si="3"/>
        <v>7498.619999999999</v>
      </c>
      <c r="O15" s="163">
        <f t="shared" si="3"/>
        <v>7078.6100000000006</v>
      </c>
      <c r="P15" s="163">
        <f t="shared" si="3"/>
        <v>7973.6500000000005</v>
      </c>
      <c r="Q15" s="163">
        <f>SUM(Q8:Q14)</f>
        <v>7404.64</v>
      </c>
      <c r="S15" s="164">
        <f t="shared" si="2"/>
        <v>92011.33</v>
      </c>
    </row>
    <row r="16" spans="1:19">
      <c r="C16" s="160"/>
      <c r="D16" s="160"/>
    </row>
    <row r="17" spans="1:25">
      <c r="C17" s="160"/>
      <c r="D17" s="160"/>
      <c r="E17" s="154" t="s">
        <v>187</v>
      </c>
      <c r="F17" s="180"/>
      <c r="G17" s="180"/>
      <c r="T17" s="193"/>
      <c r="U17" s="193"/>
      <c r="V17" s="193"/>
      <c r="W17" s="193"/>
      <c r="X17" s="193"/>
      <c r="Y17" s="193"/>
    </row>
    <row r="18" spans="1:25">
      <c r="A18" s="166" t="s">
        <v>188</v>
      </c>
      <c r="B18" s="166" t="s">
        <v>189</v>
      </c>
      <c r="C18" s="166">
        <v>20</v>
      </c>
      <c r="D18" s="166"/>
      <c r="E18" s="153" t="s">
        <v>191</v>
      </c>
      <c r="F18" s="180">
        <v>55.349999999999994</v>
      </c>
      <c r="G18" s="180">
        <v>29.429999999999996</v>
      </c>
      <c r="H18" s="180">
        <v>42.879999999999988</v>
      </c>
      <c r="I18" s="180">
        <v>36.020000000000003</v>
      </c>
      <c r="J18" s="180">
        <v>36.26</v>
      </c>
      <c r="K18" s="180">
        <v>44.92</v>
      </c>
      <c r="L18" s="180">
        <v>28.300000000000004</v>
      </c>
      <c r="M18" s="180">
        <v>26.979999999999997</v>
      </c>
      <c r="N18" s="180">
        <v>38.830000000000005</v>
      </c>
      <c r="O18" s="180">
        <v>36.849999999999994</v>
      </c>
      <c r="P18" s="180">
        <v>32.85</v>
      </c>
      <c r="Q18" s="180">
        <v>36.190000000000005</v>
      </c>
      <c r="R18" s="180"/>
      <c r="S18" s="164">
        <v>444.85999999999996</v>
      </c>
      <c r="T18" s="180"/>
      <c r="U18" s="180"/>
      <c r="V18" s="180"/>
      <c r="W18" s="180"/>
      <c r="X18" s="180"/>
      <c r="Y18" s="180"/>
    </row>
    <row r="19" spans="1:25">
      <c r="C19" s="153" t="s">
        <v>268</v>
      </c>
      <c r="E19" s="153" t="s">
        <v>193</v>
      </c>
      <c r="F19" s="180">
        <v>1047.47</v>
      </c>
      <c r="G19" s="180">
        <v>874.80000000000007</v>
      </c>
      <c r="H19" s="180">
        <v>1034.02</v>
      </c>
      <c r="I19" s="180">
        <v>959.42000000000007</v>
      </c>
      <c r="J19" s="180">
        <v>991.21</v>
      </c>
      <c r="K19" s="180">
        <v>1079.76</v>
      </c>
      <c r="L19" s="180">
        <v>965.17000000000019</v>
      </c>
      <c r="M19" s="180">
        <v>1135.8</v>
      </c>
      <c r="N19" s="180">
        <v>1039.53</v>
      </c>
      <c r="O19" s="180">
        <v>1031.54</v>
      </c>
      <c r="P19" s="180">
        <v>1002.7699999999999</v>
      </c>
      <c r="Q19" s="180">
        <v>1038.56</v>
      </c>
      <c r="R19" s="180"/>
      <c r="S19" s="164">
        <v>12200.050000000001</v>
      </c>
      <c r="T19" s="180"/>
      <c r="U19" s="180"/>
      <c r="V19" s="180"/>
      <c r="W19" s="180"/>
      <c r="X19" s="180"/>
      <c r="Y19" s="180"/>
    </row>
    <row r="20" spans="1:25" s="170" customFormat="1" outlineLevel="1">
      <c r="A20" s="167" t="str">
        <f>+A18</f>
        <v>I</v>
      </c>
      <c r="B20" s="167" t="str">
        <f>+B18</f>
        <v>MSW</v>
      </c>
      <c r="C20" s="168"/>
      <c r="D20" s="168"/>
      <c r="E20" s="168" t="str">
        <f>"Total "&amp;E17&amp;" "&amp;B20</f>
        <v>Total Roll-off / Industrial MSW</v>
      </c>
      <c r="F20" s="183">
        <v>1102.82</v>
      </c>
      <c r="G20" s="183">
        <v>904.23</v>
      </c>
      <c r="H20" s="183">
        <v>1076.8999999999999</v>
      </c>
      <c r="I20" s="183">
        <v>995.44</v>
      </c>
      <c r="J20" s="183">
        <v>1027.47</v>
      </c>
      <c r="K20" s="183">
        <v>1124.68</v>
      </c>
      <c r="L20" s="183">
        <v>993.47000000000014</v>
      </c>
      <c r="M20" s="183">
        <v>1162.78</v>
      </c>
      <c r="N20" s="183">
        <v>1078.3599999999999</v>
      </c>
      <c r="O20" s="183">
        <v>1068.3899999999999</v>
      </c>
      <c r="P20" s="183">
        <v>1035.6199999999999</v>
      </c>
      <c r="Q20" s="183">
        <v>1074.75</v>
      </c>
      <c r="R20" s="183"/>
      <c r="S20" s="184">
        <v>12644.91</v>
      </c>
      <c r="T20" s="175"/>
      <c r="U20" s="175"/>
      <c r="V20" s="175"/>
      <c r="W20" s="175"/>
      <c r="X20" s="175"/>
      <c r="Y20" s="175"/>
    </row>
    <row r="21" spans="1:25">
      <c r="A21" s="160" t="str">
        <f>+A20</f>
        <v>I</v>
      </c>
      <c r="B21" s="166" t="s">
        <v>194</v>
      </c>
      <c r="C21" s="160">
        <f>+C18</f>
        <v>20</v>
      </c>
      <c r="D21" s="160">
        <f>+D18</f>
        <v>0</v>
      </c>
      <c r="E21" s="153" t="s">
        <v>204</v>
      </c>
      <c r="F21" s="180">
        <v>2.8100000000000005</v>
      </c>
      <c r="G21" s="180">
        <v>9.16</v>
      </c>
      <c r="H21" s="180">
        <v>10.599999999999998</v>
      </c>
      <c r="I21" s="180">
        <v>5.89</v>
      </c>
      <c r="J21" s="180">
        <v>12.96</v>
      </c>
      <c r="K21" s="180">
        <v>6.6599999999999993</v>
      </c>
      <c r="L21" s="180">
        <v>4.93</v>
      </c>
      <c r="M21" s="180">
        <v>5.3499999999999988</v>
      </c>
      <c r="N21" s="180">
        <v>7.3</v>
      </c>
      <c r="O21" s="180">
        <v>3.88</v>
      </c>
      <c r="P21" s="180">
        <v>12.64</v>
      </c>
      <c r="Q21" s="180">
        <v>4.6400000000000006</v>
      </c>
      <c r="R21" s="180"/>
      <c r="S21" s="164">
        <v>86.82</v>
      </c>
      <c r="T21" s="180"/>
      <c r="U21" s="249"/>
      <c r="V21" s="180"/>
      <c r="W21" s="180"/>
      <c r="X21" s="180"/>
      <c r="Y21" s="180"/>
    </row>
    <row r="22" spans="1:25">
      <c r="C22" s="153" t="s">
        <v>268</v>
      </c>
      <c r="E22" s="153" t="s">
        <v>196</v>
      </c>
      <c r="F22" s="180">
        <v>740.05000000000007</v>
      </c>
      <c r="G22" s="180">
        <v>831.37001999999995</v>
      </c>
      <c r="H22" s="180">
        <v>1029.4499999999998</v>
      </c>
      <c r="I22" s="180">
        <v>1027.0309999999999</v>
      </c>
      <c r="J22" s="180">
        <v>1025.5</v>
      </c>
      <c r="K22" s="180">
        <v>953.6099999999999</v>
      </c>
      <c r="L22" s="180">
        <v>846.31000000000017</v>
      </c>
      <c r="M22" s="180">
        <v>994.0899999999998</v>
      </c>
      <c r="N22" s="180">
        <v>923.7700000000001</v>
      </c>
      <c r="O22" s="180">
        <v>872.51999999999987</v>
      </c>
      <c r="P22" s="180">
        <v>1000.94</v>
      </c>
      <c r="Q22" s="180">
        <v>828.0200000000001</v>
      </c>
      <c r="R22" s="180"/>
      <c r="S22" s="164">
        <v>11072.661020000001</v>
      </c>
      <c r="T22" s="180"/>
      <c r="U22" s="180"/>
      <c r="V22" s="180"/>
      <c r="W22" s="180"/>
      <c r="X22" s="180"/>
      <c r="Y22" s="180"/>
    </row>
    <row r="23" spans="1:25" s="170" customFormat="1" outlineLevel="1">
      <c r="A23" s="167" t="str">
        <f>+A21</f>
        <v>I</v>
      </c>
      <c r="B23" s="171" t="str">
        <f>+B21</f>
        <v>RCY</v>
      </c>
      <c r="C23" s="172" t="s">
        <v>197</v>
      </c>
      <c r="D23" s="168"/>
      <c r="E23" s="168" t="str">
        <f>"Total "&amp;E17&amp;" "&amp;B23</f>
        <v>Total Roll-off / Industrial RCY</v>
      </c>
      <c r="F23" s="183">
        <v>742.86</v>
      </c>
      <c r="G23" s="183">
        <v>840.53001999999992</v>
      </c>
      <c r="H23" s="183">
        <v>1040.0499999999997</v>
      </c>
      <c r="I23" s="183">
        <v>1032.921</v>
      </c>
      <c r="J23" s="183">
        <v>1038.46</v>
      </c>
      <c r="K23" s="183">
        <v>960.26999999999987</v>
      </c>
      <c r="L23" s="183">
        <v>851.24000000000012</v>
      </c>
      <c r="M23" s="183">
        <v>999.43999999999983</v>
      </c>
      <c r="N23" s="183">
        <v>931.07</v>
      </c>
      <c r="O23" s="183">
        <v>876.39999999999986</v>
      </c>
      <c r="P23" s="183">
        <v>1013.58</v>
      </c>
      <c r="Q23" s="183">
        <v>832.66000000000008</v>
      </c>
      <c r="R23" s="183"/>
      <c r="S23" s="184"/>
      <c r="T23" s="175"/>
      <c r="U23" s="175"/>
      <c r="V23" s="175"/>
      <c r="W23" s="175"/>
      <c r="X23" s="175"/>
      <c r="Y23" s="175"/>
    </row>
    <row r="24" spans="1:25" s="217" customFormat="1">
      <c r="A24" s="250">
        <v>6666666</v>
      </c>
      <c r="B24" s="251" t="s">
        <v>198</v>
      </c>
      <c r="E24" s="217" t="s">
        <v>199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  <c r="N24" s="173">
        <v>0</v>
      </c>
      <c r="O24" s="173">
        <v>0</v>
      </c>
      <c r="P24" s="173">
        <v>0</v>
      </c>
      <c r="Q24" s="173">
        <v>0</v>
      </c>
      <c r="R24" s="173"/>
      <c r="S24" s="174">
        <v>0</v>
      </c>
      <c r="T24" s="173"/>
      <c r="U24" s="173"/>
      <c r="V24" s="173"/>
      <c r="W24" s="173"/>
      <c r="X24" s="173"/>
      <c r="Y24" s="173"/>
    </row>
    <row r="25" spans="1:25">
      <c r="A25" s="176"/>
      <c r="B25" s="176"/>
      <c r="C25" s="176"/>
      <c r="D25" s="176"/>
      <c r="E25" s="177" t="str">
        <f>"Total "&amp;E17</f>
        <v>Total Roll-off / Industrial</v>
      </c>
      <c r="F25" s="178">
        <v>1845.6799999999998</v>
      </c>
      <c r="G25" s="178">
        <v>1744.7600200000002</v>
      </c>
      <c r="H25" s="178">
        <v>2116.9499999999998</v>
      </c>
      <c r="I25" s="178">
        <v>2028.3609999999994</v>
      </c>
      <c r="J25" s="178">
        <v>2065.9300000000003</v>
      </c>
      <c r="K25" s="178">
        <v>2084.9499999999998</v>
      </c>
      <c r="L25" s="178">
        <v>1844.7100000000003</v>
      </c>
      <c r="M25" s="178">
        <v>2162.2200000000007</v>
      </c>
      <c r="N25" s="178">
        <v>2009.4299999999998</v>
      </c>
      <c r="O25" s="178">
        <v>1944.79</v>
      </c>
      <c r="P25" s="178">
        <v>2049.1999999999998</v>
      </c>
      <c r="Q25" s="178">
        <v>1907.4100000000003</v>
      </c>
      <c r="R25" s="178"/>
      <c r="S25" s="179">
        <v>23804.391020000003</v>
      </c>
      <c r="T25" s="180"/>
      <c r="U25" s="180"/>
      <c r="V25" s="180"/>
      <c r="W25" s="180"/>
      <c r="X25" s="180"/>
      <c r="Y25" s="180"/>
    </row>
    <row r="26" spans="1:25">
      <c r="C26" s="160"/>
      <c r="D26" s="160"/>
      <c r="E26" s="252" t="s">
        <v>200</v>
      </c>
      <c r="F26" s="253">
        <v>4.7797920409384798E-3</v>
      </c>
      <c r="G26" s="253">
        <v>1.9737122952208974E-2</v>
      </c>
      <c r="H26" s="253">
        <v>-4.5799652489242337E-4</v>
      </c>
      <c r="I26" s="253">
        <v>1.1636234869303541E-2</v>
      </c>
      <c r="J26" s="253">
        <v>2.1506763660764672</v>
      </c>
      <c r="K26" s="253">
        <v>1.8260759147473049E-2</v>
      </c>
      <c r="L26" s="253">
        <v>-1.0173474917769654E-2</v>
      </c>
      <c r="M26" s="253">
        <v>-1.8972178753925428E-3</v>
      </c>
      <c r="N26" s="253">
        <v>1.0408652758292947E-2</v>
      </c>
      <c r="O26" s="253">
        <v>-4.0661023285349929E-3</v>
      </c>
      <c r="P26" s="253">
        <v>-8.3524481480407031E-3</v>
      </c>
      <c r="Q26" s="253">
        <v>-1.6378141163487347E-2</v>
      </c>
      <c r="R26" s="253"/>
      <c r="S26" s="254">
        <v>6.5016241633558902E-2</v>
      </c>
      <c r="T26" s="180"/>
      <c r="U26" s="180"/>
      <c r="V26" s="180"/>
      <c r="W26" s="180"/>
      <c r="X26" s="180"/>
      <c r="Y26" s="180"/>
    </row>
    <row r="27" spans="1:25">
      <c r="C27" s="160"/>
      <c r="D27" s="160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0"/>
      <c r="U27" s="180"/>
      <c r="V27" s="180"/>
      <c r="W27" s="180"/>
      <c r="X27" s="180"/>
      <c r="Y27" s="180"/>
    </row>
    <row r="28" spans="1:25">
      <c r="C28" s="160"/>
      <c r="D28" s="160"/>
      <c r="E28" s="153" t="s">
        <v>201</v>
      </c>
      <c r="F28" s="180">
        <v>55.349999999999994</v>
      </c>
      <c r="G28" s="180">
        <v>29.429999999999996</v>
      </c>
      <c r="H28" s="180">
        <v>42.879999999999988</v>
      </c>
      <c r="I28" s="180">
        <v>36.020000000000003</v>
      </c>
      <c r="J28" s="180">
        <v>36.26</v>
      </c>
      <c r="K28" s="180">
        <v>44.92</v>
      </c>
      <c r="L28" s="180">
        <v>28.300000000000004</v>
      </c>
      <c r="M28" s="180">
        <v>26.979999999999997</v>
      </c>
      <c r="N28" s="180">
        <v>38.830000000000005</v>
      </c>
      <c r="O28" s="180">
        <v>36.849999999999994</v>
      </c>
      <c r="P28" s="180">
        <v>32.85</v>
      </c>
      <c r="Q28" s="180">
        <v>36.190000000000005</v>
      </c>
      <c r="R28" s="180"/>
      <c r="S28" s="164">
        <v>444.85999999999996</v>
      </c>
      <c r="T28" s="180"/>
      <c r="U28" s="180"/>
      <c r="V28" s="180"/>
      <c r="W28" s="180"/>
      <c r="X28" s="180"/>
      <c r="Y28" s="180"/>
    </row>
    <row r="29" spans="1:25">
      <c r="C29" s="160"/>
      <c r="D29" s="160"/>
      <c r="E29" s="153" t="s">
        <v>202</v>
      </c>
      <c r="F29" s="180">
        <v>1731.41</v>
      </c>
      <c r="G29" s="180">
        <v>1664.40002</v>
      </c>
      <c r="H29" s="180">
        <v>1974.8000000000006</v>
      </c>
      <c r="I29" s="180">
        <v>1904.87</v>
      </c>
      <c r="J29" s="180">
        <v>1954.8300000000002</v>
      </c>
      <c r="K29" s="180">
        <v>1933.2</v>
      </c>
      <c r="L29" s="180">
        <v>1746.1200000000001</v>
      </c>
      <c r="M29" s="180">
        <v>2052.39</v>
      </c>
      <c r="N29" s="180">
        <v>1918.38</v>
      </c>
      <c r="O29" s="180">
        <v>1857.4499999999998</v>
      </c>
      <c r="P29" s="180">
        <v>1934.48</v>
      </c>
      <c r="Q29" s="180">
        <v>1785.2499999999998</v>
      </c>
      <c r="R29" s="180"/>
      <c r="S29" s="164">
        <v>22457.580020000001</v>
      </c>
      <c r="T29" s="180"/>
      <c r="U29" s="180"/>
      <c r="V29" s="180"/>
      <c r="W29" s="180"/>
      <c r="X29" s="180"/>
      <c r="Y29" s="180"/>
    </row>
    <row r="30" spans="1:25">
      <c r="A30" s="218" t="str">
        <f>+A18</f>
        <v>I</v>
      </c>
      <c r="C30" s="160"/>
      <c r="D30" s="160"/>
      <c r="E30" s="168" t="str">
        <f>"Total "&amp;E17&amp;" Pass Thru Disp."</f>
        <v>Total Roll-off / Industrial Pass Thru Disp.</v>
      </c>
      <c r="F30" s="183">
        <v>1786.76</v>
      </c>
      <c r="G30" s="183">
        <v>1693.8300200000001</v>
      </c>
      <c r="H30" s="183">
        <v>2017.6800000000005</v>
      </c>
      <c r="I30" s="183">
        <v>1940.8899999999999</v>
      </c>
      <c r="J30" s="183">
        <v>1991.0900000000001</v>
      </c>
      <c r="K30" s="183">
        <v>1978.1200000000001</v>
      </c>
      <c r="L30" s="183">
        <v>1774.42</v>
      </c>
      <c r="M30" s="183">
        <v>2079.37</v>
      </c>
      <c r="N30" s="183">
        <v>1957.21</v>
      </c>
      <c r="O30" s="183">
        <v>1894.2999999999997</v>
      </c>
      <c r="P30" s="183">
        <v>1967.33</v>
      </c>
      <c r="Q30" s="183">
        <v>1821.4399999999998</v>
      </c>
      <c r="R30" s="183"/>
      <c r="S30" s="184">
        <v>22902.440019999998</v>
      </c>
      <c r="T30" s="180"/>
      <c r="U30" s="180"/>
      <c r="V30" s="180"/>
      <c r="W30" s="180"/>
      <c r="X30" s="180"/>
      <c r="Y30" s="180"/>
    </row>
    <row r="31" spans="1:25">
      <c r="C31" s="160"/>
      <c r="D31" s="16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64"/>
      <c r="T31" s="180"/>
      <c r="U31" s="180"/>
      <c r="V31" s="180"/>
      <c r="W31" s="180"/>
      <c r="X31" s="180"/>
      <c r="Y31" s="180"/>
    </row>
    <row r="32" spans="1:25">
      <c r="C32" s="160"/>
      <c r="D32" s="160"/>
      <c r="E32" s="154" t="s">
        <v>15</v>
      </c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64"/>
      <c r="T32" s="180"/>
      <c r="U32" s="219"/>
      <c r="V32" s="180"/>
      <c r="W32" s="180"/>
      <c r="X32" s="180"/>
      <c r="Y32" s="180"/>
    </row>
    <row r="33" spans="1:25">
      <c r="C33" s="160"/>
      <c r="D33" s="220" t="s">
        <v>190</v>
      </c>
      <c r="E33" s="153" t="s">
        <v>191</v>
      </c>
      <c r="F33" s="180">
        <v>66.93125871563862</v>
      </c>
      <c r="G33" s="180">
        <v>62.900477909823046</v>
      </c>
      <c r="H33" s="180">
        <v>69.227971956621516</v>
      </c>
      <c r="I33" s="180">
        <v>57.771838317838004</v>
      </c>
      <c r="J33" s="180">
        <v>69.489653249884839</v>
      </c>
      <c r="K33" s="180">
        <v>64.940688790245389</v>
      </c>
      <c r="L33" s="180">
        <v>46.428830409600891</v>
      </c>
      <c r="M33" s="180">
        <v>59.245669009976481</v>
      </c>
      <c r="N33" s="180">
        <v>68.444549863618434</v>
      </c>
      <c r="O33" s="180">
        <v>68.465758180548093</v>
      </c>
      <c r="P33" s="180">
        <v>69.629592960694055</v>
      </c>
      <c r="Q33" s="180">
        <v>72.179577936926066</v>
      </c>
      <c r="R33" s="180"/>
      <c r="S33" s="164">
        <v>775.65586730141547</v>
      </c>
      <c r="T33" s="180"/>
      <c r="U33" s="223"/>
      <c r="V33" s="180"/>
      <c r="W33" s="180"/>
      <c r="X33" s="180"/>
      <c r="Y33" s="180"/>
    </row>
    <row r="34" spans="1:25">
      <c r="D34" s="220" t="s">
        <v>192</v>
      </c>
      <c r="E34" s="153" t="s">
        <v>193</v>
      </c>
      <c r="F34" s="180">
        <v>1928.486284867392</v>
      </c>
      <c r="G34" s="180">
        <v>1595.9281175611536</v>
      </c>
      <c r="H34" s="180">
        <v>1965.8124191343318</v>
      </c>
      <c r="I34" s="180">
        <v>1734.7740923661447</v>
      </c>
      <c r="J34" s="180">
        <v>1886.5766653767216</v>
      </c>
      <c r="K34" s="180">
        <v>1922.476972181521</v>
      </c>
      <c r="L34" s="180">
        <v>1679.9554172174887</v>
      </c>
      <c r="M34" s="180">
        <v>1941.8046270429943</v>
      </c>
      <c r="N34" s="180">
        <v>1838.7631265027035</v>
      </c>
      <c r="O34" s="180">
        <v>1736.1612034873453</v>
      </c>
      <c r="P34" s="180">
        <v>1893.124931020026</v>
      </c>
      <c r="Q34" s="180">
        <v>1845.5567407667211</v>
      </c>
      <c r="R34" s="180"/>
      <c r="S34" s="164">
        <v>21969.420597524546</v>
      </c>
      <c r="T34" s="180"/>
      <c r="U34" s="224"/>
      <c r="V34" s="180"/>
      <c r="W34" s="180"/>
      <c r="X34" s="180"/>
      <c r="Y34" s="180"/>
    </row>
    <row r="35" spans="1:25" s="170" customFormat="1" outlineLevel="1">
      <c r="A35" s="221" t="s">
        <v>203</v>
      </c>
      <c r="B35" s="221" t="s">
        <v>189</v>
      </c>
      <c r="C35" s="168"/>
      <c r="D35" s="168"/>
      <c r="E35" s="185" t="str">
        <f>"Total "&amp;E32&amp;" "&amp;B35</f>
        <v>Total Commercial MSW</v>
      </c>
      <c r="F35" s="186">
        <v>1949.63</v>
      </c>
      <c r="G35" s="186">
        <v>1609.7600000000002</v>
      </c>
      <c r="H35" s="186">
        <v>1987.6200000000001</v>
      </c>
      <c r="I35" s="186">
        <v>1719.75</v>
      </c>
      <c r="J35" s="186">
        <v>1880.48</v>
      </c>
      <c r="K35" s="186">
        <v>1911.81</v>
      </c>
      <c r="L35" s="186">
        <v>1708.3</v>
      </c>
      <c r="M35" s="186">
        <v>1943.19</v>
      </c>
      <c r="N35" s="186">
        <v>1835.3</v>
      </c>
      <c r="O35" s="186">
        <v>1754.96</v>
      </c>
      <c r="P35" s="186">
        <v>1915.6299999999999</v>
      </c>
      <c r="Q35" s="186">
        <v>1844.9100000000003</v>
      </c>
      <c r="R35" s="186"/>
      <c r="S35" s="169">
        <v>-683.73646482596087</v>
      </c>
      <c r="T35" s="175"/>
      <c r="U35" s="222"/>
      <c r="V35" s="180"/>
      <c r="W35" s="175"/>
      <c r="X35" s="175"/>
      <c r="Y35" s="175"/>
    </row>
    <row r="36" spans="1:25">
      <c r="C36" s="160"/>
      <c r="D36" s="220" t="s">
        <v>190</v>
      </c>
      <c r="E36" s="153" t="s">
        <v>204</v>
      </c>
      <c r="F36" s="180">
        <v>55.832045374974342</v>
      </c>
      <c r="G36" s="180">
        <v>40.196561515461845</v>
      </c>
      <c r="H36" s="180">
        <v>65.21443030767287</v>
      </c>
      <c r="I36" s="180">
        <v>36.411180390770781</v>
      </c>
      <c r="J36" s="180">
        <v>44.219716656655336</v>
      </c>
      <c r="K36" s="180">
        <v>43.345927109851544</v>
      </c>
      <c r="L36" s="180">
        <v>53.620603431070691</v>
      </c>
      <c r="M36" s="180">
        <v>42.573598315921778</v>
      </c>
      <c r="N36" s="180">
        <v>34.242337063286023</v>
      </c>
      <c r="O36" s="180">
        <v>35.210949626572187</v>
      </c>
      <c r="P36" s="180">
        <v>39.250906257823189</v>
      </c>
      <c r="Q36" s="180">
        <v>41.965390963401077</v>
      </c>
      <c r="R36" s="180"/>
      <c r="S36" s="164">
        <v>532.08364701346159</v>
      </c>
      <c r="T36" s="180"/>
      <c r="U36" s="223"/>
      <c r="V36" s="180"/>
      <c r="W36" s="180"/>
      <c r="X36" s="180"/>
      <c r="Y36" s="180"/>
    </row>
    <row r="37" spans="1:25">
      <c r="D37" s="220" t="s">
        <v>192</v>
      </c>
      <c r="E37" s="153" t="s">
        <v>196</v>
      </c>
      <c r="F37" s="180">
        <v>595.16298748951613</v>
      </c>
      <c r="G37" s="180">
        <v>437.17386196555339</v>
      </c>
      <c r="H37" s="180">
        <v>606.63191367402078</v>
      </c>
      <c r="I37" s="180">
        <v>492.68237698880654</v>
      </c>
      <c r="J37" s="180">
        <v>529.5254673967911</v>
      </c>
      <c r="K37" s="180">
        <v>550.94963153678032</v>
      </c>
      <c r="L37" s="180">
        <v>462.63126178411903</v>
      </c>
      <c r="M37" s="180">
        <v>502.07285388447497</v>
      </c>
      <c r="N37" s="180">
        <v>497.38314976996236</v>
      </c>
      <c r="O37" s="180">
        <v>477.84899894697384</v>
      </c>
      <c r="P37" s="180">
        <v>547.76556137147622</v>
      </c>
      <c r="Q37" s="180">
        <v>561.05348178614167</v>
      </c>
      <c r="R37" s="180"/>
      <c r="S37" s="164">
        <v>6260.8815465946154</v>
      </c>
      <c r="T37" s="180"/>
      <c r="U37" s="224"/>
      <c r="V37" s="180"/>
      <c r="W37" s="180"/>
      <c r="X37" s="180"/>
      <c r="Y37" s="180"/>
    </row>
    <row r="38" spans="1:25" s="170" customFormat="1" outlineLevel="1">
      <c r="A38" s="167" t="str">
        <f>+A35</f>
        <v>C</v>
      </c>
      <c r="B38" s="171" t="s">
        <v>194</v>
      </c>
      <c r="C38" s="172" t="s">
        <v>197</v>
      </c>
      <c r="D38" s="225"/>
      <c r="E38" s="185" t="str">
        <f>"Total "&amp;E32&amp;" Recycling"</f>
        <v>Total Commercial Recycling</v>
      </c>
      <c r="F38" s="186">
        <v>613.77</v>
      </c>
      <c r="G38" s="186">
        <v>447.35</v>
      </c>
      <c r="H38" s="186">
        <v>598.45000000000005</v>
      </c>
      <c r="I38" s="186">
        <v>508.33</v>
      </c>
      <c r="J38" s="186">
        <v>550.06000000000006</v>
      </c>
      <c r="K38" s="186">
        <v>546.25</v>
      </c>
      <c r="L38" s="186">
        <v>442.02</v>
      </c>
      <c r="M38" s="186">
        <v>492.22999999999996</v>
      </c>
      <c r="N38" s="186">
        <v>496.48</v>
      </c>
      <c r="O38" s="186">
        <v>489.71000000000004</v>
      </c>
      <c r="P38" s="186">
        <v>538.92999999999995</v>
      </c>
      <c r="Q38" s="186">
        <v>566.42000000000007</v>
      </c>
      <c r="R38" s="186"/>
      <c r="S38" s="169">
        <v>-502.96519360807633</v>
      </c>
      <c r="T38" s="175"/>
      <c r="U38" s="226"/>
      <c r="V38" s="180"/>
      <c r="W38" s="175"/>
      <c r="X38" s="175"/>
      <c r="Y38" s="175"/>
    </row>
    <row r="39" spans="1:25" outlineLevel="1">
      <c r="A39" s="176"/>
      <c r="B39" s="176"/>
      <c r="C39" s="176"/>
      <c r="D39" s="176"/>
      <c r="E39" s="227" t="str">
        <f>"Total "&amp;E32&amp;" per Disposal Report"</f>
        <v>Total Commercial per Disposal Report</v>
      </c>
      <c r="F39" s="228">
        <v>2563.4</v>
      </c>
      <c r="G39" s="228">
        <v>2057.11</v>
      </c>
      <c r="H39" s="228">
        <v>2586.0700000000006</v>
      </c>
      <c r="I39" s="228">
        <v>2228.0800000000004</v>
      </c>
      <c r="J39" s="228">
        <v>2430.5399999999995</v>
      </c>
      <c r="K39" s="228">
        <v>2458.06</v>
      </c>
      <c r="L39" s="228">
        <v>2150.3200000000002</v>
      </c>
      <c r="M39" s="228">
        <v>2435.42</v>
      </c>
      <c r="N39" s="228">
        <v>2331.7800000000002</v>
      </c>
      <c r="O39" s="228">
        <v>2244.67</v>
      </c>
      <c r="P39" s="228">
        <v>2454.559999999999</v>
      </c>
      <c r="Q39" s="228">
        <v>2411.33</v>
      </c>
      <c r="R39" s="228"/>
      <c r="S39" s="229">
        <v>28351.339999999997</v>
      </c>
      <c r="T39" s="180"/>
      <c r="U39" s="230"/>
      <c r="V39" s="180"/>
      <c r="W39" s="180"/>
      <c r="X39" s="180"/>
      <c r="Y39" s="180"/>
    </row>
    <row r="40" spans="1:25">
      <c r="C40" s="160"/>
      <c r="D40" s="160"/>
      <c r="E40" s="153" t="str">
        <f>"Total "&amp;E32</f>
        <v>Total Commercial</v>
      </c>
      <c r="F40" s="193">
        <v>2646.4125764475211</v>
      </c>
      <c r="G40" s="193">
        <v>2136.1990189519915</v>
      </c>
      <c r="H40" s="193">
        <v>2706.8867350726468</v>
      </c>
      <c r="I40" s="193">
        <v>2321.6394880635603</v>
      </c>
      <c r="J40" s="193">
        <v>2529.8115026800529</v>
      </c>
      <c r="K40" s="193">
        <v>2581.7132196183984</v>
      </c>
      <c r="L40" s="193">
        <v>2242.6361128422795</v>
      </c>
      <c r="M40" s="193">
        <v>2545.6967482533673</v>
      </c>
      <c r="N40" s="193">
        <v>2438.8331631995702</v>
      </c>
      <c r="O40" s="193">
        <v>2317.6869102414398</v>
      </c>
      <c r="P40" s="193">
        <v>2549.7709916100193</v>
      </c>
      <c r="Q40" s="193">
        <v>2520.7551914531896</v>
      </c>
      <c r="R40" s="193"/>
      <c r="S40" s="164">
        <v>29538.041658434035</v>
      </c>
      <c r="T40" s="180"/>
      <c r="U40" s="232"/>
      <c r="V40" s="180"/>
      <c r="W40" s="180"/>
      <c r="X40" s="180"/>
      <c r="Y40" s="180"/>
    </row>
    <row r="41" spans="1:25">
      <c r="C41" s="160"/>
      <c r="D41" s="160"/>
      <c r="E41" s="252" t="s">
        <v>200</v>
      </c>
      <c r="F41" s="253">
        <v>3.8509338238938096E-2</v>
      </c>
      <c r="G41" s="253">
        <v>4.0895700347415964E-2</v>
      </c>
      <c r="H41" s="253">
        <v>4.186764035111934E-2</v>
      </c>
      <c r="I41" s="253">
        <v>3.9974685568697543E-2</v>
      </c>
      <c r="J41" s="253">
        <v>3.5255110236306564E-2</v>
      </c>
      <c r="K41" s="253">
        <v>4.9144263046025483E-2</v>
      </c>
      <c r="L41" s="253">
        <v>6.3954926555879643E-2</v>
      </c>
      <c r="M41" s="253">
        <v>5.0477949406556588E-2</v>
      </c>
      <c r="N41" s="253">
        <v>7.097890532213702E-2</v>
      </c>
      <c r="O41" s="253">
        <v>4.0375856357312889E-2</v>
      </c>
      <c r="P41" s="253">
        <v>4.2932167166372492E-2</v>
      </c>
      <c r="Q41" s="253">
        <v>4.7725907010257584E-2</v>
      </c>
      <c r="R41" s="180"/>
      <c r="S41" s="254">
        <v>4.661767216067636E-2</v>
      </c>
      <c r="T41" s="180"/>
      <c r="U41" s="180"/>
      <c r="V41" s="180"/>
      <c r="W41" s="180"/>
      <c r="X41" s="180"/>
      <c r="Y41" s="180"/>
    </row>
    <row r="42" spans="1:25">
      <c r="C42" s="160"/>
      <c r="D42" s="16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2"/>
      <c r="T42" s="180"/>
      <c r="U42" s="180"/>
      <c r="V42" s="180"/>
      <c r="W42" s="180"/>
      <c r="X42" s="180"/>
      <c r="Y42" s="180"/>
    </row>
    <row r="43" spans="1:25">
      <c r="C43" s="160"/>
      <c r="D43" s="160"/>
      <c r="E43" s="154" t="s">
        <v>14</v>
      </c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64"/>
      <c r="T43" s="180"/>
      <c r="U43" s="219"/>
      <c r="V43" s="180"/>
      <c r="W43" s="180"/>
      <c r="X43" s="180"/>
      <c r="Y43" s="180"/>
    </row>
    <row r="44" spans="1:25">
      <c r="C44" s="160"/>
      <c r="D44" s="220" t="s">
        <v>190</v>
      </c>
      <c r="E44" s="153" t="s">
        <v>191</v>
      </c>
      <c r="F44" s="180">
        <v>362.66557506779611</v>
      </c>
      <c r="G44" s="180">
        <v>304.33597833954087</v>
      </c>
      <c r="H44" s="180">
        <v>371.12990053950574</v>
      </c>
      <c r="I44" s="180">
        <v>316.50510461280965</v>
      </c>
      <c r="J44" s="180">
        <v>348.08308147896491</v>
      </c>
      <c r="K44" s="180">
        <v>379.75343782092079</v>
      </c>
      <c r="L44" s="180">
        <v>339.89347621385434</v>
      </c>
      <c r="M44" s="180">
        <v>389.75307892282626</v>
      </c>
      <c r="N44" s="180">
        <v>358.67380781411504</v>
      </c>
      <c r="O44" s="180">
        <v>335.88593339339928</v>
      </c>
      <c r="P44" s="180">
        <v>374.98842443825492</v>
      </c>
      <c r="Q44" s="180">
        <v>316.56689786957162</v>
      </c>
      <c r="R44" s="180"/>
      <c r="S44" s="164">
        <v>4198.2346965115594</v>
      </c>
      <c r="T44" s="180"/>
      <c r="U44" s="231"/>
      <c r="V44" s="180"/>
      <c r="W44" s="180"/>
      <c r="X44" s="180"/>
      <c r="Y44" s="180"/>
    </row>
    <row r="45" spans="1:25">
      <c r="D45" s="220" t="s">
        <v>192</v>
      </c>
      <c r="E45" s="153" t="s">
        <v>193</v>
      </c>
      <c r="F45" s="180">
        <v>1066.2754487726206</v>
      </c>
      <c r="G45" s="180">
        <v>831.80723976691866</v>
      </c>
      <c r="H45" s="180">
        <v>934.53893207265185</v>
      </c>
      <c r="I45" s="180">
        <v>883.08829758192053</v>
      </c>
      <c r="J45" s="180">
        <v>940.47388971405007</v>
      </c>
      <c r="K45" s="180">
        <v>966.07064762658717</v>
      </c>
      <c r="L45" s="180">
        <v>939.15428221880143</v>
      </c>
      <c r="M45" s="180">
        <v>981.23573954337553</v>
      </c>
      <c r="N45" s="180">
        <v>961.22327591527039</v>
      </c>
      <c r="O45" s="180">
        <v>878.60004716888784</v>
      </c>
      <c r="P45" s="180">
        <v>894.22886706735369</v>
      </c>
      <c r="Q45" s="180">
        <v>919.23847523643497</v>
      </c>
      <c r="R45" s="180"/>
      <c r="S45" s="164">
        <v>11195.935142684872</v>
      </c>
      <c r="T45" s="180"/>
      <c r="U45" s="224"/>
      <c r="V45" s="180"/>
      <c r="W45" s="180"/>
      <c r="X45" s="180"/>
      <c r="Y45" s="180"/>
    </row>
    <row r="46" spans="1:25" s="170" customFormat="1" outlineLevel="1">
      <c r="A46" s="166" t="s">
        <v>190</v>
      </c>
      <c r="B46" s="166" t="s">
        <v>189</v>
      </c>
      <c r="C46" s="168"/>
      <c r="D46" s="225"/>
      <c r="E46" s="185" t="str">
        <f>"Total "&amp;E43&amp;" "&amp;B46</f>
        <v>Total Residential MSW</v>
      </c>
      <c r="F46" s="186">
        <v>1635.88</v>
      </c>
      <c r="G46" s="186">
        <v>1214.7300000000002</v>
      </c>
      <c r="H46" s="186">
        <v>1409.7200000000003</v>
      </c>
      <c r="I46" s="186">
        <v>1273.0999999999999</v>
      </c>
      <c r="J46" s="186">
        <v>1358.23</v>
      </c>
      <c r="K46" s="186">
        <v>1418.59</v>
      </c>
      <c r="L46" s="186">
        <v>1322.92</v>
      </c>
      <c r="M46" s="186">
        <v>1470.4799999999998</v>
      </c>
      <c r="N46" s="186">
        <v>1396.2499999999998</v>
      </c>
      <c r="O46" s="186">
        <v>1301.8499999999999</v>
      </c>
      <c r="P46" s="186">
        <v>1354.08</v>
      </c>
      <c r="Q46" s="186">
        <v>1338.7800000000002</v>
      </c>
      <c r="R46" s="186"/>
      <c r="S46" s="169">
        <v>1100.4401608035696</v>
      </c>
      <c r="T46" s="175"/>
      <c r="U46" s="222"/>
      <c r="V46" s="175"/>
      <c r="W46" s="175"/>
      <c r="X46" s="175"/>
      <c r="Y46" s="175"/>
    </row>
    <row r="47" spans="1:25">
      <c r="C47" s="160"/>
      <c r="D47" s="220" t="s">
        <v>190</v>
      </c>
      <c r="E47" s="153" t="s">
        <v>205</v>
      </c>
      <c r="F47" s="180">
        <v>87.511452457677223</v>
      </c>
      <c r="G47" s="180">
        <v>95.387434029018266</v>
      </c>
      <c r="H47" s="180">
        <v>119.38015729430589</v>
      </c>
      <c r="I47" s="180">
        <v>178.30868674680607</v>
      </c>
      <c r="J47" s="180">
        <v>257.72312303716916</v>
      </c>
      <c r="K47" s="180">
        <v>348.72042955753022</v>
      </c>
      <c r="L47" s="180">
        <v>187.80480421874014</v>
      </c>
      <c r="M47" s="180">
        <v>134.65988912476621</v>
      </c>
      <c r="N47" s="180">
        <v>114.85537615995676</v>
      </c>
      <c r="O47" s="180">
        <v>114.88692364351832</v>
      </c>
      <c r="P47" s="180">
        <v>176.18874405868257</v>
      </c>
      <c r="Q47" s="180">
        <v>116.32562818751975</v>
      </c>
      <c r="R47" s="180"/>
      <c r="S47" s="164">
        <v>1931.7526485156905</v>
      </c>
      <c r="T47" s="180"/>
      <c r="U47" s="223"/>
      <c r="V47" s="180"/>
      <c r="W47" s="180"/>
      <c r="X47" s="180"/>
      <c r="Y47" s="180"/>
    </row>
    <row r="48" spans="1:25">
      <c r="D48" s="220" t="s">
        <v>192</v>
      </c>
      <c r="E48" s="153" t="s">
        <v>206</v>
      </c>
      <c r="F48" s="180">
        <v>749.48438588318766</v>
      </c>
      <c r="G48" s="180">
        <v>714.81770555280286</v>
      </c>
      <c r="H48" s="180">
        <v>1063.6945514964289</v>
      </c>
      <c r="I48" s="180">
        <v>1412.0977017315859</v>
      </c>
      <c r="J48" s="180">
        <v>1829.1338267605618</v>
      </c>
      <c r="K48" s="180">
        <v>2040.816627147542</v>
      </c>
      <c r="L48" s="180">
        <v>1420.9585398708257</v>
      </c>
      <c r="M48" s="180">
        <v>1119.825434580451</v>
      </c>
      <c r="N48" s="180">
        <v>1023.9098897363693</v>
      </c>
      <c r="O48" s="180">
        <v>873.29535247563047</v>
      </c>
      <c r="P48" s="180">
        <v>1254.2070370373774</v>
      </c>
      <c r="Q48" s="180">
        <v>925.4165551493727</v>
      </c>
      <c r="R48" s="180"/>
      <c r="S48" s="164">
        <v>14427.657607422136</v>
      </c>
      <c r="T48" s="180"/>
      <c r="U48" s="224"/>
      <c r="V48" s="180"/>
      <c r="W48" s="180"/>
      <c r="X48" s="180"/>
      <c r="Y48" s="180"/>
    </row>
    <row r="49" spans="1:25" s="170" customFormat="1" outlineLevel="1">
      <c r="A49" s="167" t="str">
        <f>+A46</f>
        <v>R</v>
      </c>
      <c r="B49" s="167" t="s">
        <v>197</v>
      </c>
      <c r="C49" s="168"/>
      <c r="D49" s="225"/>
      <c r="E49" s="185" t="str">
        <f>"Total "&amp;E43&amp;" "&amp;B49</f>
        <v>Total Residential YW</v>
      </c>
      <c r="F49" s="186">
        <v>773.58999999999992</v>
      </c>
      <c r="G49" s="186">
        <v>792.08</v>
      </c>
      <c r="H49" s="186">
        <v>1157.4400000000003</v>
      </c>
      <c r="I49" s="186">
        <v>1589.8699999999997</v>
      </c>
      <c r="J49" s="186">
        <v>2079.09</v>
      </c>
      <c r="K49" s="186">
        <v>2393.0800000000004</v>
      </c>
      <c r="L49" s="186">
        <v>1604.1599999999999</v>
      </c>
      <c r="M49" s="186">
        <v>1231.0399999999997</v>
      </c>
      <c r="N49" s="186">
        <v>1134.45</v>
      </c>
      <c r="O49" s="186">
        <v>975.02</v>
      </c>
      <c r="P49" s="186">
        <v>1398.8000000000002</v>
      </c>
      <c r="Q49" s="186">
        <v>1016.92</v>
      </c>
      <c r="R49" s="186"/>
      <c r="S49" s="169">
        <v>-213.87025593782346</v>
      </c>
      <c r="T49" s="175"/>
      <c r="U49" s="222"/>
      <c r="V49" s="175"/>
      <c r="W49" s="175"/>
      <c r="X49" s="175"/>
      <c r="Y49" s="175"/>
    </row>
    <row r="50" spans="1:25">
      <c r="C50" s="160"/>
      <c r="D50" s="220" t="s">
        <v>190</v>
      </c>
      <c r="E50" s="153" t="s">
        <v>195</v>
      </c>
      <c r="F50" s="180">
        <v>147.68091327561035</v>
      </c>
      <c r="G50" s="180">
        <v>109.56410772651866</v>
      </c>
      <c r="H50" s="180">
        <v>167.13247593279772</v>
      </c>
      <c r="I50" s="180">
        <v>114.0079356974488</v>
      </c>
      <c r="J50" s="180">
        <v>113.75939923295061</v>
      </c>
      <c r="K50" s="180">
        <v>100.63664990778705</v>
      </c>
      <c r="L50" s="180">
        <v>121.71246011785195</v>
      </c>
      <c r="M50" s="180">
        <v>145.39171682585646</v>
      </c>
      <c r="N50" s="180">
        <v>134.28989654256071</v>
      </c>
      <c r="O50" s="180">
        <v>106.72697190953039</v>
      </c>
      <c r="P50" s="180">
        <v>105.1155456236787</v>
      </c>
      <c r="Q50" s="180">
        <v>83.254951818818341</v>
      </c>
      <c r="R50" s="180"/>
      <c r="S50" s="164">
        <v>1449.2730246114097</v>
      </c>
      <c r="T50" s="180"/>
      <c r="U50" s="223"/>
      <c r="V50" s="180"/>
      <c r="W50" s="180"/>
      <c r="X50" s="180"/>
      <c r="Y50" s="180"/>
    </row>
    <row r="51" spans="1:25">
      <c r="D51" s="220" t="s">
        <v>192</v>
      </c>
      <c r="E51" s="153" t="s">
        <v>207</v>
      </c>
      <c r="F51" s="180">
        <v>786.05433553629882</v>
      </c>
      <c r="G51" s="180">
        <v>603.12025009639137</v>
      </c>
      <c r="H51" s="180">
        <v>680.8030092068733</v>
      </c>
      <c r="I51" s="180">
        <v>597.0811704379247</v>
      </c>
      <c r="J51" s="180">
        <v>630.52244549014472</v>
      </c>
      <c r="K51" s="180">
        <v>646.27832034243613</v>
      </c>
      <c r="L51" s="180">
        <v>596.29957831976583</v>
      </c>
      <c r="M51" s="180">
        <v>615.55026701590702</v>
      </c>
      <c r="N51" s="180">
        <v>594.60282144502344</v>
      </c>
      <c r="O51" s="180">
        <v>552.05771272628681</v>
      </c>
      <c r="P51" s="180">
        <v>620.2095532151659</v>
      </c>
      <c r="Q51" s="180">
        <v>638.6714916685147</v>
      </c>
      <c r="R51" s="180"/>
      <c r="S51" s="164">
        <v>7561.2509555007327</v>
      </c>
      <c r="T51" s="180"/>
      <c r="U51" s="224"/>
      <c r="V51" s="180"/>
      <c r="W51" s="180"/>
      <c r="X51" s="180"/>
      <c r="Y51" s="180"/>
    </row>
    <row r="52" spans="1:25" s="170" customFormat="1" outlineLevel="1">
      <c r="A52" s="167" t="str">
        <f>+A49</f>
        <v>R</v>
      </c>
      <c r="B52" s="167" t="s">
        <v>194</v>
      </c>
      <c r="C52" s="168"/>
      <c r="D52" s="225"/>
      <c r="E52" s="185" t="str">
        <f>"Total "&amp;E43&amp;" "&amp;B50</f>
        <v xml:space="preserve">Total Residential </v>
      </c>
      <c r="F52" s="186">
        <v>910.83999999999992</v>
      </c>
      <c r="G52" s="186">
        <v>724.86</v>
      </c>
      <c r="H52" s="186">
        <v>876.77</v>
      </c>
      <c r="I52" s="186">
        <v>726.43</v>
      </c>
      <c r="J52" s="186">
        <v>752.7700000000001</v>
      </c>
      <c r="K52" s="186">
        <v>772.07</v>
      </c>
      <c r="L52" s="186">
        <v>743.74999999999977</v>
      </c>
      <c r="M52" s="186">
        <v>789.84</v>
      </c>
      <c r="N52" s="186">
        <v>767.09</v>
      </c>
      <c r="O52" s="186">
        <v>667.29</v>
      </c>
      <c r="P52" s="186">
        <v>762.43000000000006</v>
      </c>
      <c r="Q52" s="186">
        <v>755.5200000000001</v>
      </c>
      <c r="R52" s="186"/>
      <c r="S52" s="169">
        <v>239.1360198878574</v>
      </c>
      <c r="T52" s="175"/>
      <c r="U52" s="226"/>
      <c r="V52" s="175"/>
      <c r="W52" s="175"/>
      <c r="X52" s="175"/>
      <c r="Y52" s="175"/>
    </row>
    <row r="53" spans="1:25" outlineLevel="1">
      <c r="A53" s="176"/>
      <c r="B53" s="176"/>
      <c r="C53" s="176"/>
      <c r="D53" s="176"/>
      <c r="E53" s="227" t="str">
        <f>"Total "&amp;E43&amp;" per Disposal Report"</f>
        <v>Total Residential per Disposal Report</v>
      </c>
      <c r="F53" s="228">
        <v>3320.3100000000013</v>
      </c>
      <c r="G53" s="228">
        <v>2731.67</v>
      </c>
      <c r="H53" s="228">
        <v>3443.9299999999994</v>
      </c>
      <c r="I53" s="228">
        <v>3589.4</v>
      </c>
      <c r="J53" s="228">
        <v>4190.09</v>
      </c>
      <c r="K53" s="228">
        <v>4583.74</v>
      </c>
      <c r="L53" s="228">
        <v>3670.83</v>
      </c>
      <c r="M53" s="228">
        <v>3491.3599999999997</v>
      </c>
      <c r="N53" s="228">
        <v>3297.7900000000009</v>
      </c>
      <c r="O53" s="228">
        <v>2944.1599999999994</v>
      </c>
      <c r="P53" s="228">
        <v>3515.3100000000018</v>
      </c>
      <c r="Q53" s="228">
        <v>3111.22</v>
      </c>
      <c r="R53" s="228"/>
      <c r="S53" s="229">
        <v>41889.810000000005</v>
      </c>
      <c r="T53" s="180"/>
      <c r="U53" s="230"/>
      <c r="V53" s="180"/>
      <c r="W53" s="180"/>
      <c r="X53" s="180"/>
      <c r="Y53" s="180"/>
    </row>
    <row r="54" spans="1:25">
      <c r="C54" s="160"/>
      <c r="D54" s="160"/>
      <c r="E54" s="153" t="str">
        <f>"Total "&amp;E43</f>
        <v>Total Residential</v>
      </c>
      <c r="F54" s="193">
        <v>3199.6721109931905</v>
      </c>
      <c r="G54" s="193">
        <v>2659.0327155111909</v>
      </c>
      <c r="H54" s="193">
        <v>3336.6790265425634</v>
      </c>
      <c r="I54" s="193">
        <v>3501.0888968084955</v>
      </c>
      <c r="J54" s="193">
        <v>4119.6957657138419</v>
      </c>
      <c r="K54" s="193">
        <v>4482.2761124028038</v>
      </c>
      <c r="L54" s="193">
        <v>3605.8231409598393</v>
      </c>
      <c r="M54" s="193">
        <v>3386.4161260131823</v>
      </c>
      <c r="N54" s="193">
        <v>3187.5550676132957</v>
      </c>
      <c r="O54" s="193">
        <v>2861.4529413172527</v>
      </c>
      <c r="P54" s="193">
        <v>3424.9381714405126</v>
      </c>
      <c r="Q54" s="193">
        <v>2999.4739999302319</v>
      </c>
      <c r="R54" s="193"/>
      <c r="S54" s="164">
        <v>40764.104075246403</v>
      </c>
      <c r="T54" s="180"/>
      <c r="U54" s="232"/>
      <c r="V54" s="180"/>
      <c r="W54" s="180"/>
      <c r="X54" s="180"/>
      <c r="Y54" s="180"/>
    </row>
    <row r="55" spans="1:25">
      <c r="C55" s="160"/>
      <c r="D55" s="160"/>
      <c r="E55" s="252" t="s">
        <v>200</v>
      </c>
      <c r="F55" s="253">
        <v>-3.9050932218160694E-2</v>
      </c>
      <c r="G55" s="253">
        <v>-3.4111635011590979E-2</v>
      </c>
      <c r="H55" s="253">
        <v>-2.3383385517474209E-2</v>
      </c>
      <c r="I55" s="253">
        <v>-4.7221489016983087E-3</v>
      </c>
      <c r="J55" s="253">
        <v>-8.2891566431859687E-3</v>
      </c>
      <c r="K55" s="253">
        <v>-8.6048083901097971E-3</v>
      </c>
      <c r="L55" s="253">
        <v>-1.5313596504590854E-2</v>
      </c>
      <c r="M55" s="253">
        <v>-1.2959903577746235E-2</v>
      </c>
      <c r="N55" s="253">
        <v>-1.3962035452426247E-2</v>
      </c>
      <c r="O55" s="253">
        <v>-1.26588290016173E-2</v>
      </c>
      <c r="P55" s="253">
        <v>-1.0813899271451266E-2</v>
      </c>
      <c r="Q55" s="253">
        <v>-1.9632363057769497E-2</v>
      </c>
      <c r="R55" s="180"/>
      <c r="S55" s="253">
        <v>-1.6256817147494607E-2</v>
      </c>
      <c r="T55" s="180"/>
      <c r="U55" s="180"/>
      <c r="V55" s="180"/>
      <c r="W55" s="180"/>
      <c r="X55" s="180"/>
      <c r="Y55" s="180"/>
    </row>
    <row r="56" spans="1:25">
      <c r="C56" s="160"/>
      <c r="D56" s="16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64"/>
      <c r="T56" s="180"/>
      <c r="U56" s="180"/>
      <c r="V56" s="180"/>
      <c r="W56" s="180"/>
      <c r="X56" s="180"/>
      <c r="Y56" s="180"/>
    </row>
    <row r="57" spans="1:25">
      <c r="C57" s="160"/>
      <c r="D57" s="160"/>
      <c r="E57" s="187" t="s">
        <v>208</v>
      </c>
      <c r="F57" s="180">
        <v>4527.178567423447</v>
      </c>
      <c r="G57" s="180">
        <v>3699.201813577436</v>
      </c>
      <c r="H57" s="180">
        <v>4417.6092237031107</v>
      </c>
      <c r="I57" s="180">
        <v>3987.5793328787126</v>
      </c>
      <c r="J57" s="180">
        <v>4272.0932898196224</v>
      </c>
      <c r="K57" s="180">
        <v>4457.9217464192743</v>
      </c>
      <c r="L57" s="180">
        <v>3998.902006059745</v>
      </c>
      <c r="M57" s="180">
        <v>4534.8191145191722</v>
      </c>
      <c r="N57" s="180">
        <v>4305.4647600957078</v>
      </c>
      <c r="O57" s="180">
        <v>4087.5029422301805</v>
      </c>
      <c r="P57" s="180">
        <v>4267.5918154863284</v>
      </c>
      <c r="Q57" s="180">
        <v>4228.2916918096535</v>
      </c>
      <c r="R57" s="180"/>
      <c r="S57" s="164">
        <v>50784.156304022392</v>
      </c>
      <c r="T57" s="180"/>
      <c r="U57" s="180"/>
      <c r="V57" s="180"/>
      <c r="W57" s="180"/>
      <c r="X57" s="180"/>
      <c r="Y57" s="180"/>
    </row>
    <row r="58" spans="1:25" outlineLevel="1">
      <c r="C58" s="160"/>
      <c r="D58" s="160"/>
      <c r="E58" s="255" t="s">
        <v>200</v>
      </c>
      <c r="F58" s="253">
        <v>-3.6469157923127771E-2</v>
      </c>
      <c r="G58" s="253">
        <v>-1.3204093798533934E-2</v>
      </c>
      <c r="H58" s="253">
        <v>-2.2894941142214575E-2</v>
      </c>
      <c r="I58" s="253">
        <v>-7.2894417832056746E-3</v>
      </c>
      <c r="J58" s="253">
        <v>0.31145171028958218</v>
      </c>
      <c r="K58" s="253">
        <v>-1.3919562378916783E-2</v>
      </c>
      <c r="L58" s="253">
        <v>-1.6151355977969239E-2</v>
      </c>
      <c r="M58" s="253">
        <v>-1.0683492367850378E-2</v>
      </c>
      <c r="N58" s="253">
        <v>1.3570377208522721E-3</v>
      </c>
      <c r="O58" s="253">
        <v>-7.022395186538577E-3</v>
      </c>
      <c r="P58" s="253">
        <v>-1.2600082024426307E-2</v>
      </c>
      <c r="Q58" s="253">
        <v>-1.1698067051787997E-2</v>
      </c>
      <c r="R58" s="253"/>
      <c r="S58" s="253">
        <v>7.0554803690303647E-3</v>
      </c>
      <c r="T58" s="180"/>
      <c r="U58" s="180"/>
      <c r="V58" s="180"/>
      <c r="W58" s="180"/>
      <c r="X58" s="180"/>
      <c r="Y58" s="180"/>
    </row>
    <row r="59" spans="1:25">
      <c r="C59" s="160"/>
      <c r="D59" s="160"/>
      <c r="E59" s="187" t="s">
        <v>209</v>
      </c>
      <c r="F59" s="180">
        <v>2327.5902816763996</v>
      </c>
      <c r="G59" s="180">
        <v>2030.5848013039251</v>
      </c>
      <c r="H59" s="180">
        <v>2559.8318291213645</v>
      </c>
      <c r="I59" s="180">
        <v>2273.1036635149508</v>
      </c>
      <c r="J59" s="180">
        <v>2356.4870287765416</v>
      </c>
      <c r="K59" s="180">
        <v>2301.480528896855</v>
      </c>
      <c r="L59" s="180">
        <v>2085.5039036528074</v>
      </c>
      <c r="M59" s="180">
        <v>2305.0284360421601</v>
      </c>
      <c r="N59" s="180">
        <v>2191.5882048208323</v>
      </c>
      <c r="O59" s="180">
        <v>2048.2446332093632</v>
      </c>
      <c r="P59" s="180">
        <v>2325.9215664681442</v>
      </c>
      <c r="Q59" s="180">
        <v>2157.6053162368758</v>
      </c>
      <c r="R59" s="180"/>
      <c r="S59" s="164">
        <v>26962.970193720219</v>
      </c>
      <c r="T59" s="180"/>
      <c r="U59" s="180"/>
      <c r="V59" s="180"/>
      <c r="W59" s="180"/>
      <c r="X59" s="180"/>
      <c r="Y59" s="180"/>
    </row>
    <row r="60" spans="1:25">
      <c r="C60" s="160"/>
      <c r="D60" s="160"/>
      <c r="E60" s="187" t="s">
        <v>210</v>
      </c>
      <c r="F60" s="180">
        <v>836.99583834086491</v>
      </c>
      <c r="G60" s="180">
        <v>810.20513958182119</v>
      </c>
      <c r="H60" s="180">
        <v>1183.0747087907348</v>
      </c>
      <c r="I60" s="180">
        <v>1590.4063884783918</v>
      </c>
      <c r="J60" s="180">
        <v>2086.856949797731</v>
      </c>
      <c r="K60" s="180">
        <v>2389.5370567050722</v>
      </c>
      <c r="L60" s="180">
        <v>1608.7633440895659</v>
      </c>
      <c r="M60" s="180">
        <v>1254.4853237052171</v>
      </c>
      <c r="N60" s="180">
        <v>1138.7652658963261</v>
      </c>
      <c r="O60" s="180">
        <v>988.18227611914881</v>
      </c>
      <c r="P60" s="180">
        <v>1430.3957810960601</v>
      </c>
      <c r="Q60" s="180">
        <v>1041.7421833368924</v>
      </c>
      <c r="R60" s="180"/>
      <c r="S60" s="164">
        <v>16359.410255937826</v>
      </c>
      <c r="T60" s="180"/>
      <c r="U60" s="181"/>
      <c r="V60" s="180"/>
      <c r="W60" s="180"/>
      <c r="X60" s="180"/>
      <c r="Y60" s="180"/>
    </row>
    <row r="61" spans="1:25" outlineLevel="1">
      <c r="C61" s="160"/>
      <c r="D61" s="160"/>
      <c r="E61" s="255" t="s">
        <v>200</v>
      </c>
      <c r="F61" s="253">
        <v>4.9144204093445332E-2</v>
      </c>
      <c r="G61" s="253">
        <v>2.6482363463684377E-2</v>
      </c>
      <c r="H61" s="253">
        <v>3.6391323754277893E-2</v>
      </c>
      <c r="I61" s="253">
        <v>3.3502141898082094E-2</v>
      </c>
      <c r="J61" s="253">
        <v>0.11195629060635381</v>
      </c>
      <c r="K61" s="253">
        <v>4.0443764037271901E-2</v>
      </c>
      <c r="L61" s="253">
        <v>3.5142202037735659E-2</v>
      </c>
      <c r="M61" s="253">
        <v>3.5708832878173391E-2</v>
      </c>
      <c r="N61" s="253">
        <v>4.1064045438453656E-2</v>
      </c>
      <c r="O61" s="253">
        <v>2.5058034342215985E-2</v>
      </c>
      <c r="P61" s="253">
        <v>2.8677113474697036E-2</v>
      </c>
      <c r="Q61" s="253">
        <v>2.3365479823998836E-2</v>
      </c>
      <c r="R61" s="253"/>
      <c r="S61" s="253">
        <v>4.1829875298903474E-2</v>
      </c>
      <c r="T61" s="180"/>
      <c r="U61" s="180"/>
      <c r="V61" s="180"/>
      <c r="W61" s="180"/>
      <c r="X61" s="180"/>
      <c r="Y61" s="180"/>
    </row>
    <row r="62" spans="1:25">
      <c r="C62" s="160"/>
      <c r="D62" s="160"/>
      <c r="E62" s="188" t="s">
        <v>211</v>
      </c>
      <c r="F62" s="178">
        <v>7691.764687440711</v>
      </c>
      <c r="G62" s="178">
        <v>6539.9917544631826</v>
      </c>
      <c r="H62" s="178">
        <v>8160.5157616152101</v>
      </c>
      <c r="I62" s="178">
        <v>7851.0893848720552</v>
      </c>
      <c r="J62" s="178">
        <v>8715.4372683938946</v>
      </c>
      <c r="K62" s="178">
        <v>9148.9393320212021</v>
      </c>
      <c r="L62" s="178">
        <v>7693.169253802118</v>
      </c>
      <c r="M62" s="178">
        <v>8094.332874266549</v>
      </c>
      <c r="N62" s="178">
        <v>7635.8182308128662</v>
      </c>
      <c r="O62" s="178">
        <v>7123.9298515586925</v>
      </c>
      <c r="P62" s="178">
        <v>8023.9091630505327</v>
      </c>
      <c r="Q62" s="178">
        <v>7427.6391913834223</v>
      </c>
      <c r="R62" s="178"/>
      <c r="S62" s="179">
        <v>94106.536753680426</v>
      </c>
      <c r="T62" s="180"/>
      <c r="U62" s="180"/>
      <c r="V62" s="180"/>
      <c r="W62" s="180"/>
      <c r="X62" s="180"/>
      <c r="Y62" s="180"/>
    </row>
    <row r="63" spans="1:25">
      <c r="C63" s="160"/>
      <c r="D63" s="160"/>
      <c r="E63" s="255" t="s">
        <v>200</v>
      </c>
      <c r="F63" s="253">
        <v>-2.9961985875723851E-3</v>
      </c>
      <c r="G63" s="253">
        <v>3.6511700781409751E-3</v>
      </c>
      <c r="H63" s="253">
        <v>3.432575266853144E-3</v>
      </c>
      <c r="I63" s="253">
        <v>1.2373665544234136E-2</v>
      </c>
      <c r="J63" s="253">
        <v>0.20154922015494514</v>
      </c>
      <c r="K63" s="253">
        <v>1.3225435241430494E-2</v>
      </c>
      <c r="L63" s="253">
        <v>7.8299648652131459E-3</v>
      </c>
      <c r="M63" s="253">
        <v>9.1954539779603994E-3</v>
      </c>
      <c r="N63" s="253">
        <v>1.8296463991090084E-2</v>
      </c>
      <c r="O63" s="253">
        <v>6.4023659388907639E-3</v>
      </c>
      <c r="P63" s="253">
        <v>6.3031564027180575E-3</v>
      </c>
      <c r="Q63" s="253">
        <v>3.1060512575118437E-3</v>
      </c>
      <c r="R63" s="180"/>
      <c r="S63" s="253">
        <v>2.2771182132465873E-2</v>
      </c>
      <c r="T63" s="180"/>
      <c r="U63" s="180"/>
      <c r="V63" s="180"/>
      <c r="W63" s="180"/>
      <c r="X63" s="180"/>
      <c r="Y63" s="180"/>
    </row>
    <row r="64" spans="1:25">
      <c r="C64" s="160"/>
      <c r="D64" s="16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2"/>
      <c r="T64" s="180"/>
      <c r="U64" s="180"/>
      <c r="V64" s="180"/>
      <c r="W64" s="180"/>
      <c r="X64" s="180"/>
      <c r="Y64" s="180"/>
    </row>
    <row r="65" spans="3:25" ht="15" thickBot="1">
      <c r="C65" s="160"/>
      <c r="D65" s="160"/>
      <c r="E65" s="161" t="s">
        <v>212</v>
      </c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1"/>
    </row>
    <row r="66" spans="3:25">
      <c r="C66" s="160"/>
      <c r="D66" s="16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2"/>
      <c r="T66" s="180"/>
      <c r="U66" s="180"/>
      <c r="V66" s="180"/>
      <c r="W66" s="180"/>
      <c r="X66" s="180"/>
      <c r="Y66" s="180"/>
    </row>
    <row r="67" spans="3:25">
      <c r="C67" s="160"/>
      <c r="D67" s="160"/>
      <c r="E67" s="154" t="str">
        <f>+E17</f>
        <v>Roll-off / Industrial</v>
      </c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2"/>
      <c r="T67" s="180"/>
      <c r="U67" s="180"/>
      <c r="V67" s="180"/>
      <c r="W67" s="180"/>
      <c r="X67" s="180"/>
      <c r="Y67" s="180"/>
    </row>
    <row r="68" spans="3:25">
      <c r="C68" s="160"/>
      <c r="D68" s="160"/>
      <c r="E68" s="153" t="str">
        <f>+E18</f>
        <v>Regulated Garbage</v>
      </c>
      <c r="F68" s="189">
        <v>154.02000000000001</v>
      </c>
      <c r="G68" s="256">
        <v>154.02000000000001</v>
      </c>
      <c r="H68" s="256">
        <v>154.02000000000001</v>
      </c>
      <c r="I68" s="256">
        <v>154.02000000000001</v>
      </c>
      <c r="J68" s="256">
        <v>154.02000000000001</v>
      </c>
      <c r="K68" s="256">
        <v>154.02000000000001</v>
      </c>
      <c r="L68" s="256">
        <v>154.02000000000001</v>
      </c>
      <c r="M68" s="256">
        <v>154.02000000000001</v>
      </c>
      <c r="N68" s="256">
        <v>154.02000000000001</v>
      </c>
      <c r="O68" s="256">
        <v>154.02000000000001</v>
      </c>
      <c r="P68" s="256">
        <v>154.02000000000001</v>
      </c>
      <c r="Q68" s="256">
        <v>154.02000000000001</v>
      </c>
      <c r="R68" s="256"/>
      <c r="S68" s="257"/>
      <c r="T68" s="180"/>
      <c r="U68" s="180"/>
      <c r="V68" s="180"/>
      <c r="W68" s="180"/>
      <c r="X68" s="180"/>
      <c r="Y68" s="180"/>
    </row>
    <row r="69" spans="3:25">
      <c r="C69" s="160"/>
      <c r="D69" s="160"/>
      <c r="E69" s="153" t="str">
        <f>+E19</f>
        <v>Unregulated Garbage</v>
      </c>
      <c r="F69" s="256">
        <v>154.02000000000001</v>
      </c>
      <c r="G69" s="256">
        <v>154.02000000000001</v>
      </c>
      <c r="H69" s="256">
        <v>154.02000000000001</v>
      </c>
      <c r="I69" s="256">
        <v>154.02000000000001</v>
      </c>
      <c r="J69" s="256">
        <v>154.02000000000001</v>
      </c>
      <c r="K69" s="256">
        <v>154.02000000000001</v>
      </c>
      <c r="L69" s="256">
        <v>154.02000000000001</v>
      </c>
      <c r="M69" s="256">
        <v>154.02000000000001</v>
      </c>
      <c r="N69" s="256">
        <v>154.02000000000001</v>
      </c>
      <c r="O69" s="256">
        <v>154.02000000000001</v>
      </c>
      <c r="P69" s="256">
        <v>154.02000000000001</v>
      </c>
      <c r="Q69" s="256">
        <v>154.02000000000001</v>
      </c>
      <c r="R69" s="256"/>
      <c r="S69" s="257"/>
      <c r="T69" s="180"/>
      <c r="U69" s="180"/>
      <c r="V69" s="180"/>
      <c r="W69" s="180"/>
      <c r="X69" s="180"/>
      <c r="Y69" s="180"/>
    </row>
    <row r="70" spans="3:25">
      <c r="C70" s="160"/>
      <c r="D70" s="160"/>
      <c r="E70" s="153" t="str">
        <f>+E21</f>
        <v>Regulated RCY (MF)</v>
      </c>
      <c r="F70" s="189">
        <v>116.77</v>
      </c>
      <c r="G70" s="256">
        <v>116.77</v>
      </c>
      <c r="H70" s="256">
        <v>116.77</v>
      </c>
      <c r="I70" s="256">
        <v>116.77</v>
      </c>
      <c r="J70" s="256">
        <v>116.77</v>
      </c>
      <c r="K70" s="256">
        <v>116.77</v>
      </c>
      <c r="L70" s="256">
        <v>116.77</v>
      </c>
      <c r="M70" s="256">
        <v>116.77</v>
      </c>
      <c r="N70" s="256">
        <v>116.77</v>
      </c>
      <c r="O70" s="256">
        <v>116.77</v>
      </c>
      <c r="P70" s="256">
        <v>116.77</v>
      </c>
      <c r="Q70" s="256">
        <v>116.77</v>
      </c>
      <c r="R70" s="256"/>
      <c r="S70" s="257"/>
      <c r="T70" s="180"/>
      <c r="U70" s="180"/>
      <c r="V70" s="180"/>
      <c r="W70" s="180"/>
      <c r="X70" s="180"/>
      <c r="Y70" s="180"/>
    </row>
    <row r="71" spans="3:25">
      <c r="C71" s="160"/>
      <c r="D71" s="160"/>
      <c r="E71" s="153" t="str">
        <f>+E22</f>
        <v>Unregulated RCY / COGS</v>
      </c>
      <c r="F71" s="256">
        <v>90.83407877846092</v>
      </c>
      <c r="G71" s="256">
        <v>94.813979460072431</v>
      </c>
      <c r="H71" s="256">
        <v>85.441517315071167</v>
      </c>
      <c r="I71" s="256">
        <v>88.768333185658477</v>
      </c>
      <c r="J71" s="256">
        <v>82.282174549000487</v>
      </c>
      <c r="K71" s="256">
        <v>85.148886861505218</v>
      </c>
      <c r="L71" s="256">
        <v>83.991728799139793</v>
      </c>
      <c r="M71" s="256">
        <v>94.933054351215716</v>
      </c>
      <c r="N71" s="256">
        <v>99.580739794537578</v>
      </c>
      <c r="O71" s="256">
        <v>98.107115023151351</v>
      </c>
      <c r="P71" s="256">
        <v>90.718234859232311</v>
      </c>
      <c r="Q71" s="256">
        <v>95.092920460858423</v>
      </c>
      <c r="R71" s="256"/>
      <c r="S71" s="257"/>
      <c r="T71" s="180"/>
      <c r="U71" s="180"/>
      <c r="V71" s="180"/>
      <c r="W71" s="180"/>
      <c r="X71" s="180"/>
      <c r="Y71" s="180"/>
    </row>
    <row r="72" spans="3:25">
      <c r="C72" s="160"/>
      <c r="D72" s="16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2"/>
      <c r="T72" s="180"/>
      <c r="U72" s="180"/>
      <c r="V72" s="180"/>
      <c r="W72" s="180"/>
      <c r="X72" s="180"/>
      <c r="Y72" s="180"/>
    </row>
    <row r="73" spans="3:25">
      <c r="C73" s="160"/>
      <c r="D73" s="160"/>
      <c r="E73" s="153" t="s">
        <v>213</v>
      </c>
      <c r="F73" s="256">
        <v>154.02000000000001</v>
      </c>
      <c r="G73" s="256">
        <v>154.02000000000001</v>
      </c>
      <c r="H73" s="256">
        <v>154.02000000000001</v>
      </c>
      <c r="I73" s="256">
        <v>154.02000000000001</v>
      </c>
      <c r="J73" s="256">
        <v>154.02000000000001</v>
      </c>
      <c r="K73" s="256">
        <v>154.02000000000001</v>
      </c>
      <c r="L73" s="256">
        <v>154.01999999999998</v>
      </c>
      <c r="M73" s="256">
        <v>154.02000000000001</v>
      </c>
      <c r="N73" s="256">
        <v>154.02000000000001</v>
      </c>
      <c r="O73" s="256">
        <v>154.02000000000001</v>
      </c>
      <c r="P73" s="256">
        <v>154.02000000000001</v>
      </c>
      <c r="Q73" s="256">
        <v>154.02000000000001</v>
      </c>
      <c r="R73" s="180"/>
      <c r="S73" s="182"/>
      <c r="T73" s="180"/>
      <c r="U73" s="180"/>
      <c r="V73" s="180"/>
      <c r="W73" s="180"/>
      <c r="X73" s="180"/>
      <c r="Y73" s="180"/>
    </row>
    <row r="74" spans="3:25">
      <c r="C74" s="160"/>
      <c r="D74" s="160"/>
      <c r="E74" s="153" t="s">
        <v>214</v>
      </c>
      <c r="F74" s="256">
        <v>132.1788444100473</v>
      </c>
      <c r="G74" s="256">
        <v>128.59972892814557</v>
      </c>
      <c r="H74" s="256">
        <v>128.29173202349602</v>
      </c>
      <c r="I74" s="256">
        <v>123.48774961020962</v>
      </c>
      <c r="J74" s="256">
        <v>124.14841945335398</v>
      </c>
      <c r="K74" s="256">
        <v>129.20936354231327</v>
      </c>
      <c r="L74" s="256">
        <v>130.3733786910407</v>
      </c>
      <c r="M74" s="256">
        <v>131.43950243374795</v>
      </c>
      <c r="N74" s="256">
        <v>131.5202532344999</v>
      </c>
      <c r="O74" s="256">
        <v>133.62481520363943</v>
      </c>
      <c r="P74" s="256">
        <v>128.32136956701544</v>
      </c>
      <c r="Q74" s="256">
        <v>133.40140943845407</v>
      </c>
      <c r="R74" s="180"/>
      <c r="S74" s="182"/>
      <c r="T74" s="180"/>
      <c r="U74" s="180"/>
      <c r="V74" s="180"/>
      <c r="W74" s="180"/>
      <c r="X74" s="180"/>
      <c r="Y74" s="180"/>
    </row>
    <row r="75" spans="3:25">
      <c r="C75" s="160"/>
      <c r="D75" s="16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2"/>
      <c r="T75" s="180"/>
      <c r="U75" s="180"/>
      <c r="V75" s="180"/>
      <c r="W75" s="180"/>
      <c r="X75" s="180"/>
      <c r="Y75" s="180"/>
    </row>
    <row r="76" spans="3:25">
      <c r="C76" s="160"/>
      <c r="D76" s="160"/>
      <c r="E76" s="154" t="str">
        <f>+E32</f>
        <v>Commercial</v>
      </c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2"/>
      <c r="T76" s="180"/>
      <c r="U76" s="180"/>
      <c r="V76" s="180"/>
      <c r="W76" s="180"/>
      <c r="X76" s="180"/>
      <c r="Y76" s="180"/>
    </row>
    <row r="77" spans="3:25">
      <c r="C77" s="160"/>
      <c r="D77" s="160"/>
      <c r="E77" s="153" t="str">
        <f>+E33</f>
        <v>Regulated Garbage</v>
      </c>
      <c r="F77" s="256">
        <v>154.02000000000001</v>
      </c>
      <c r="G77" s="256">
        <v>154.02000000000001</v>
      </c>
      <c r="H77" s="256">
        <v>154.02000000000001</v>
      </c>
      <c r="I77" s="256">
        <v>154.02000000000001</v>
      </c>
      <c r="J77" s="256">
        <v>154.02000000000001</v>
      </c>
      <c r="K77" s="256">
        <v>154.02000000000001</v>
      </c>
      <c r="L77" s="256">
        <v>154.02000000000001</v>
      </c>
      <c r="M77" s="256">
        <v>154.02000000000001</v>
      </c>
      <c r="N77" s="256">
        <v>154.02000000000001</v>
      </c>
      <c r="O77" s="256">
        <v>154.02000000000001</v>
      </c>
      <c r="P77" s="256">
        <v>154.02000000000001</v>
      </c>
      <c r="Q77" s="256">
        <v>154.02000000000001</v>
      </c>
      <c r="R77" s="180"/>
      <c r="S77" s="182"/>
      <c r="T77" s="180"/>
      <c r="U77" s="180"/>
      <c r="V77" s="180"/>
      <c r="W77" s="180"/>
      <c r="X77" s="180"/>
      <c r="Y77" s="180"/>
    </row>
    <row r="78" spans="3:25">
      <c r="C78" s="160"/>
      <c r="D78" s="160"/>
      <c r="E78" s="153" t="str">
        <f>+E34</f>
        <v>Unregulated Garbage</v>
      </c>
      <c r="F78" s="256">
        <v>154.02000000000001</v>
      </c>
      <c r="G78" s="256">
        <v>154.02000000000001</v>
      </c>
      <c r="H78" s="256">
        <v>154.02000000000001</v>
      </c>
      <c r="I78" s="256">
        <v>154.02000000000001</v>
      </c>
      <c r="J78" s="256">
        <v>154.02000000000001</v>
      </c>
      <c r="K78" s="256">
        <v>154.02000000000001</v>
      </c>
      <c r="L78" s="256">
        <v>154.02000000000001</v>
      </c>
      <c r="M78" s="256">
        <v>154.02000000000001</v>
      </c>
      <c r="N78" s="256">
        <v>154.02000000000001</v>
      </c>
      <c r="O78" s="256">
        <v>154.02000000000001</v>
      </c>
      <c r="P78" s="256">
        <v>154.02000000000001</v>
      </c>
      <c r="Q78" s="256">
        <v>154.02000000000001</v>
      </c>
      <c r="R78" s="180"/>
      <c r="S78" s="182"/>
      <c r="T78" s="180"/>
      <c r="U78" s="180"/>
      <c r="V78" s="180"/>
      <c r="W78" s="180"/>
      <c r="X78" s="180"/>
      <c r="Y78" s="180"/>
    </row>
    <row r="79" spans="3:25">
      <c r="C79" s="160"/>
      <c r="D79" s="160"/>
      <c r="E79" s="153" t="str">
        <f>+E36</f>
        <v>Regulated RCY (MF)</v>
      </c>
      <c r="F79" s="258">
        <v>116.77</v>
      </c>
      <c r="G79" s="256">
        <v>116.77</v>
      </c>
      <c r="H79" s="256">
        <v>116.77</v>
      </c>
      <c r="I79" s="256">
        <v>116.77</v>
      </c>
      <c r="J79" s="256">
        <v>116.77</v>
      </c>
      <c r="K79" s="256">
        <v>116.77</v>
      </c>
      <c r="L79" s="256">
        <v>116.77</v>
      </c>
      <c r="M79" s="256">
        <v>116.77</v>
      </c>
      <c r="N79" s="256">
        <v>116.77</v>
      </c>
      <c r="O79" s="256">
        <v>116.77</v>
      </c>
      <c r="P79" s="256">
        <v>116.77</v>
      </c>
      <c r="Q79" s="256">
        <v>116.77</v>
      </c>
      <c r="R79" s="180"/>
      <c r="S79" s="182"/>
      <c r="T79" s="180"/>
      <c r="U79" s="180"/>
      <c r="V79" s="180"/>
      <c r="W79" s="180"/>
      <c r="X79" s="180"/>
      <c r="Y79" s="180"/>
    </row>
    <row r="80" spans="3:25">
      <c r="C80" s="160"/>
      <c r="D80" s="160"/>
      <c r="E80" s="153" t="str">
        <f>+E37</f>
        <v>Unregulated RCY / COGS</v>
      </c>
      <c r="F80" s="258">
        <v>116.77</v>
      </c>
      <c r="G80" s="256">
        <v>116.77</v>
      </c>
      <c r="H80" s="256">
        <v>116.77</v>
      </c>
      <c r="I80" s="256">
        <v>116.77</v>
      </c>
      <c r="J80" s="256">
        <v>116.77</v>
      </c>
      <c r="K80" s="256">
        <v>116.77</v>
      </c>
      <c r="L80" s="256">
        <v>116.77</v>
      </c>
      <c r="M80" s="256">
        <v>116.77</v>
      </c>
      <c r="N80" s="256">
        <v>116.77</v>
      </c>
      <c r="O80" s="256">
        <v>116.77</v>
      </c>
      <c r="P80" s="256">
        <v>116.77</v>
      </c>
      <c r="Q80" s="256">
        <v>116.77</v>
      </c>
      <c r="R80" s="256"/>
      <c r="S80" s="182"/>
      <c r="T80" s="180"/>
      <c r="U80" s="180"/>
      <c r="V80" s="180"/>
      <c r="W80" s="180"/>
      <c r="X80" s="180"/>
      <c r="Y80" s="180"/>
    </row>
    <row r="81" spans="3:25">
      <c r="C81" s="160"/>
      <c r="D81" s="16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2"/>
      <c r="T81" s="180"/>
      <c r="U81" s="180"/>
      <c r="V81" s="180"/>
      <c r="W81" s="180"/>
      <c r="X81" s="180"/>
      <c r="Y81" s="180"/>
    </row>
    <row r="82" spans="3:25">
      <c r="C82" s="160"/>
      <c r="D82" s="160"/>
      <c r="E82" s="154" t="str">
        <f>+E43</f>
        <v>Residential</v>
      </c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2"/>
      <c r="T82" s="180"/>
      <c r="U82" s="180"/>
      <c r="V82" s="180"/>
      <c r="W82" s="180"/>
      <c r="X82" s="180"/>
      <c r="Y82" s="180"/>
    </row>
    <row r="83" spans="3:25">
      <c r="C83" s="160"/>
      <c r="D83" s="160"/>
      <c r="E83" s="153" t="str">
        <f>+E44</f>
        <v>Regulated Garbage</v>
      </c>
      <c r="F83" s="256">
        <v>154.02000000000001</v>
      </c>
      <c r="G83" s="256">
        <v>154.02000000000001</v>
      </c>
      <c r="H83" s="256">
        <v>154.02000000000001</v>
      </c>
      <c r="I83" s="256">
        <v>154.02000000000001</v>
      </c>
      <c r="J83" s="256">
        <v>154.02000000000001</v>
      </c>
      <c r="K83" s="256">
        <v>154.02000000000001</v>
      </c>
      <c r="L83" s="256">
        <v>154.02000000000001</v>
      </c>
      <c r="M83" s="256">
        <v>154.02000000000001</v>
      </c>
      <c r="N83" s="256">
        <v>154.02000000000001</v>
      </c>
      <c r="O83" s="256">
        <v>154.02000000000001</v>
      </c>
      <c r="P83" s="256">
        <v>154.02000000000001</v>
      </c>
      <c r="Q83" s="256">
        <v>154.02000000000001</v>
      </c>
      <c r="R83" s="180"/>
      <c r="S83" s="182"/>
      <c r="T83" s="180"/>
      <c r="U83" s="180"/>
      <c r="V83" s="180"/>
      <c r="W83" s="180"/>
      <c r="X83" s="180"/>
      <c r="Y83" s="180"/>
    </row>
    <row r="84" spans="3:25">
      <c r="C84" s="160"/>
      <c r="D84" s="160"/>
      <c r="E84" s="153" t="str">
        <f>+E45</f>
        <v>Unregulated Garbage</v>
      </c>
      <c r="F84" s="256">
        <v>154.02000000000001</v>
      </c>
      <c r="G84" s="256">
        <v>154.02000000000001</v>
      </c>
      <c r="H84" s="256">
        <v>154.02000000000001</v>
      </c>
      <c r="I84" s="256">
        <v>154.02000000000001</v>
      </c>
      <c r="J84" s="256">
        <v>154.02000000000001</v>
      </c>
      <c r="K84" s="256">
        <v>154.02000000000001</v>
      </c>
      <c r="L84" s="256">
        <v>154.02000000000001</v>
      </c>
      <c r="M84" s="256">
        <v>154.02000000000001</v>
      </c>
      <c r="N84" s="256">
        <v>154.02000000000001</v>
      </c>
      <c r="O84" s="256">
        <v>154.02000000000001</v>
      </c>
      <c r="P84" s="256">
        <v>154.02000000000001</v>
      </c>
      <c r="Q84" s="256">
        <v>154.02000000000001</v>
      </c>
      <c r="R84" s="180"/>
      <c r="S84" s="182"/>
      <c r="T84" s="180"/>
      <c r="U84" s="180"/>
      <c r="V84" s="180"/>
      <c r="W84" s="180"/>
      <c r="X84" s="180"/>
      <c r="Y84" s="180"/>
    </row>
    <row r="85" spans="3:25">
      <c r="C85" s="160"/>
      <c r="D85" s="160"/>
      <c r="E85" s="153" t="str">
        <f>+E47</f>
        <v>Regulated Yardwaste</v>
      </c>
      <c r="F85" s="189">
        <v>62.360104277083394</v>
      </c>
      <c r="G85" s="189">
        <v>62.360104277083394</v>
      </c>
      <c r="H85" s="256">
        <v>62.360104277083394</v>
      </c>
      <c r="I85" s="256">
        <v>62.360104277083394</v>
      </c>
      <c r="J85" s="256">
        <v>62.360104277083394</v>
      </c>
      <c r="K85" s="256">
        <v>62.360104277083394</v>
      </c>
      <c r="L85" s="256">
        <v>62.360104277083394</v>
      </c>
      <c r="M85" s="259">
        <v>62.360104277083394</v>
      </c>
      <c r="N85" s="259">
        <v>62.360104277083394</v>
      </c>
      <c r="O85" s="256">
        <v>62.360104277083394</v>
      </c>
      <c r="P85" s="256">
        <v>62.360104277083394</v>
      </c>
      <c r="Q85" s="256">
        <v>62.360104277083394</v>
      </c>
      <c r="R85" s="180"/>
      <c r="S85" s="182"/>
      <c r="T85" s="180"/>
      <c r="U85" s="180"/>
      <c r="V85" s="180"/>
      <c r="W85" s="180"/>
      <c r="X85" s="180"/>
      <c r="Y85" s="180"/>
    </row>
    <row r="86" spans="3:25">
      <c r="C86" s="160"/>
      <c r="D86" s="160"/>
      <c r="E86" s="153" t="str">
        <f>+E48</f>
        <v>Unregulated Yardwaste</v>
      </c>
      <c r="F86" s="189">
        <v>62.360104277083394</v>
      </c>
      <c r="G86" s="189">
        <v>62.360104277083394</v>
      </c>
      <c r="H86" s="256">
        <v>62.360104277083394</v>
      </c>
      <c r="I86" s="256">
        <v>62.360104277083394</v>
      </c>
      <c r="J86" s="256">
        <v>62.360104277083394</v>
      </c>
      <c r="K86" s="256">
        <v>62.360104277083394</v>
      </c>
      <c r="L86" s="256">
        <v>62.360104277083394</v>
      </c>
      <c r="M86" s="259">
        <v>62.360104277083394</v>
      </c>
      <c r="N86" s="259">
        <v>62.360104277083394</v>
      </c>
      <c r="O86" s="256">
        <v>62.360104277083394</v>
      </c>
      <c r="P86" s="256">
        <v>62.360104277083394</v>
      </c>
      <c r="Q86" s="256">
        <v>62.360104277083394</v>
      </c>
      <c r="R86" s="180"/>
      <c r="S86" s="182"/>
      <c r="T86" s="180"/>
      <c r="U86" s="180"/>
      <c r="V86" s="180"/>
      <c r="W86" s="180"/>
      <c r="X86" s="180"/>
      <c r="Y86" s="180"/>
    </row>
    <row r="87" spans="3:25">
      <c r="C87" s="160"/>
      <c r="D87" s="160"/>
      <c r="E87" s="153" t="str">
        <f>+E50</f>
        <v>Regulated RCY</v>
      </c>
      <c r="F87" s="258">
        <v>114.46</v>
      </c>
      <c r="G87" s="256">
        <v>114.46</v>
      </c>
      <c r="H87" s="256">
        <v>114.46</v>
      </c>
      <c r="I87" s="256">
        <v>114.46</v>
      </c>
      <c r="J87" s="256">
        <v>114.46</v>
      </c>
      <c r="K87" s="256">
        <v>114.46</v>
      </c>
      <c r="L87" s="256">
        <v>114.46</v>
      </c>
      <c r="M87" s="256">
        <v>114.46</v>
      </c>
      <c r="N87" s="256">
        <v>114.46</v>
      </c>
      <c r="O87" s="256">
        <v>114.46</v>
      </c>
      <c r="P87" s="256">
        <v>114.46</v>
      </c>
      <c r="Q87" s="256">
        <v>114.46</v>
      </c>
      <c r="R87" s="180"/>
      <c r="S87" s="182"/>
      <c r="T87" s="180"/>
      <c r="U87" s="180"/>
      <c r="V87" s="180"/>
      <c r="W87" s="180"/>
      <c r="X87" s="180"/>
      <c r="Y87" s="180"/>
    </row>
    <row r="88" spans="3:25">
      <c r="C88" s="160"/>
      <c r="D88" s="160"/>
      <c r="E88" s="153" t="str">
        <f>+E51</f>
        <v>Unregulated RCY</v>
      </c>
      <c r="F88" s="258">
        <v>114.46</v>
      </c>
      <c r="G88" s="256">
        <v>114.46</v>
      </c>
      <c r="H88" s="256">
        <v>114.46</v>
      </c>
      <c r="I88" s="256">
        <v>114.46</v>
      </c>
      <c r="J88" s="256">
        <v>114.46</v>
      </c>
      <c r="K88" s="256">
        <v>114.46</v>
      </c>
      <c r="L88" s="256">
        <v>114.46</v>
      </c>
      <c r="M88" s="256">
        <v>114.46</v>
      </c>
      <c r="N88" s="256">
        <v>114.46</v>
      </c>
      <c r="O88" s="256">
        <v>114.46</v>
      </c>
      <c r="P88" s="256">
        <v>114.46</v>
      </c>
      <c r="Q88" s="256">
        <v>114.46</v>
      </c>
      <c r="R88" s="180"/>
      <c r="S88" s="182"/>
      <c r="T88" s="180"/>
      <c r="U88" s="180"/>
      <c r="V88" s="180"/>
      <c r="W88" s="180"/>
      <c r="X88" s="180"/>
      <c r="Y88" s="180"/>
    </row>
    <row r="89" spans="3:25">
      <c r="C89" s="160"/>
      <c r="D89" s="16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2"/>
      <c r="T89" s="180"/>
      <c r="U89" s="180"/>
      <c r="V89" s="180"/>
      <c r="W89" s="180"/>
      <c r="X89" s="180"/>
      <c r="Y89" s="180"/>
    </row>
    <row r="90" spans="3:25" ht="15" thickBot="1">
      <c r="C90" s="160"/>
      <c r="D90" s="160"/>
      <c r="E90" s="161" t="s">
        <v>215</v>
      </c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1"/>
    </row>
    <row r="91" spans="3:25">
      <c r="C91" s="160"/>
      <c r="D91" s="16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2"/>
      <c r="T91" s="180"/>
      <c r="U91" s="180" t="s">
        <v>269</v>
      </c>
      <c r="V91" s="180"/>
      <c r="W91" s="180"/>
      <c r="X91" s="180"/>
      <c r="Y91" s="180"/>
    </row>
    <row r="92" spans="3:25">
      <c r="C92" s="160"/>
      <c r="D92" s="160"/>
      <c r="E92" s="153" t="s">
        <v>216</v>
      </c>
      <c r="F92" s="180">
        <v>151853.03999999998</v>
      </c>
      <c r="G92" s="180">
        <v>164404.88999999996</v>
      </c>
      <c r="H92" s="180">
        <v>210823.65000000002</v>
      </c>
      <c r="I92" s="180">
        <v>189594.59999999998</v>
      </c>
      <c r="J92" s="180">
        <v>330358.56999999983</v>
      </c>
      <c r="K92" s="180">
        <v>259106.69000000006</v>
      </c>
      <c r="L92" s="180">
        <v>182223.41999999998</v>
      </c>
      <c r="M92" s="180">
        <v>172555.94999999995</v>
      </c>
      <c r="N92" s="180">
        <v>145656.86999999988</v>
      </c>
      <c r="O92" s="180">
        <v>76749.109999999986</v>
      </c>
      <c r="P92" s="180">
        <v>277833.08</v>
      </c>
      <c r="Q92" s="180">
        <v>143679.29999999999</v>
      </c>
      <c r="R92" s="180"/>
      <c r="S92" s="164">
        <v>2304839.1699999995</v>
      </c>
      <c r="T92" s="180"/>
      <c r="U92" s="180">
        <v>0</v>
      </c>
      <c r="V92" s="180"/>
      <c r="W92" s="180"/>
      <c r="X92" s="180"/>
      <c r="Y92" s="180"/>
    </row>
    <row r="93" spans="3:25">
      <c r="C93" s="160"/>
      <c r="D93" s="160"/>
      <c r="E93" s="165" t="s">
        <v>217</v>
      </c>
      <c r="F93" s="260">
        <v>221214.39</v>
      </c>
      <c r="G93" s="260">
        <v>189494.08999999997</v>
      </c>
      <c r="H93" s="260">
        <v>234572.12</v>
      </c>
      <c r="I93" s="260">
        <v>202746.3</v>
      </c>
      <c r="J93" s="260">
        <v>219417.61000000004</v>
      </c>
      <c r="K93" s="260">
        <v>214562.59999999998</v>
      </c>
      <c r="L93" s="260">
        <v>202173.47</v>
      </c>
      <c r="M93" s="260">
        <v>210885.10000000003</v>
      </c>
      <c r="N93" s="260">
        <v>198340.66</v>
      </c>
      <c r="O93" s="260">
        <v>195257.25</v>
      </c>
      <c r="P93" s="260">
        <v>220861.41999999998</v>
      </c>
      <c r="Q93" s="260">
        <v>215345.23000000004</v>
      </c>
      <c r="R93" s="248"/>
      <c r="S93" s="191">
        <v>2524870.2399999998</v>
      </c>
      <c r="T93" s="247"/>
      <c r="U93" s="247">
        <v>4.6566128730773926E-10</v>
      </c>
      <c r="V93" s="247"/>
      <c r="W93" s="247"/>
      <c r="X93" s="247"/>
      <c r="Y93" s="247"/>
    </row>
    <row r="94" spans="3:25">
      <c r="C94" s="160"/>
      <c r="D94" s="160"/>
      <c r="E94" s="153" t="s">
        <v>17</v>
      </c>
      <c r="F94" s="180">
        <v>373067.43</v>
      </c>
      <c r="G94" s="180">
        <v>353898.97999999992</v>
      </c>
      <c r="H94" s="180">
        <v>445395.77</v>
      </c>
      <c r="I94" s="180">
        <v>392340.89999999997</v>
      </c>
      <c r="J94" s="180">
        <v>549776.17999999993</v>
      </c>
      <c r="K94" s="180">
        <v>473669.29000000004</v>
      </c>
      <c r="L94" s="180">
        <v>384396.89</v>
      </c>
      <c r="M94" s="180">
        <v>383441.05</v>
      </c>
      <c r="N94" s="180">
        <v>343997.52999999991</v>
      </c>
      <c r="O94" s="180">
        <v>272006.36</v>
      </c>
      <c r="P94" s="180">
        <v>498694.5</v>
      </c>
      <c r="Q94" s="180">
        <v>359024.53</v>
      </c>
      <c r="R94" s="180"/>
      <c r="S94" s="164">
        <v>4829709.4099999992</v>
      </c>
      <c r="T94" s="180"/>
      <c r="U94" s="180"/>
      <c r="V94" s="180"/>
      <c r="W94" s="180"/>
      <c r="X94" s="180"/>
      <c r="Y94" s="180"/>
    </row>
    <row r="95" spans="3:25">
      <c r="C95" s="160"/>
      <c r="D95" s="16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2"/>
      <c r="T95" s="180"/>
      <c r="U95" s="180"/>
      <c r="V95" s="180"/>
      <c r="W95" s="180"/>
      <c r="X95" s="180"/>
      <c r="Y95" s="180"/>
    </row>
    <row r="96" spans="3:25">
      <c r="C96" s="160"/>
      <c r="D96" s="160"/>
      <c r="E96" s="153" t="s">
        <v>218</v>
      </c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2"/>
      <c r="T96" s="180"/>
      <c r="U96" s="180"/>
      <c r="V96" s="180"/>
      <c r="W96" s="180"/>
      <c r="X96" s="180"/>
      <c r="Y96" s="180"/>
    </row>
    <row r="97" spans="1:25">
      <c r="C97" s="160"/>
      <c r="D97" s="16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2"/>
      <c r="T97" s="180"/>
      <c r="U97" s="180"/>
      <c r="V97" s="180"/>
      <c r="W97" s="180"/>
      <c r="X97" s="180"/>
      <c r="Y97" s="180"/>
    </row>
    <row r="98" spans="1:25">
      <c r="C98" s="160"/>
      <c r="D98" s="160"/>
      <c r="E98" s="154" t="str">
        <f>+E67</f>
        <v>Roll-off / Industrial</v>
      </c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64"/>
      <c r="T98" s="180"/>
      <c r="U98" s="180"/>
      <c r="V98" s="180"/>
      <c r="W98" s="180"/>
      <c r="X98" s="180"/>
      <c r="Y98" s="180"/>
    </row>
    <row r="99" spans="1:25" s="262" customFormat="1">
      <c r="A99" s="261"/>
      <c r="B99" s="261"/>
      <c r="C99" s="261"/>
      <c r="D99" s="261"/>
      <c r="E99" s="262" t="str">
        <f>+E68</f>
        <v>Regulated Garbage</v>
      </c>
      <c r="F99" s="263">
        <v>8525.0069999999996</v>
      </c>
      <c r="G99" s="263">
        <v>4532.8085999999994</v>
      </c>
      <c r="H99" s="263">
        <v>6604.3775999999989</v>
      </c>
      <c r="I99" s="263">
        <v>5547.800400000001</v>
      </c>
      <c r="J99" s="263">
        <v>5584.7651999999998</v>
      </c>
      <c r="K99" s="263">
        <v>6918.5784000000003</v>
      </c>
      <c r="L99" s="263">
        <v>4358.7660000000005</v>
      </c>
      <c r="M99" s="263">
        <v>4155.4596000000001</v>
      </c>
      <c r="N99" s="263">
        <v>5980.5966000000017</v>
      </c>
      <c r="O99" s="263">
        <v>5675.6369999999997</v>
      </c>
      <c r="P99" s="263">
        <v>5059.5570000000007</v>
      </c>
      <c r="Q99" s="263">
        <v>5573.9838000000009</v>
      </c>
      <c r="R99" s="263"/>
      <c r="S99" s="264">
        <v>68517.337200000009</v>
      </c>
      <c r="T99" s="263"/>
      <c r="U99" s="263"/>
      <c r="V99" s="263"/>
      <c r="W99" s="263"/>
      <c r="X99" s="263"/>
      <c r="Y99" s="263"/>
    </row>
    <row r="100" spans="1:25">
      <c r="C100" s="160"/>
      <c r="D100" s="160"/>
      <c r="E100" s="192" t="s">
        <v>219</v>
      </c>
      <c r="F100" s="265">
        <v>-160185.42060000001</v>
      </c>
      <c r="G100" s="265">
        <v>-134123.69639999999</v>
      </c>
      <c r="H100" s="265">
        <v>-158381.84640000004</v>
      </c>
      <c r="I100" s="265">
        <v>-146268.17340000009</v>
      </c>
      <c r="J100" s="265">
        <v>-150794.82120000015</v>
      </c>
      <c r="K100" s="265">
        <v>-165345.09059999997</v>
      </c>
      <c r="L100" s="265">
        <v>-148655.4834</v>
      </c>
      <c r="M100" s="265">
        <v>-172768.85460000008</v>
      </c>
      <c r="N100" s="265">
        <v>-155640.29039999997</v>
      </c>
      <c r="O100" s="265">
        <v>-155055.01439999996</v>
      </c>
      <c r="P100" s="265">
        <v>-153220.63620000004</v>
      </c>
      <c r="Q100" s="265">
        <v>-158808.48179999989</v>
      </c>
      <c r="R100" s="265"/>
      <c r="S100" s="266">
        <v>-1859247.8094000004</v>
      </c>
      <c r="T100" s="247"/>
      <c r="U100" s="247"/>
      <c r="V100" s="247"/>
      <c r="W100" s="247"/>
      <c r="X100" s="247"/>
      <c r="Y100" s="247"/>
    </row>
    <row r="101" spans="1:25">
      <c r="C101" s="160"/>
      <c r="D101" s="160"/>
      <c r="E101" s="153" t="str">
        <f>+E69</f>
        <v>Unregulated Garbage</v>
      </c>
      <c r="F101" s="180">
        <v>161331.32940000002</v>
      </c>
      <c r="G101" s="180">
        <v>134736.69600000003</v>
      </c>
      <c r="H101" s="180">
        <v>159259.7604</v>
      </c>
      <c r="I101" s="180">
        <v>147769.86840000001</v>
      </c>
      <c r="J101" s="180">
        <v>152666.16420000003</v>
      </c>
      <c r="K101" s="180">
        <v>166304.63520000002</v>
      </c>
      <c r="L101" s="180">
        <v>148655.48340000003</v>
      </c>
      <c r="M101" s="180">
        <v>174935.916</v>
      </c>
      <c r="N101" s="180">
        <v>160108.4106</v>
      </c>
      <c r="O101" s="180">
        <v>158877.79080000002</v>
      </c>
      <c r="P101" s="180">
        <v>154446.6354</v>
      </c>
      <c r="Q101" s="180">
        <v>159959.01120000001</v>
      </c>
      <c r="R101" s="180"/>
      <c r="S101" s="164">
        <v>1879051.7010000004</v>
      </c>
      <c r="T101" s="180"/>
      <c r="U101" s="180"/>
      <c r="V101" s="180"/>
      <c r="W101" s="180"/>
      <c r="X101" s="180"/>
      <c r="Y101" s="180"/>
    </row>
    <row r="102" spans="1:25" s="262" customFormat="1">
      <c r="A102" s="261"/>
      <c r="B102" s="261"/>
      <c r="C102" s="261"/>
      <c r="D102" s="261"/>
      <c r="E102" s="262" t="str">
        <f>+E70</f>
        <v>Regulated RCY (MF)</v>
      </c>
      <c r="F102" s="263">
        <v>328.12370000000004</v>
      </c>
      <c r="G102" s="263">
        <v>1069.6132</v>
      </c>
      <c r="H102" s="263">
        <v>1237.7619999999997</v>
      </c>
      <c r="I102" s="263">
        <v>687.7752999999999</v>
      </c>
      <c r="J102" s="263">
        <v>1513.3392000000001</v>
      </c>
      <c r="K102" s="263">
        <v>777.68819999999994</v>
      </c>
      <c r="L102" s="263">
        <v>575.67609999999991</v>
      </c>
      <c r="M102" s="263">
        <v>624.71949999999981</v>
      </c>
      <c r="N102" s="263">
        <v>852.42099999999994</v>
      </c>
      <c r="O102" s="263">
        <v>453.06759999999997</v>
      </c>
      <c r="P102" s="263">
        <v>1475.9728</v>
      </c>
      <c r="Q102" s="263">
        <v>541.81280000000004</v>
      </c>
      <c r="R102" s="263"/>
      <c r="S102" s="264">
        <v>10137.971399999999</v>
      </c>
      <c r="T102" s="263"/>
      <c r="U102" s="263"/>
      <c r="V102" s="263"/>
      <c r="W102" s="263"/>
      <c r="X102" s="263"/>
      <c r="Y102" s="263"/>
    </row>
    <row r="103" spans="1:25">
      <c r="A103" s="160" t="str">
        <f>A23</f>
        <v>I</v>
      </c>
      <c r="B103" s="160" t="str">
        <f>B23</f>
        <v>RCY</v>
      </c>
      <c r="C103" s="160" t="str">
        <f>C23</f>
        <v>YW</v>
      </c>
      <c r="D103" s="160"/>
      <c r="E103" s="165" t="str">
        <f>+E71</f>
        <v>Unregulated RCY / COGS</v>
      </c>
      <c r="F103" s="190">
        <v>67221.760000000009</v>
      </c>
      <c r="G103" s="190">
        <v>78825.5</v>
      </c>
      <c r="H103" s="190">
        <v>87957.77</v>
      </c>
      <c r="I103" s="190">
        <v>91167.83</v>
      </c>
      <c r="J103" s="190">
        <v>84380.37</v>
      </c>
      <c r="K103" s="190">
        <v>81198.829999999987</v>
      </c>
      <c r="L103" s="190">
        <v>71083.040000000008</v>
      </c>
      <c r="M103" s="190">
        <v>94372.000000000015</v>
      </c>
      <c r="N103" s="190">
        <v>91989.699999999983</v>
      </c>
      <c r="O103" s="190">
        <v>85600.42</v>
      </c>
      <c r="P103" s="190">
        <v>90803.51</v>
      </c>
      <c r="Q103" s="190">
        <v>78738.84</v>
      </c>
      <c r="R103" s="190"/>
      <c r="S103" s="191">
        <v>1003339.5700000001</v>
      </c>
      <c r="T103" s="180"/>
      <c r="U103" s="180"/>
      <c r="V103" s="180"/>
      <c r="W103" s="180"/>
      <c r="X103" s="180"/>
      <c r="Y103" s="180"/>
    </row>
    <row r="104" spans="1:25">
      <c r="C104" s="160"/>
      <c r="D104" s="160"/>
      <c r="E104" s="153" t="str">
        <f>+E25</f>
        <v>Total Roll-off / Industrial</v>
      </c>
      <c r="F104" s="180">
        <v>77220.799500000023</v>
      </c>
      <c r="G104" s="180">
        <v>85040.92140000005</v>
      </c>
      <c r="H104" s="180">
        <v>96677.823599999974</v>
      </c>
      <c r="I104" s="180">
        <v>98905.100699999923</v>
      </c>
      <c r="J104" s="180">
        <v>93349.817399999869</v>
      </c>
      <c r="K104" s="180">
        <v>89854.641200000042</v>
      </c>
      <c r="L104" s="180">
        <v>76017.482100000037</v>
      </c>
      <c r="M104" s="180">
        <v>101319.24049999994</v>
      </c>
      <c r="N104" s="180">
        <v>103290.83780000001</v>
      </c>
      <c r="O104" s="180">
        <v>95551.901000000042</v>
      </c>
      <c r="P104" s="180">
        <v>98565.038999999961</v>
      </c>
      <c r="Q104" s="180">
        <v>86005.166000000099</v>
      </c>
      <c r="R104" s="180"/>
      <c r="S104" s="164">
        <v>1101798.7702000001</v>
      </c>
      <c r="T104" s="180"/>
      <c r="U104" s="180"/>
      <c r="V104" s="180"/>
      <c r="W104" s="180"/>
      <c r="X104" s="180"/>
      <c r="Y104" s="180"/>
    </row>
    <row r="105" spans="1:25">
      <c r="C105" s="160"/>
      <c r="D105" s="16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2"/>
      <c r="T105" s="180"/>
      <c r="U105" s="180"/>
      <c r="V105" s="180"/>
      <c r="W105" s="180"/>
      <c r="X105" s="180"/>
      <c r="Y105" s="180"/>
    </row>
    <row r="106" spans="1:25">
      <c r="A106" s="160" t="str">
        <f>A18</f>
        <v>I</v>
      </c>
      <c r="B106" s="160" t="str">
        <f>+B18</f>
        <v>MSW</v>
      </c>
      <c r="C106" s="160">
        <f>C18</f>
        <v>20</v>
      </c>
      <c r="D106" s="160"/>
      <c r="E106" s="153" t="s">
        <v>220</v>
      </c>
      <c r="F106" s="180">
        <v>8525.0069999999996</v>
      </c>
      <c r="G106" s="180">
        <v>4532.8085999999994</v>
      </c>
      <c r="H106" s="180">
        <v>6604.3775999999989</v>
      </c>
      <c r="I106" s="180">
        <v>5547.800400000001</v>
      </c>
      <c r="J106" s="180">
        <v>5584.7651999999998</v>
      </c>
      <c r="K106" s="180">
        <v>6918.5784000000003</v>
      </c>
      <c r="L106" s="180">
        <v>4358.7660000000005</v>
      </c>
      <c r="M106" s="180">
        <v>4155.4596000000001</v>
      </c>
      <c r="N106" s="180">
        <v>5980.5966000000017</v>
      </c>
      <c r="O106" s="180">
        <v>5675.6369999999997</v>
      </c>
      <c r="P106" s="180">
        <v>5059.5570000000007</v>
      </c>
      <c r="Q106" s="180">
        <v>5573.9838000000009</v>
      </c>
      <c r="R106" s="180"/>
      <c r="S106" s="164">
        <v>68517.337200000009</v>
      </c>
      <c r="T106" s="180"/>
      <c r="U106" s="180"/>
      <c r="V106" s="180"/>
      <c r="W106" s="180"/>
      <c r="X106" s="180"/>
      <c r="Y106" s="180"/>
    </row>
    <row r="107" spans="1:25">
      <c r="C107" s="160"/>
      <c r="D107" s="160"/>
      <c r="E107" s="153" t="s">
        <v>221</v>
      </c>
      <c r="F107" s="180">
        <v>228855.77300000002</v>
      </c>
      <c r="G107" s="180">
        <v>214041.39140000005</v>
      </c>
      <c r="H107" s="180">
        <v>253350.51240000001</v>
      </c>
      <c r="I107" s="180">
        <v>235228.1096</v>
      </c>
      <c r="J107" s="180">
        <v>242689.05479999998</v>
      </c>
      <c r="K107" s="180">
        <v>249787.5416</v>
      </c>
      <c r="L107" s="180">
        <v>227647.56399999998</v>
      </c>
      <c r="M107" s="180">
        <v>269765.12039999996</v>
      </c>
      <c r="N107" s="180">
        <v>252305.82339999996</v>
      </c>
      <c r="O107" s="180">
        <v>248201.41300000003</v>
      </c>
      <c r="P107" s="180">
        <v>248235.12300000002</v>
      </c>
      <c r="Q107" s="180">
        <v>238154.86620000008</v>
      </c>
      <c r="R107" s="180"/>
      <c r="S107" s="164">
        <v>2908262.2927999999</v>
      </c>
      <c r="T107" s="180"/>
      <c r="U107" s="180"/>
      <c r="V107" s="180"/>
      <c r="W107" s="180"/>
      <c r="X107" s="180"/>
      <c r="Y107" s="180"/>
    </row>
    <row r="108" spans="1:25">
      <c r="A108" s="160" t="str">
        <f>A106</f>
        <v>I</v>
      </c>
      <c r="C108" s="160"/>
      <c r="D108" s="160"/>
      <c r="E108" s="233" t="str">
        <f>+E30</f>
        <v>Total Roll-off / Industrial Pass Thru Disp.</v>
      </c>
      <c r="F108" s="234">
        <v>237380.78000000003</v>
      </c>
      <c r="G108" s="234">
        <v>218574.20000000004</v>
      </c>
      <c r="H108" s="234">
        <v>259954.89</v>
      </c>
      <c r="I108" s="234">
        <v>240775.91</v>
      </c>
      <c r="J108" s="234">
        <v>248273.81999999998</v>
      </c>
      <c r="K108" s="234">
        <v>256706.12</v>
      </c>
      <c r="L108" s="234">
        <v>232006.33</v>
      </c>
      <c r="M108" s="234">
        <v>273920.57999999996</v>
      </c>
      <c r="N108" s="234">
        <v>258286.41999999995</v>
      </c>
      <c r="O108" s="234">
        <v>253877.05000000002</v>
      </c>
      <c r="P108" s="234">
        <v>253294.68000000002</v>
      </c>
      <c r="Q108" s="234">
        <v>243728.85000000006</v>
      </c>
      <c r="R108" s="234"/>
      <c r="S108" s="235">
        <v>2976779.6300000004</v>
      </c>
      <c r="T108" s="180"/>
      <c r="U108" s="180"/>
      <c r="V108" s="180"/>
      <c r="W108" s="180"/>
      <c r="X108" s="180"/>
      <c r="Y108" s="180"/>
    </row>
    <row r="109" spans="1:25">
      <c r="C109" s="160"/>
      <c r="D109" s="16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267"/>
      <c r="T109" s="180"/>
      <c r="U109" s="180"/>
      <c r="V109" s="180"/>
      <c r="W109" s="180"/>
      <c r="X109" s="180"/>
      <c r="Y109" s="180"/>
    </row>
    <row r="110" spans="1:25">
      <c r="C110" s="160"/>
      <c r="D110" s="160"/>
      <c r="E110" s="154" t="str">
        <f>+E76</f>
        <v>Commercial</v>
      </c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2"/>
      <c r="T110" s="180"/>
      <c r="U110" s="180"/>
      <c r="V110" s="180"/>
      <c r="W110" s="180"/>
      <c r="X110" s="180"/>
      <c r="Y110" s="180"/>
    </row>
    <row r="111" spans="1:25" s="262" customFormat="1">
      <c r="A111" s="261"/>
      <c r="B111" s="261"/>
      <c r="C111" s="261"/>
      <c r="D111" s="261"/>
      <c r="E111" s="262" t="str">
        <f>+E77</f>
        <v>Regulated Garbage</v>
      </c>
      <c r="F111" s="263">
        <v>10308.752467382661</v>
      </c>
      <c r="G111" s="263">
        <v>9687.9316076709456</v>
      </c>
      <c r="H111" s="263">
        <v>10662.492240758847</v>
      </c>
      <c r="I111" s="263">
        <v>8898.0185377134094</v>
      </c>
      <c r="J111" s="263">
        <v>10702.796393547264</v>
      </c>
      <c r="K111" s="263">
        <v>10002.164887473595</v>
      </c>
      <c r="L111" s="263">
        <v>7150.9684596867301</v>
      </c>
      <c r="M111" s="263">
        <v>9125.0179409165776</v>
      </c>
      <c r="N111" s="263">
        <v>10541.829569994512</v>
      </c>
      <c r="O111" s="263">
        <v>10545.096074968018</v>
      </c>
      <c r="P111" s="263">
        <v>10724.3499078061</v>
      </c>
      <c r="Q111" s="263">
        <v>11117.098593845354</v>
      </c>
      <c r="R111" s="263"/>
      <c r="S111" s="264">
        <v>119466.51668176401</v>
      </c>
      <c r="T111" s="263"/>
      <c r="U111" s="263"/>
      <c r="V111" s="263"/>
      <c r="W111" s="263"/>
      <c r="X111" s="263"/>
      <c r="Y111" s="263"/>
    </row>
    <row r="112" spans="1:25">
      <c r="C112" s="160"/>
      <c r="D112" s="160"/>
      <c r="E112" s="192" t="s">
        <v>219</v>
      </c>
      <c r="F112" s="247">
        <v>-297025.45759527571</v>
      </c>
      <c r="G112" s="247">
        <v>-245804.8486667689</v>
      </c>
      <c r="H112" s="247">
        <v>-302774.42879506981</v>
      </c>
      <c r="I112" s="247">
        <v>-267189.90570623364</v>
      </c>
      <c r="J112" s="247">
        <v>-290570.53800132271</v>
      </c>
      <c r="K112" s="247">
        <v>-296099.90325539786</v>
      </c>
      <c r="L112" s="247">
        <v>-258746.73335983764</v>
      </c>
      <c r="M112" s="247">
        <v>-299076.74865716201</v>
      </c>
      <c r="N112" s="247">
        <v>-283206.29674394638</v>
      </c>
      <c r="O112" s="247">
        <v>-267403.54856112093</v>
      </c>
      <c r="P112" s="247">
        <v>-291579.10187570442</v>
      </c>
      <c r="Q112" s="247">
        <v>-284252.64921289042</v>
      </c>
      <c r="R112" s="247"/>
      <c r="S112" s="164">
        <v>-3383730.1604307303</v>
      </c>
      <c r="T112" s="247"/>
      <c r="U112" s="247"/>
      <c r="V112" s="247"/>
      <c r="W112" s="247"/>
      <c r="X112" s="247"/>
      <c r="Y112" s="247"/>
    </row>
    <row r="113" spans="1:25">
      <c r="C113" s="160"/>
      <c r="D113" s="160"/>
      <c r="E113" s="153" t="str">
        <f>+E78</f>
        <v>Unregulated Garbage</v>
      </c>
      <c r="F113" s="180">
        <v>297025.45759527571</v>
      </c>
      <c r="G113" s="180">
        <v>245804.8486667689</v>
      </c>
      <c r="H113" s="180">
        <v>302774.42879506981</v>
      </c>
      <c r="I113" s="180">
        <v>267189.90570623364</v>
      </c>
      <c r="J113" s="180">
        <v>290570.53800132271</v>
      </c>
      <c r="K113" s="180">
        <v>296099.90325539786</v>
      </c>
      <c r="L113" s="180">
        <v>258746.73335983764</v>
      </c>
      <c r="M113" s="180">
        <v>299076.74865716201</v>
      </c>
      <c r="N113" s="180">
        <v>283206.29674394638</v>
      </c>
      <c r="O113" s="180">
        <v>267403.54856112093</v>
      </c>
      <c r="P113" s="180">
        <v>291579.10187570442</v>
      </c>
      <c r="Q113" s="180">
        <v>284252.64921289042</v>
      </c>
      <c r="R113" s="180"/>
      <c r="S113" s="164">
        <v>3383730.1604307303</v>
      </c>
      <c r="T113" s="180"/>
      <c r="U113" s="180"/>
      <c r="V113" s="180"/>
      <c r="W113" s="180"/>
      <c r="X113" s="180"/>
      <c r="Y113" s="180"/>
    </row>
    <row r="114" spans="1:25" s="262" customFormat="1">
      <c r="A114" s="261"/>
      <c r="B114" s="261"/>
      <c r="C114" s="261"/>
      <c r="D114" s="261"/>
      <c r="E114" s="262" t="str">
        <f>+E79</f>
        <v>Regulated RCY (MF)</v>
      </c>
      <c r="F114" s="263">
        <v>6519.5079384357541</v>
      </c>
      <c r="G114" s="263">
        <v>4693.7524881604795</v>
      </c>
      <c r="H114" s="263">
        <v>7615.089027026961</v>
      </c>
      <c r="I114" s="263">
        <v>4251.733534230304</v>
      </c>
      <c r="J114" s="263">
        <v>5163.5363139976434</v>
      </c>
      <c r="K114" s="263">
        <v>5061.5039086173647</v>
      </c>
      <c r="L114" s="263">
        <v>6261.277862646124</v>
      </c>
      <c r="M114" s="263">
        <v>4971.3190753501858</v>
      </c>
      <c r="N114" s="263">
        <v>3998.4776988799085</v>
      </c>
      <c r="O114" s="263">
        <v>4111.5825878948344</v>
      </c>
      <c r="P114" s="263">
        <v>4583.3283237260139</v>
      </c>
      <c r="Q114" s="263">
        <v>4900.2987027963436</v>
      </c>
      <c r="R114" s="263"/>
      <c r="S114" s="264">
        <v>62131.407461761919</v>
      </c>
      <c r="T114" s="263"/>
      <c r="U114" s="263"/>
      <c r="V114" s="263"/>
      <c r="W114" s="263"/>
      <c r="X114" s="263"/>
      <c r="Y114" s="263"/>
    </row>
    <row r="115" spans="1:25">
      <c r="C115" s="160"/>
      <c r="D115" s="160"/>
      <c r="E115" s="165" t="str">
        <f>+E80</f>
        <v>Unregulated RCY / COGS</v>
      </c>
      <c r="F115" s="190">
        <v>69497.182049150797</v>
      </c>
      <c r="G115" s="190">
        <v>51048.791861717669</v>
      </c>
      <c r="H115" s="190">
        <v>70836.408559715404</v>
      </c>
      <c r="I115" s="190">
        <v>57530.521160982935</v>
      </c>
      <c r="J115" s="190">
        <v>61832.688827923295</v>
      </c>
      <c r="K115" s="190">
        <v>64334.388474549836</v>
      </c>
      <c r="L115" s="190">
        <v>54021.452438531574</v>
      </c>
      <c r="M115" s="190">
        <v>58627.04714809014</v>
      </c>
      <c r="N115" s="190">
        <v>58079.430398638506</v>
      </c>
      <c r="O115" s="190">
        <v>55798.427607038131</v>
      </c>
      <c r="P115" s="190">
        <v>63962.584601347276</v>
      </c>
      <c r="Q115" s="190">
        <v>65514.215068167759</v>
      </c>
      <c r="R115" s="190"/>
      <c r="S115" s="191">
        <v>731083.13819585345</v>
      </c>
      <c r="T115" s="180"/>
      <c r="U115" s="180"/>
      <c r="V115" s="180"/>
      <c r="W115" s="180"/>
      <c r="X115" s="180"/>
      <c r="Y115" s="180"/>
    </row>
    <row r="116" spans="1:25">
      <c r="C116" s="160"/>
      <c r="D116" s="160"/>
      <c r="E116" s="153" t="str">
        <f>+E39</f>
        <v>Total Commercial per Disposal Report</v>
      </c>
      <c r="F116" s="180">
        <v>86325.44245496919</v>
      </c>
      <c r="G116" s="180">
        <v>65430.47595754909</v>
      </c>
      <c r="H116" s="180">
        <v>89113.989827501209</v>
      </c>
      <c r="I116" s="180">
        <v>70680.273232926658</v>
      </c>
      <c r="J116" s="180">
        <v>77699.0215354682</v>
      </c>
      <c r="K116" s="180">
        <v>79398.057270640769</v>
      </c>
      <c r="L116" s="180">
        <v>67433.698760864427</v>
      </c>
      <c r="M116" s="180">
        <v>72723.384164356918</v>
      </c>
      <c r="N116" s="180">
        <v>72619.737667512949</v>
      </c>
      <c r="O116" s="180">
        <v>70455.106269900993</v>
      </c>
      <c r="P116" s="180">
        <v>79270.26283287938</v>
      </c>
      <c r="Q116" s="180">
        <v>81531.61236480948</v>
      </c>
      <c r="R116" s="180"/>
      <c r="S116" s="164">
        <v>912681.06233937922</v>
      </c>
      <c r="T116" s="180"/>
      <c r="U116" s="180"/>
      <c r="V116" s="180"/>
      <c r="W116" s="180"/>
      <c r="X116" s="180"/>
      <c r="Y116" s="180"/>
    </row>
    <row r="117" spans="1:25">
      <c r="C117" s="160"/>
      <c r="D117" s="16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2"/>
      <c r="T117" s="180"/>
      <c r="U117" s="180"/>
      <c r="V117" s="180"/>
      <c r="W117" s="180"/>
      <c r="X117" s="180"/>
      <c r="Y117" s="180"/>
    </row>
    <row r="118" spans="1:25">
      <c r="C118" s="160"/>
      <c r="D118" s="160"/>
      <c r="E118" s="154" t="str">
        <f>+E82</f>
        <v>Residential</v>
      </c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2"/>
      <c r="T118" s="180"/>
      <c r="W118" s="180"/>
      <c r="X118" s="180"/>
      <c r="Y118" s="180"/>
    </row>
    <row r="119" spans="1:25" s="262" customFormat="1">
      <c r="A119" s="261"/>
      <c r="B119" s="261"/>
      <c r="C119" s="261"/>
      <c r="D119" s="261"/>
      <c r="E119" s="262" t="str">
        <f>+E83</f>
        <v>Regulated Garbage</v>
      </c>
      <c r="F119" s="263">
        <v>55857.75187194196</v>
      </c>
      <c r="G119" s="263">
        <v>46873.827383856085</v>
      </c>
      <c r="H119" s="263">
        <v>57161.427281094679</v>
      </c>
      <c r="I119" s="263">
        <v>48748.116212464942</v>
      </c>
      <c r="J119" s="263">
        <v>53611.75620939018</v>
      </c>
      <c r="K119" s="263">
        <v>58489.624493178228</v>
      </c>
      <c r="L119" s="263">
        <v>52350.393206457848</v>
      </c>
      <c r="M119" s="263">
        <v>60029.769215693705</v>
      </c>
      <c r="N119" s="263">
        <v>55242.93987953</v>
      </c>
      <c r="O119" s="263">
        <v>51733.151461251364</v>
      </c>
      <c r="P119" s="263">
        <v>57755.717131980025</v>
      </c>
      <c r="Q119" s="263">
        <v>48757.633609871424</v>
      </c>
      <c r="R119" s="263"/>
      <c r="S119" s="264">
        <v>646612.10795671027</v>
      </c>
      <c r="T119" s="263"/>
      <c r="U119" s="263"/>
      <c r="V119" s="263"/>
      <c r="W119" s="263"/>
      <c r="X119" s="263"/>
      <c r="Y119" s="263"/>
    </row>
    <row r="120" spans="1:25">
      <c r="C120" s="160"/>
      <c r="D120" s="160"/>
      <c r="E120" s="192" t="s">
        <v>219</v>
      </c>
      <c r="F120" s="247">
        <v>-164227.74461995903</v>
      </c>
      <c r="G120" s="247">
        <v>-128114.95106890082</v>
      </c>
      <c r="H120" s="247">
        <v>-143937.68631782985</v>
      </c>
      <c r="I120" s="247">
        <v>-136013.2595935674</v>
      </c>
      <c r="J120" s="247">
        <v>-144851.78849375801</v>
      </c>
      <c r="K120" s="247">
        <v>-148794.20114744696</v>
      </c>
      <c r="L120" s="247">
        <v>-144648.54254733981</v>
      </c>
      <c r="M120" s="247">
        <v>-151129.92860447071</v>
      </c>
      <c r="N120" s="247">
        <v>-148047.60895646995</v>
      </c>
      <c r="O120" s="247">
        <v>-135321.97926495213</v>
      </c>
      <c r="P120" s="247">
        <v>-137729.13010571382</v>
      </c>
      <c r="Q120" s="247">
        <v>-141581.10995591572</v>
      </c>
      <c r="R120" s="247"/>
      <c r="S120" s="164">
        <v>-1724397.9306763243</v>
      </c>
      <c r="T120" s="247"/>
      <c r="U120" s="247"/>
      <c r="V120" s="247"/>
      <c r="W120" s="247"/>
      <c r="X120" s="247"/>
      <c r="Y120" s="247"/>
    </row>
    <row r="121" spans="1:25">
      <c r="C121" s="160"/>
      <c r="D121" s="160"/>
      <c r="E121" s="153" t="str">
        <f>+E84</f>
        <v>Unregulated Garbage</v>
      </c>
      <c r="F121" s="180">
        <v>164227.74461995903</v>
      </c>
      <c r="G121" s="180">
        <v>128114.95106890082</v>
      </c>
      <c r="H121" s="180">
        <v>143937.68631782985</v>
      </c>
      <c r="I121" s="180">
        <v>136013.2595935674</v>
      </c>
      <c r="J121" s="180">
        <v>144851.78849375801</v>
      </c>
      <c r="K121" s="180">
        <v>148794.20114744696</v>
      </c>
      <c r="L121" s="180">
        <v>144648.54254733981</v>
      </c>
      <c r="M121" s="180">
        <v>151129.92860447071</v>
      </c>
      <c r="N121" s="180">
        <v>148047.60895646995</v>
      </c>
      <c r="O121" s="180">
        <v>135321.97926495213</v>
      </c>
      <c r="P121" s="180">
        <v>137729.13010571382</v>
      </c>
      <c r="Q121" s="180">
        <v>141581.10995591572</v>
      </c>
      <c r="R121" s="180"/>
      <c r="S121" s="164">
        <v>1724397.9306763243</v>
      </c>
      <c r="T121" s="180"/>
      <c r="U121" s="180"/>
      <c r="V121" s="180"/>
      <c r="W121" s="180"/>
      <c r="X121" s="180"/>
      <c r="Y121" s="180"/>
    </row>
    <row r="122" spans="1:25" s="262" customFormat="1">
      <c r="A122" s="261"/>
      <c r="B122" s="261"/>
      <c r="C122" s="261"/>
      <c r="D122" s="261"/>
      <c r="E122" s="262" t="str">
        <f>+E85</f>
        <v>Regulated Yardwaste</v>
      </c>
      <c r="F122" s="263">
        <v>5457.2233006997776</v>
      </c>
      <c r="G122" s="263">
        <v>5948.3703327729918</v>
      </c>
      <c r="H122" s="263">
        <v>7444.5590574875332</v>
      </c>
      <c r="I122" s="263">
        <v>11119.348299040625</v>
      </c>
      <c r="J122" s="263">
        <v>16071.640827213463</v>
      </c>
      <c r="K122" s="263">
        <v>21746.2423507569</v>
      </c>
      <c r="L122" s="263">
        <v>11711.527174817867</v>
      </c>
      <c r="M122" s="263">
        <v>8397.4047277609097</v>
      </c>
      <c r="N122" s="263">
        <v>7162.3932341185418</v>
      </c>
      <c r="O122" s="263">
        <v>7164.3605384831199</v>
      </c>
      <c r="P122" s="263">
        <v>10987.148451947802</v>
      </c>
      <c r="Q122" s="263">
        <v>7254.0783038709633</v>
      </c>
      <c r="R122" s="263"/>
      <c r="S122" s="264">
        <v>120464.29659897048</v>
      </c>
      <c r="T122" s="263"/>
      <c r="U122" s="263"/>
      <c r="V122" s="263"/>
      <c r="W122" s="263"/>
      <c r="X122" s="263"/>
      <c r="Y122" s="263"/>
    </row>
    <row r="123" spans="1:25">
      <c r="C123" s="160"/>
      <c r="D123" s="160"/>
      <c r="E123" s="153" t="str">
        <f>+E86</f>
        <v>Unregulated Yardwaste</v>
      </c>
      <c r="F123" s="180">
        <v>46737.92445772139</v>
      </c>
      <c r="G123" s="180">
        <v>44576.106657378281</v>
      </c>
      <c r="H123" s="180">
        <v>66332.103150282754</v>
      </c>
      <c r="I123" s="180">
        <v>88058.559929411495</v>
      </c>
      <c r="J123" s="180">
        <v>114064.97617352923</v>
      </c>
      <c r="K123" s="180">
        <v>127265.53767932634</v>
      </c>
      <c r="L123" s="180">
        <v>88611.122719756851</v>
      </c>
      <c r="M123" s="180">
        <v>69832.430872567158</v>
      </c>
      <c r="N123" s="180">
        <v>63851.127494296954</v>
      </c>
      <c r="O123" s="180">
        <v>54458.789245072614</v>
      </c>
      <c r="P123" s="180">
        <v>78212.481614702643</v>
      </c>
      <c r="Q123" s="180">
        <v>57709.072878854175</v>
      </c>
      <c r="R123" s="180"/>
      <c r="S123" s="164">
        <v>899710.23287289985</v>
      </c>
      <c r="T123" s="180"/>
      <c r="U123" s="180"/>
      <c r="V123" s="180"/>
      <c r="W123" s="180"/>
      <c r="X123" s="180"/>
      <c r="Y123" s="180"/>
    </row>
    <row r="124" spans="1:25" s="262" customFormat="1">
      <c r="A124" s="261"/>
      <c r="B124" s="261"/>
      <c r="C124" s="261"/>
      <c r="D124" s="261"/>
      <c r="E124" s="262" t="str">
        <f>+E87</f>
        <v>Regulated RCY</v>
      </c>
      <c r="F124" s="263">
        <v>16903.557333526362</v>
      </c>
      <c r="G124" s="263">
        <v>12540.707770377325</v>
      </c>
      <c r="H124" s="263">
        <v>19129.983195268025</v>
      </c>
      <c r="I124" s="263">
        <v>13049.34831992999</v>
      </c>
      <c r="J124" s="263">
        <v>13020.900836203527</v>
      </c>
      <c r="K124" s="263">
        <v>11518.870948445305</v>
      </c>
      <c r="L124" s="263">
        <v>13931.208185089334</v>
      </c>
      <c r="M124" s="263">
        <v>16641.53590788753</v>
      </c>
      <c r="N124" s="263">
        <v>15370.821558261498</v>
      </c>
      <c r="O124" s="263">
        <v>12215.969204764848</v>
      </c>
      <c r="P124" s="263">
        <v>12031.525352086263</v>
      </c>
      <c r="Q124" s="263">
        <v>9529.3617851819472</v>
      </c>
      <c r="R124" s="263"/>
      <c r="S124" s="264">
        <v>165883.79039702195</v>
      </c>
      <c r="T124" s="263"/>
      <c r="U124" s="263"/>
      <c r="V124" s="263"/>
      <c r="W124" s="263"/>
      <c r="X124" s="263"/>
      <c r="Y124" s="263"/>
    </row>
    <row r="125" spans="1:25">
      <c r="C125" s="160"/>
      <c r="D125" s="160"/>
      <c r="E125" s="165" t="str">
        <f>+E88</f>
        <v>Unregulated RCY</v>
      </c>
      <c r="F125" s="190">
        <v>89971.779245484751</v>
      </c>
      <c r="G125" s="190">
        <v>69033.14382603296</v>
      </c>
      <c r="H125" s="190">
        <v>77924.712433818713</v>
      </c>
      <c r="I125" s="190">
        <v>68341.910768324859</v>
      </c>
      <c r="J125" s="190">
        <v>72169.599110801966</v>
      </c>
      <c r="K125" s="190">
        <v>73973.016546395229</v>
      </c>
      <c r="L125" s="190">
        <v>68252.449734480397</v>
      </c>
      <c r="M125" s="190">
        <v>70455.883562640709</v>
      </c>
      <c r="N125" s="190">
        <v>68058.238942597382</v>
      </c>
      <c r="O125" s="190">
        <v>63188.525798650786</v>
      </c>
      <c r="P125" s="190">
        <v>70989.185461007888</v>
      </c>
      <c r="Q125" s="190">
        <v>73102.33893637819</v>
      </c>
      <c r="R125" s="190"/>
      <c r="S125" s="191">
        <v>865460.78436661395</v>
      </c>
      <c r="T125" s="180"/>
      <c r="U125" s="180"/>
      <c r="V125" s="180"/>
      <c r="W125" s="180"/>
      <c r="X125" s="180"/>
      <c r="Y125" s="180"/>
    </row>
    <row r="126" spans="1:25">
      <c r="C126" s="160"/>
      <c r="D126" s="160"/>
      <c r="E126" s="153" t="str">
        <f>+E53</f>
        <v>Total Residential per Disposal Report</v>
      </c>
      <c r="F126" s="180">
        <v>214928.23620937424</v>
      </c>
      <c r="G126" s="180">
        <v>178972.15597041766</v>
      </c>
      <c r="H126" s="180">
        <v>227992.78511795169</v>
      </c>
      <c r="I126" s="180">
        <v>229317.28352917192</v>
      </c>
      <c r="J126" s="180">
        <v>268938.87315713835</v>
      </c>
      <c r="K126" s="180">
        <v>292993.29201810202</v>
      </c>
      <c r="L126" s="180">
        <v>234856.70102060231</v>
      </c>
      <c r="M126" s="180">
        <v>225357.02428655</v>
      </c>
      <c r="N126" s="180">
        <v>209685.52110880436</v>
      </c>
      <c r="O126" s="180">
        <v>188760.79624822273</v>
      </c>
      <c r="P126" s="180">
        <v>229976.05801172461</v>
      </c>
      <c r="Q126" s="180">
        <v>196352.48551415669</v>
      </c>
      <c r="R126" s="180"/>
      <c r="S126" s="164">
        <v>2698131.2121922164</v>
      </c>
      <c r="T126" s="180"/>
      <c r="U126" s="180"/>
      <c r="V126" s="180"/>
      <c r="W126" s="180"/>
      <c r="X126" s="180"/>
      <c r="Y126" s="180"/>
    </row>
    <row r="127" spans="1:25">
      <c r="C127" s="160"/>
      <c r="D127" s="16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2"/>
      <c r="T127" s="180"/>
      <c r="U127" s="180"/>
      <c r="V127" s="180"/>
      <c r="W127" s="180"/>
      <c r="X127" s="180"/>
      <c r="Y127" s="180"/>
    </row>
    <row r="128" spans="1:25">
      <c r="C128" s="160"/>
      <c r="D128" s="160"/>
      <c r="E128" s="153" t="s">
        <v>222</v>
      </c>
      <c r="F128" s="180">
        <v>103899.92361198652</v>
      </c>
      <c r="G128" s="180">
        <v>85347.011382837823</v>
      </c>
      <c r="H128" s="180">
        <v>109855.69040163605</v>
      </c>
      <c r="I128" s="180">
        <v>92302.140603379274</v>
      </c>
      <c r="J128" s="180">
        <v>105668.73498035206</v>
      </c>
      <c r="K128" s="180">
        <v>114514.67318847138</v>
      </c>
      <c r="L128" s="180">
        <v>96339.816988697901</v>
      </c>
      <c r="M128" s="180">
        <v>103945.22596760892</v>
      </c>
      <c r="N128" s="180">
        <v>99149.479540784465</v>
      </c>
      <c r="O128" s="180">
        <v>91898.864467362175</v>
      </c>
      <c r="P128" s="180">
        <v>102617.5989675462</v>
      </c>
      <c r="Q128" s="180">
        <v>87674.267595566023</v>
      </c>
      <c r="R128" s="180"/>
      <c r="S128" s="164">
        <v>1193213.427696229</v>
      </c>
      <c r="T128" s="180"/>
      <c r="U128" s="180"/>
      <c r="V128" s="180"/>
      <c r="W128" s="180"/>
      <c r="X128" s="180"/>
      <c r="Y128" s="180"/>
    </row>
    <row r="129" spans="3:25">
      <c r="C129" s="160"/>
      <c r="D129" s="16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2"/>
      <c r="T129" s="180"/>
      <c r="U129" s="180"/>
      <c r="V129" s="180"/>
      <c r="W129" s="180"/>
      <c r="X129" s="180"/>
      <c r="Y129" s="180"/>
    </row>
    <row r="130" spans="3:25">
      <c r="C130" s="160"/>
      <c r="D130" s="160"/>
      <c r="E130" s="153" t="s">
        <v>223</v>
      </c>
      <c r="F130" s="180">
        <v>378474.47816434345</v>
      </c>
      <c r="G130" s="180">
        <v>329443.55332796683</v>
      </c>
      <c r="H130" s="180">
        <v>413784.59854545287</v>
      </c>
      <c r="I130" s="180">
        <v>398902.65746209852</v>
      </c>
      <c r="J130" s="180">
        <v>439987.71209260641</v>
      </c>
      <c r="K130" s="180">
        <v>462245.99048874283</v>
      </c>
      <c r="L130" s="180">
        <v>378307.88188146678</v>
      </c>
      <c r="M130" s="180">
        <v>399399.64895090688</v>
      </c>
      <c r="N130" s="180">
        <v>385596.09657631733</v>
      </c>
      <c r="O130" s="180">
        <v>354767.80351812381</v>
      </c>
      <c r="P130" s="180">
        <v>407811.35984460393</v>
      </c>
      <c r="Q130" s="180">
        <v>363889.26387896627</v>
      </c>
      <c r="R130" s="180"/>
      <c r="S130" s="180">
        <v>4712611.0447315956</v>
      </c>
      <c r="T130" s="180"/>
      <c r="U130" s="180"/>
      <c r="V130" s="180"/>
      <c r="W130" s="180"/>
      <c r="X130" s="180"/>
      <c r="Y130" s="180"/>
    </row>
    <row r="131" spans="3:25">
      <c r="C131" s="160"/>
      <c r="D131" s="160"/>
      <c r="E131" s="252" t="s">
        <v>200</v>
      </c>
      <c r="F131" s="253">
        <v>1.4493487583044917E-2</v>
      </c>
      <c r="G131" s="253">
        <v>-6.9102845880011032E-2</v>
      </c>
      <c r="H131" s="253">
        <v>-7.0973218839835761E-2</v>
      </c>
      <c r="I131" s="253">
        <v>1.6724632741828671E-2</v>
      </c>
      <c r="J131" s="253">
        <v>-0.1996966618440863</v>
      </c>
      <c r="K131" s="253">
        <v>-2.4116614170315298E-2</v>
      </c>
      <c r="L131" s="253">
        <v>-1.5840419828925367E-2</v>
      </c>
      <c r="M131" s="253">
        <v>4.1619432637446829E-2</v>
      </c>
      <c r="N131" s="253">
        <v>0.12092693391233778</v>
      </c>
      <c r="O131" s="253">
        <v>0.30426289855179789</v>
      </c>
      <c r="P131" s="253">
        <v>-0.18224211447167771</v>
      </c>
      <c r="Q131" s="253">
        <v>1.3549864904680131E-2</v>
      </c>
      <c r="R131" s="253"/>
      <c r="S131" s="253">
        <v>-2.4245426655680191E-2</v>
      </c>
      <c r="T131" s="180"/>
      <c r="U131" s="180"/>
      <c r="V131" s="180"/>
      <c r="W131" s="180"/>
      <c r="X131" s="180"/>
      <c r="Y131" s="180"/>
    </row>
    <row r="132" spans="3:25">
      <c r="C132" s="160"/>
      <c r="D132" s="16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2"/>
      <c r="T132" s="180"/>
      <c r="U132" s="180"/>
      <c r="V132" s="180"/>
      <c r="W132" s="180"/>
      <c r="X132" s="180"/>
      <c r="Y132" s="180"/>
    </row>
    <row r="133" spans="3:25">
      <c r="C133" s="160"/>
      <c r="D133" s="16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2"/>
      <c r="T133" s="180"/>
      <c r="U133" s="180"/>
      <c r="V133" s="180"/>
      <c r="W133" s="180"/>
      <c r="X133" s="180"/>
      <c r="Y133" s="180"/>
    </row>
    <row r="134" spans="3:25"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2"/>
      <c r="T134" s="180"/>
      <c r="U134" s="180"/>
      <c r="V134" s="180"/>
      <c r="W134" s="180"/>
      <c r="X134" s="180"/>
      <c r="Y134" s="180"/>
    </row>
    <row r="135" spans="3:25"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2"/>
      <c r="T135" s="180"/>
      <c r="U135" s="180"/>
      <c r="V135" s="180"/>
      <c r="W135" s="180"/>
      <c r="X135" s="180"/>
      <c r="Y135" s="180"/>
    </row>
    <row r="136" spans="3:25"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2"/>
      <c r="T136" s="180"/>
      <c r="U136" s="180"/>
      <c r="V136" s="180"/>
      <c r="W136" s="180"/>
      <c r="X136" s="180"/>
      <c r="Y136" s="180"/>
    </row>
    <row r="137" spans="3:25"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2"/>
      <c r="T137" s="180"/>
      <c r="U137" s="180"/>
      <c r="V137" s="180"/>
      <c r="W137" s="180"/>
      <c r="X137" s="180"/>
      <c r="Y137" s="180"/>
    </row>
    <row r="138" spans="3:25"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2"/>
      <c r="T138" s="180"/>
      <c r="U138" s="180"/>
      <c r="V138" s="180"/>
      <c r="W138" s="180"/>
      <c r="X138" s="180"/>
      <c r="Y138" s="180"/>
    </row>
    <row r="139" spans="3:25"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2"/>
      <c r="T139" s="180"/>
      <c r="U139" s="180"/>
      <c r="V139" s="180"/>
      <c r="W139" s="180"/>
      <c r="X139" s="180"/>
      <c r="Y139" s="180"/>
    </row>
    <row r="140" spans="3:25"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2"/>
      <c r="T140" s="180"/>
      <c r="U140" s="180"/>
      <c r="V140" s="180"/>
      <c r="W140" s="180"/>
      <c r="X140" s="180"/>
      <c r="Y140" s="180"/>
    </row>
    <row r="141" spans="3:25"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2"/>
      <c r="T141" s="180"/>
      <c r="U141" s="180"/>
      <c r="V141" s="180"/>
      <c r="W141" s="180"/>
      <c r="X141" s="180"/>
      <c r="Y141" s="180"/>
    </row>
    <row r="142" spans="3:25"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2"/>
      <c r="T142" s="180"/>
      <c r="U142" s="180"/>
      <c r="V142" s="180"/>
      <c r="W142" s="268">
        <v>44866</v>
      </c>
      <c r="X142" s="180"/>
      <c r="Y142" s="180"/>
    </row>
    <row r="143" spans="3:25"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2"/>
      <c r="T143" s="180"/>
      <c r="U143" s="180"/>
      <c r="V143" s="180"/>
      <c r="W143" s="269" t="s">
        <v>270</v>
      </c>
      <c r="X143" s="269" t="s">
        <v>271</v>
      </c>
      <c r="Y143" s="180"/>
    </row>
    <row r="144" spans="3:25"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2"/>
      <c r="T144" s="180"/>
      <c r="U144" s="180"/>
      <c r="V144" s="180"/>
      <c r="W144" s="270">
        <v>1248.1500000000001</v>
      </c>
      <c r="X144" s="271">
        <v>72692.259999999995</v>
      </c>
      <c r="Y144" s="180"/>
    </row>
    <row r="145" spans="6:25"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2"/>
      <c r="T145" s="180"/>
      <c r="U145" s="180"/>
      <c r="V145" s="180"/>
      <c r="W145" s="270">
        <v>620.99</v>
      </c>
      <c r="X145" s="271">
        <v>42916.62</v>
      </c>
      <c r="Y145" s="180"/>
    </row>
    <row r="146" spans="6:25"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2"/>
      <c r="T146" s="180"/>
      <c r="U146" s="180"/>
      <c r="V146" s="180"/>
      <c r="W146" s="180">
        <f>SUM(W144:W145)</f>
        <v>1869.14</v>
      </c>
      <c r="X146" s="271">
        <f>SUM(X144:X145)</f>
        <v>115608.88</v>
      </c>
      <c r="Y146" s="271">
        <f>X146/W146</f>
        <v>61.851375498892537</v>
      </c>
    </row>
    <row r="147" spans="6:25"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2"/>
      <c r="T147" s="180"/>
      <c r="U147" s="180"/>
      <c r="V147" s="180"/>
      <c r="W147" s="180"/>
      <c r="X147" s="180"/>
      <c r="Y147" s="180"/>
    </row>
    <row r="148" spans="6:25"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2"/>
      <c r="T148" s="180"/>
      <c r="U148" s="180"/>
      <c r="V148" s="180"/>
      <c r="W148" s="180"/>
      <c r="X148" s="180"/>
      <c r="Y148" s="180"/>
    </row>
    <row r="149" spans="6:25"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2"/>
      <c r="T149" s="180"/>
      <c r="U149" s="180"/>
      <c r="V149" s="180"/>
      <c r="W149" s="180"/>
      <c r="X149" s="180"/>
      <c r="Y149" s="180"/>
    </row>
    <row r="150" spans="6:25"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2"/>
      <c r="T150" s="180"/>
      <c r="U150" s="180"/>
      <c r="V150" s="180"/>
      <c r="W150" s="180"/>
      <c r="X150" s="180"/>
      <c r="Y150" s="180"/>
    </row>
    <row r="151" spans="6:25"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2"/>
      <c r="T151" s="180"/>
      <c r="U151" s="180"/>
      <c r="V151" s="180"/>
      <c r="W151" s="180"/>
      <c r="X151" s="180"/>
      <c r="Y151" s="180"/>
    </row>
    <row r="152" spans="6:25"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2"/>
      <c r="T152" s="180"/>
      <c r="U152" s="180"/>
      <c r="V152" s="180"/>
      <c r="W152" s="180"/>
      <c r="X152" s="180"/>
      <c r="Y152" s="180"/>
    </row>
    <row r="153" spans="6:25"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2"/>
      <c r="T153" s="180"/>
      <c r="U153" s="180"/>
      <c r="V153" s="180"/>
      <c r="W153" s="180"/>
      <c r="X153" s="180"/>
      <c r="Y153" s="180"/>
    </row>
    <row r="154" spans="6:25"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2"/>
      <c r="T154" s="180"/>
      <c r="U154" s="180"/>
      <c r="V154" s="180"/>
      <c r="W154" s="180"/>
      <c r="X154" s="180"/>
      <c r="Y154" s="180"/>
    </row>
    <row r="155" spans="6:25"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2"/>
      <c r="T155" s="180"/>
      <c r="U155" s="180"/>
      <c r="V155" s="180"/>
      <c r="W155" s="180"/>
      <c r="X155" s="180"/>
      <c r="Y155" s="180"/>
    </row>
    <row r="156" spans="6:25"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2"/>
      <c r="T156" s="180"/>
      <c r="U156" s="180"/>
      <c r="V156" s="180"/>
      <c r="W156" s="268">
        <v>44562</v>
      </c>
      <c r="X156" s="180"/>
      <c r="Y156" s="180"/>
    </row>
    <row r="157" spans="6:25"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2"/>
      <c r="T157" s="180"/>
      <c r="U157" s="180"/>
      <c r="V157" s="180"/>
      <c r="W157" s="269" t="s">
        <v>270</v>
      </c>
      <c r="X157" s="269" t="s">
        <v>271</v>
      </c>
      <c r="Y157" s="180"/>
    </row>
    <row r="158" spans="6:25"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2"/>
      <c r="T158" s="180"/>
      <c r="U158" s="180"/>
      <c r="V158" s="180"/>
      <c r="W158" s="180">
        <v>366.52</v>
      </c>
      <c r="X158" s="180">
        <v>21346.12</v>
      </c>
      <c r="Y158" s="180"/>
    </row>
    <row r="159" spans="6:25"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2"/>
      <c r="T159" s="180"/>
      <c r="U159" s="180"/>
      <c r="V159" s="180"/>
      <c r="W159" s="180">
        <v>393.17</v>
      </c>
      <c r="X159" s="180">
        <v>27171.98</v>
      </c>
      <c r="Y159" s="180"/>
    </row>
    <row r="160" spans="6:25"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2"/>
      <c r="T160" s="180"/>
      <c r="U160" s="180"/>
      <c r="V160" s="180"/>
      <c r="W160" s="180">
        <f>SUM(W158:W159)</f>
        <v>759.69</v>
      </c>
      <c r="X160" s="271">
        <f>SUM(X158:X159)</f>
        <v>48518.1</v>
      </c>
      <c r="Y160" s="271">
        <f>X160/W160</f>
        <v>63.865655727994309</v>
      </c>
    </row>
    <row r="161" spans="6:25"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2"/>
      <c r="T161" s="180"/>
      <c r="U161" s="180"/>
      <c r="V161" s="180"/>
      <c r="W161" s="180"/>
      <c r="X161" s="180"/>
      <c r="Y161" s="180"/>
    </row>
    <row r="162" spans="6:25"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2"/>
      <c r="T162" s="180"/>
      <c r="U162" s="180"/>
      <c r="V162" s="180"/>
      <c r="W162" s="180"/>
      <c r="X162" s="180"/>
      <c r="Y162" s="180"/>
    </row>
    <row r="163" spans="6:25"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2"/>
      <c r="T163" s="180"/>
      <c r="U163" s="180"/>
      <c r="V163" s="180"/>
      <c r="W163" s="180"/>
      <c r="X163" s="180"/>
      <c r="Y163" s="180"/>
    </row>
    <row r="164" spans="6:25"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2"/>
      <c r="T164" s="180"/>
      <c r="U164" s="180"/>
      <c r="V164" s="180"/>
      <c r="W164" s="180"/>
      <c r="X164" s="180"/>
      <c r="Y164" s="180"/>
    </row>
    <row r="165" spans="6:25"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2"/>
      <c r="T165" s="180"/>
      <c r="U165" s="180"/>
      <c r="V165" s="180"/>
      <c r="W165" s="180"/>
      <c r="X165" s="180"/>
      <c r="Y165" s="180"/>
    </row>
    <row r="166" spans="6:25"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2"/>
      <c r="T166" s="180"/>
      <c r="U166" s="180"/>
      <c r="V166" s="180"/>
      <c r="W166" s="180"/>
      <c r="X166" s="180"/>
      <c r="Y166" s="180"/>
    </row>
    <row r="167" spans="6:25"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2"/>
      <c r="T167" s="180"/>
      <c r="U167" s="180"/>
      <c r="V167" s="180"/>
      <c r="W167" s="180"/>
      <c r="X167" s="180"/>
      <c r="Y167" s="180"/>
    </row>
    <row r="168" spans="6:25"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2"/>
      <c r="T168" s="180"/>
      <c r="U168" s="180"/>
      <c r="V168" s="180"/>
      <c r="W168" s="180"/>
      <c r="X168" s="180"/>
      <c r="Y168" s="180"/>
    </row>
    <row r="169" spans="6:25"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2"/>
      <c r="T169" s="180"/>
      <c r="U169" s="180"/>
      <c r="V169" s="180"/>
      <c r="W169" s="180"/>
      <c r="X169" s="180"/>
      <c r="Y169" s="180"/>
    </row>
    <row r="170" spans="6:25"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2"/>
      <c r="T170" s="180"/>
      <c r="U170" s="180"/>
      <c r="V170" s="180"/>
      <c r="W170" s="180"/>
      <c r="X170" s="180"/>
      <c r="Y170" s="180"/>
    </row>
    <row r="171" spans="6:25"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2"/>
      <c r="T171" s="180"/>
      <c r="U171" s="180"/>
      <c r="V171" s="180"/>
      <c r="W171" s="180"/>
      <c r="X171" s="180"/>
      <c r="Y171" s="180"/>
    </row>
    <row r="172" spans="6:25"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2"/>
      <c r="T172" s="180"/>
      <c r="U172" s="180"/>
      <c r="V172" s="180"/>
      <c r="W172" s="180"/>
      <c r="X172" s="180"/>
      <c r="Y172" s="180"/>
    </row>
    <row r="173" spans="6:25"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2"/>
      <c r="T173" s="180"/>
      <c r="U173" s="180"/>
      <c r="V173" s="180"/>
      <c r="W173" s="180"/>
      <c r="X173" s="180"/>
      <c r="Y173" s="180"/>
    </row>
    <row r="174" spans="6:25"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2"/>
      <c r="T174" s="180"/>
      <c r="U174" s="180"/>
      <c r="V174" s="180"/>
      <c r="W174" s="268">
        <v>44682</v>
      </c>
      <c r="X174" s="180"/>
      <c r="Y174" s="180"/>
    </row>
    <row r="175" spans="6:25"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2"/>
      <c r="T175" s="180"/>
      <c r="U175" s="180"/>
      <c r="V175" s="180"/>
      <c r="W175" s="269" t="s">
        <v>270</v>
      </c>
      <c r="X175" s="269" t="s">
        <v>271</v>
      </c>
      <c r="Y175" s="180"/>
    </row>
    <row r="176" spans="6:25"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2"/>
      <c r="T176" s="180"/>
      <c r="U176" s="180"/>
      <c r="V176" s="180"/>
      <c r="W176" s="180">
        <v>1657.86</v>
      </c>
      <c r="X176" s="180">
        <v>96553.77</v>
      </c>
      <c r="Y176" s="180"/>
    </row>
    <row r="177" spans="6:25"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2"/>
      <c r="T177" s="180"/>
      <c r="U177" s="180"/>
      <c r="V177" s="180"/>
      <c r="W177" s="180">
        <v>1011.95</v>
      </c>
      <c r="X177" s="180">
        <v>69935.86</v>
      </c>
      <c r="Y177" s="180"/>
    </row>
    <row r="178" spans="6:25"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2"/>
      <c r="T178" s="180"/>
      <c r="U178" s="180"/>
      <c r="V178" s="180"/>
      <c r="W178" s="180">
        <f>SUM(W176:W177)</f>
        <v>2669.81</v>
      </c>
      <c r="X178" s="271">
        <f>SUM(X176:X177)</f>
        <v>166489.63</v>
      </c>
      <c r="Y178" s="271">
        <f>X178/W178</f>
        <v>62.360104277083394</v>
      </c>
    </row>
    <row r="179" spans="6:25"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2"/>
      <c r="T179" s="180"/>
      <c r="U179" s="180"/>
      <c r="V179" s="180"/>
      <c r="W179" s="180"/>
      <c r="X179" s="180"/>
      <c r="Y179" s="180"/>
    </row>
    <row r="180" spans="6:25"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2"/>
      <c r="T180" s="180"/>
      <c r="U180" s="180"/>
      <c r="V180" s="180"/>
      <c r="W180" s="180"/>
      <c r="X180" s="180"/>
      <c r="Y180" s="180"/>
    </row>
    <row r="181" spans="6:25"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2"/>
      <c r="T181" s="180"/>
      <c r="U181" s="180"/>
      <c r="V181" s="180"/>
      <c r="W181" s="180"/>
      <c r="X181" s="180"/>
      <c r="Y181" s="180"/>
    </row>
    <row r="182" spans="6:25"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2"/>
      <c r="T182" s="180"/>
      <c r="U182" s="180"/>
      <c r="V182" s="180"/>
      <c r="W182" s="180"/>
      <c r="X182" s="180"/>
      <c r="Y182" s="180"/>
    </row>
    <row r="183" spans="6:25"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2"/>
      <c r="T183" s="180"/>
      <c r="U183" s="180"/>
      <c r="V183" s="180"/>
      <c r="W183" s="180"/>
      <c r="X183" s="180"/>
      <c r="Y183" s="180"/>
    </row>
    <row r="184" spans="6:25"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2"/>
      <c r="T184" s="180"/>
      <c r="U184" s="180"/>
      <c r="V184" s="180"/>
      <c r="W184" s="180"/>
      <c r="X184" s="180"/>
      <c r="Y184" s="180"/>
    </row>
    <row r="185" spans="6:25"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2"/>
      <c r="T185" s="180"/>
      <c r="U185" s="180"/>
      <c r="V185" s="180"/>
      <c r="W185" s="180"/>
      <c r="X185" s="180"/>
      <c r="Y185" s="180"/>
    </row>
    <row r="186" spans="6:25"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2"/>
      <c r="T186" s="180"/>
      <c r="U186" s="180"/>
      <c r="V186" s="180"/>
      <c r="W186" s="180"/>
      <c r="X186" s="180"/>
      <c r="Y186" s="180"/>
    </row>
    <row r="187" spans="6:25"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2"/>
      <c r="T187" s="180"/>
      <c r="U187" s="180"/>
      <c r="V187" s="180"/>
      <c r="W187" s="180"/>
      <c r="X187" s="180"/>
      <c r="Y187" s="180"/>
    </row>
    <row r="188" spans="6:25"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2"/>
      <c r="T188" s="180"/>
      <c r="U188" s="180"/>
      <c r="V188" s="180"/>
      <c r="W188" s="180"/>
      <c r="X188" s="180"/>
      <c r="Y188" s="180"/>
    </row>
    <row r="189" spans="6:25"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2"/>
      <c r="T189" s="180"/>
      <c r="U189" s="180"/>
      <c r="V189" s="180"/>
      <c r="W189" s="180"/>
      <c r="X189" s="180"/>
      <c r="Y189" s="180"/>
    </row>
    <row r="190" spans="6:25"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2"/>
      <c r="T190" s="180"/>
      <c r="U190" s="180"/>
      <c r="V190" s="180"/>
      <c r="W190" s="180"/>
      <c r="X190" s="180"/>
      <c r="Y190" s="180"/>
    </row>
    <row r="191" spans="6:25"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2"/>
      <c r="T191" s="180"/>
      <c r="U191" s="180"/>
      <c r="V191" s="180"/>
      <c r="W191" s="180"/>
      <c r="X191" s="180"/>
      <c r="Y191" s="180"/>
    </row>
    <row r="192" spans="6:25"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2"/>
      <c r="T192" s="180"/>
      <c r="U192" s="180"/>
      <c r="V192" s="180"/>
      <c r="W192" s="180"/>
      <c r="X192" s="180"/>
      <c r="Y192" s="180"/>
    </row>
    <row r="193" spans="6:25"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2"/>
      <c r="T193" s="180"/>
      <c r="U193" s="180"/>
      <c r="V193" s="180"/>
      <c r="W193" s="180"/>
      <c r="X193" s="180"/>
      <c r="Y193" s="180"/>
    </row>
    <row r="194" spans="6:25"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2"/>
      <c r="T194" s="180"/>
      <c r="U194" s="180"/>
      <c r="V194" s="180"/>
      <c r="W194" s="180"/>
      <c r="X194" s="180"/>
      <c r="Y194" s="180"/>
    </row>
    <row r="195" spans="6:25"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2"/>
      <c r="T195" s="180"/>
      <c r="U195" s="180"/>
      <c r="V195" s="180"/>
      <c r="W195" s="180"/>
      <c r="X195" s="180"/>
      <c r="Y195" s="180"/>
    </row>
    <row r="196" spans="6:25"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2"/>
      <c r="T196" s="180"/>
      <c r="U196" s="180"/>
      <c r="V196" s="180"/>
      <c r="W196" s="180"/>
      <c r="X196" s="180"/>
      <c r="Y196" s="180"/>
    </row>
    <row r="197" spans="6:25"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2"/>
      <c r="T197" s="180"/>
      <c r="U197" s="180"/>
      <c r="V197" s="180"/>
      <c r="W197" s="180"/>
      <c r="X197" s="180"/>
      <c r="Y197" s="180"/>
    </row>
    <row r="198" spans="6:25"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2"/>
      <c r="T198" s="180"/>
      <c r="U198" s="180"/>
      <c r="V198" s="180"/>
      <c r="W198" s="180"/>
      <c r="X198" s="180"/>
      <c r="Y198" s="180"/>
    </row>
    <row r="199" spans="6:25"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2"/>
      <c r="T199" s="180"/>
      <c r="U199" s="180"/>
      <c r="V199" s="180"/>
      <c r="W199" s="180"/>
      <c r="X199" s="180"/>
      <c r="Y199" s="180"/>
    </row>
    <row r="200" spans="6:25"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2"/>
      <c r="T200" s="180"/>
      <c r="U200" s="180"/>
      <c r="V200" s="180"/>
      <c r="W200" s="180"/>
      <c r="X200" s="180"/>
      <c r="Y200" s="180"/>
    </row>
    <row r="201" spans="6:25"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2"/>
      <c r="T201" s="180"/>
      <c r="U201" s="180"/>
      <c r="V201" s="180"/>
      <c r="W201" s="180"/>
      <c r="X201" s="180"/>
      <c r="Y201" s="180"/>
    </row>
    <row r="202" spans="6:25"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2"/>
      <c r="T202" s="180"/>
      <c r="U202" s="180"/>
      <c r="V202" s="180"/>
      <c r="W202" s="180"/>
      <c r="X202" s="180"/>
      <c r="Y202" s="180"/>
    </row>
    <row r="203" spans="6:25"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2"/>
      <c r="T203" s="180"/>
      <c r="U203" s="180"/>
      <c r="V203" s="180"/>
      <c r="W203" s="180"/>
      <c r="X203" s="180"/>
      <c r="Y203" s="180"/>
    </row>
    <row r="204" spans="6:25"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2"/>
      <c r="T204" s="180"/>
      <c r="U204" s="180"/>
      <c r="V204" s="180"/>
      <c r="W204" s="180"/>
      <c r="X204" s="180"/>
      <c r="Y204" s="180"/>
    </row>
    <row r="205" spans="6:25"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2"/>
      <c r="T205" s="180"/>
      <c r="U205" s="180"/>
      <c r="V205" s="180"/>
      <c r="W205" s="180"/>
      <c r="X205" s="180"/>
      <c r="Y205" s="180"/>
    </row>
    <row r="206" spans="6:25"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2"/>
      <c r="T206" s="180"/>
      <c r="U206" s="180"/>
      <c r="V206" s="180"/>
      <c r="W206" s="180"/>
      <c r="X206" s="180"/>
      <c r="Y206" s="180"/>
    </row>
    <row r="207" spans="6:25"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2"/>
      <c r="T207" s="180"/>
      <c r="U207" s="180"/>
      <c r="V207" s="180"/>
      <c r="W207" s="180"/>
      <c r="X207" s="180"/>
      <c r="Y207" s="180"/>
    </row>
    <row r="208" spans="6:25"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2"/>
      <c r="T208" s="180"/>
      <c r="U208" s="180"/>
      <c r="V208" s="180"/>
      <c r="W208" s="180"/>
      <c r="X208" s="180"/>
      <c r="Y208" s="180"/>
    </row>
    <row r="209" spans="6:25"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2"/>
      <c r="T209" s="180"/>
      <c r="U209" s="180"/>
      <c r="V209" s="180"/>
      <c r="W209" s="180"/>
      <c r="X209" s="180"/>
      <c r="Y209" s="180"/>
    </row>
    <row r="210" spans="6:25"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2"/>
      <c r="T210" s="180"/>
      <c r="U210" s="180"/>
      <c r="V210" s="180"/>
      <c r="W210" s="180"/>
      <c r="X210" s="180"/>
      <c r="Y210" s="180"/>
    </row>
    <row r="211" spans="6:25"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2"/>
      <c r="T211" s="180"/>
      <c r="U211" s="180"/>
      <c r="V211" s="180"/>
      <c r="W211" s="180"/>
      <c r="X211" s="180"/>
      <c r="Y211" s="180"/>
    </row>
    <row r="212" spans="6:25"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2"/>
      <c r="T212" s="180"/>
      <c r="U212" s="180"/>
      <c r="V212" s="180"/>
      <c r="W212" s="180"/>
      <c r="X212" s="180"/>
      <c r="Y212" s="180"/>
    </row>
    <row r="213" spans="6:25"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2"/>
      <c r="T213" s="180"/>
      <c r="U213" s="180"/>
      <c r="V213" s="180"/>
      <c r="W213" s="180"/>
      <c r="X213" s="180"/>
      <c r="Y213" s="180"/>
    </row>
    <row r="214" spans="6:25"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2"/>
      <c r="T214" s="180"/>
      <c r="U214" s="180"/>
      <c r="V214" s="180"/>
      <c r="W214" s="180"/>
      <c r="X214" s="180"/>
      <c r="Y214" s="180"/>
    </row>
    <row r="215" spans="6:25"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2"/>
      <c r="T215" s="180"/>
      <c r="U215" s="180"/>
      <c r="V215" s="180"/>
      <c r="W215" s="180"/>
      <c r="X215" s="180"/>
      <c r="Y215" s="180"/>
    </row>
    <row r="216" spans="6:25"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2"/>
      <c r="T216" s="180"/>
      <c r="U216" s="180"/>
      <c r="V216" s="180"/>
      <c r="W216" s="180"/>
      <c r="X216" s="180"/>
      <c r="Y216" s="180"/>
    </row>
    <row r="217" spans="6:25"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2"/>
      <c r="T217" s="180"/>
      <c r="U217" s="180"/>
      <c r="V217" s="180"/>
      <c r="W217" s="180"/>
      <c r="X217" s="180"/>
      <c r="Y217" s="180"/>
    </row>
    <row r="218" spans="6:25"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2"/>
      <c r="T218" s="180"/>
      <c r="U218" s="180"/>
      <c r="V218" s="180"/>
      <c r="W218" s="180"/>
      <c r="X218" s="180"/>
      <c r="Y218" s="180"/>
    </row>
    <row r="219" spans="6:25"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2"/>
      <c r="T219" s="180"/>
      <c r="U219" s="180"/>
      <c r="V219" s="180"/>
      <c r="W219" s="180"/>
      <c r="X219" s="180"/>
      <c r="Y219" s="180"/>
    </row>
    <row r="220" spans="6:25"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2"/>
      <c r="T220" s="180"/>
      <c r="U220" s="180"/>
      <c r="V220" s="180"/>
      <c r="W220" s="180"/>
      <c r="X220" s="180"/>
      <c r="Y220" s="180"/>
    </row>
    <row r="221" spans="6:25"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2"/>
      <c r="T221" s="180"/>
      <c r="U221" s="180"/>
      <c r="V221" s="180"/>
      <c r="W221" s="180"/>
      <c r="X221" s="180"/>
      <c r="Y221" s="180"/>
    </row>
    <row r="222" spans="6:25"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2"/>
      <c r="T222" s="180"/>
      <c r="U222" s="180"/>
      <c r="V222" s="180"/>
      <c r="W222" s="180"/>
      <c r="X222" s="180"/>
      <c r="Y222" s="180"/>
    </row>
    <row r="223" spans="6:25"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2"/>
      <c r="T223" s="180"/>
      <c r="U223" s="180"/>
      <c r="V223" s="180"/>
      <c r="W223" s="180"/>
      <c r="X223" s="180"/>
      <c r="Y223" s="180"/>
    </row>
    <row r="224" spans="6:25"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2"/>
      <c r="T224" s="180"/>
      <c r="U224" s="180"/>
      <c r="V224" s="180"/>
      <c r="W224" s="180"/>
      <c r="X224" s="180"/>
      <c r="Y224" s="180"/>
    </row>
    <row r="225" spans="6:25"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2"/>
      <c r="T225" s="180"/>
      <c r="U225" s="180"/>
      <c r="V225" s="180"/>
      <c r="W225" s="180"/>
      <c r="X225" s="180"/>
      <c r="Y225" s="180"/>
    </row>
    <row r="226" spans="6:25"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2"/>
      <c r="T226" s="180"/>
      <c r="U226" s="180"/>
      <c r="V226" s="180"/>
      <c r="W226" s="180"/>
      <c r="X226" s="180"/>
      <c r="Y226" s="180"/>
    </row>
    <row r="227" spans="6:25"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2"/>
      <c r="T227" s="180"/>
      <c r="U227" s="180"/>
      <c r="V227" s="180"/>
      <c r="W227" s="180"/>
      <c r="X227" s="180"/>
      <c r="Y227" s="180"/>
    </row>
    <row r="228" spans="6:25"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2"/>
      <c r="T228" s="180"/>
      <c r="U228" s="180"/>
      <c r="V228" s="180"/>
      <c r="W228" s="180"/>
      <c r="X228" s="180"/>
      <c r="Y228" s="180"/>
    </row>
    <row r="229" spans="6:25">
      <c r="F229" s="180"/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2"/>
      <c r="T229" s="180"/>
      <c r="U229" s="180"/>
      <c r="V229" s="180"/>
      <c r="W229" s="180"/>
      <c r="X229" s="180"/>
      <c r="Y229" s="180"/>
    </row>
    <row r="230" spans="6:25"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2"/>
      <c r="T230" s="180"/>
      <c r="U230" s="180"/>
      <c r="V230" s="180"/>
      <c r="W230" s="180"/>
      <c r="X230" s="180"/>
      <c r="Y230" s="180"/>
    </row>
    <row r="231" spans="6:25"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2"/>
      <c r="T231" s="180"/>
      <c r="U231" s="180"/>
      <c r="V231" s="180"/>
      <c r="W231" s="180"/>
      <c r="X231" s="180"/>
      <c r="Y231" s="180"/>
    </row>
    <row r="232" spans="6:25"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2"/>
      <c r="T232" s="180"/>
      <c r="U232" s="180"/>
      <c r="V232" s="180"/>
      <c r="W232" s="180"/>
      <c r="X232" s="180"/>
      <c r="Y232" s="180"/>
    </row>
    <row r="233" spans="6:25"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2"/>
      <c r="T233" s="180"/>
      <c r="U233" s="180"/>
      <c r="V233" s="180"/>
      <c r="W233" s="180"/>
      <c r="X233" s="180"/>
      <c r="Y233" s="180"/>
    </row>
    <row r="234" spans="6:25">
      <c r="F234" s="180"/>
      <c r="G234" s="180"/>
      <c r="H234" s="180"/>
      <c r="I234" s="180"/>
      <c r="J234" s="180"/>
      <c r="K234" s="180"/>
      <c r="L234" s="180"/>
      <c r="M234" s="180"/>
      <c r="N234" s="180"/>
      <c r="O234" s="180"/>
      <c r="P234" s="180"/>
      <c r="Q234" s="180"/>
      <c r="R234" s="180"/>
      <c r="S234" s="182"/>
      <c r="T234" s="180"/>
      <c r="U234" s="180"/>
      <c r="V234" s="180"/>
      <c r="W234" s="180"/>
      <c r="X234" s="180"/>
      <c r="Y234" s="180"/>
    </row>
    <row r="235" spans="6:25"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0"/>
      <c r="Q235" s="180"/>
      <c r="R235" s="180"/>
      <c r="S235" s="182"/>
      <c r="T235" s="180"/>
      <c r="U235" s="180"/>
      <c r="V235" s="180"/>
      <c r="W235" s="180"/>
      <c r="X235" s="180"/>
      <c r="Y235" s="180"/>
    </row>
    <row r="236" spans="6:25">
      <c r="F236" s="180"/>
      <c r="G236" s="180"/>
      <c r="H236" s="180"/>
      <c r="I236" s="180"/>
      <c r="J236" s="180"/>
      <c r="K236" s="180"/>
      <c r="L236" s="180"/>
      <c r="M236" s="180"/>
      <c r="N236" s="180"/>
      <c r="O236" s="180"/>
      <c r="P236" s="180"/>
      <c r="Q236" s="180"/>
      <c r="R236" s="180"/>
      <c r="S236" s="182"/>
      <c r="T236" s="180"/>
      <c r="U236" s="180"/>
      <c r="V236" s="180"/>
      <c r="W236" s="180"/>
      <c r="X236" s="180"/>
      <c r="Y236" s="180"/>
    </row>
    <row r="237" spans="6:25"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R237" s="180"/>
      <c r="S237" s="182"/>
      <c r="T237" s="180"/>
      <c r="U237" s="180"/>
      <c r="V237" s="180"/>
      <c r="W237" s="180"/>
      <c r="X237" s="180"/>
      <c r="Y237" s="180"/>
    </row>
    <row r="238" spans="6:25"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R238" s="180"/>
      <c r="S238" s="182"/>
      <c r="T238" s="180"/>
      <c r="U238" s="180"/>
      <c r="V238" s="180"/>
      <c r="W238" s="180"/>
      <c r="X238" s="180"/>
      <c r="Y238" s="180"/>
    </row>
    <row r="239" spans="6:25">
      <c r="F239" s="180"/>
      <c r="G239" s="180"/>
      <c r="H239" s="180"/>
      <c r="I239" s="180"/>
      <c r="J239" s="180"/>
      <c r="K239" s="180"/>
      <c r="L239" s="180"/>
      <c r="M239" s="180"/>
      <c r="N239" s="180"/>
      <c r="O239" s="180"/>
      <c r="P239" s="180"/>
      <c r="Q239" s="180"/>
      <c r="R239" s="180"/>
      <c r="S239" s="182"/>
      <c r="T239" s="180"/>
      <c r="U239" s="180"/>
      <c r="V239" s="180"/>
      <c r="W239" s="180"/>
      <c r="X239" s="180"/>
      <c r="Y239" s="180"/>
    </row>
    <row r="240" spans="6:25"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80"/>
      <c r="R240" s="180"/>
      <c r="S240" s="182"/>
      <c r="T240" s="180"/>
      <c r="U240" s="180"/>
      <c r="V240" s="180"/>
      <c r="W240" s="180"/>
      <c r="X240" s="180"/>
      <c r="Y240" s="180"/>
    </row>
    <row r="241" spans="6:25">
      <c r="F241" s="180"/>
      <c r="G241" s="180"/>
      <c r="H241" s="180"/>
      <c r="I241" s="180"/>
      <c r="J241" s="180"/>
      <c r="K241" s="180"/>
      <c r="L241" s="180"/>
      <c r="M241" s="180"/>
      <c r="N241" s="180"/>
      <c r="O241" s="180"/>
      <c r="P241" s="180"/>
      <c r="Q241" s="180"/>
      <c r="R241" s="180"/>
      <c r="S241" s="182"/>
      <c r="T241" s="180"/>
      <c r="U241" s="180"/>
      <c r="V241" s="180"/>
      <c r="W241" s="180"/>
      <c r="X241" s="180"/>
      <c r="Y241" s="180"/>
    </row>
    <row r="242" spans="6:25">
      <c r="F242" s="180"/>
      <c r="G242" s="180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2"/>
      <c r="T242" s="180"/>
      <c r="U242" s="180"/>
      <c r="V242" s="180"/>
      <c r="W242" s="180"/>
      <c r="X242" s="180"/>
      <c r="Y242" s="180"/>
    </row>
    <row r="243" spans="6:25"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2"/>
      <c r="T243" s="180"/>
      <c r="U243" s="180"/>
      <c r="V243" s="180"/>
      <c r="W243" s="180"/>
      <c r="X243" s="180"/>
      <c r="Y243" s="180"/>
    </row>
    <row r="244" spans="6:25">
      <c r="F244" s="180"/>
      <c r="G244" s="180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2"/>
      <c r="T244" s="180"/>
      <c r="U244" s="180"/>
      <c r="V244" s="180"/>
      <c r="W244" s="180"/>
      <c r="X244" s="180"/>
      <c r="Y244" s="180"/>
    </row>
    <row r="245" spans="6:25"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2"/>
      <c r="T245" s="180"/>
      <c r="U245" s="180"/>
      <c r="V245" s="180"/>
      <c r="W245" s="180"/>
      <c r="X245" s="180"/>
      <c r="Y245" s="180"/>
    </row>
    <row r="246" spans="6:25">
      <c r="F246" s="180"/>
      <c r="G246" s="180"/>
      <c r="H246" s="180"/>
      <c r="I246" s="180"/>
      <c r="J246" s="180"/>
      <c r="K246" s="180"/>
      <c r="L246" s="180"/>
      <c r="M246" s="180"/>
      <c r="N246" s="180"/>
      <c r="O246" s="180"/>
      <c r="P246" s="180"/>
      <c r="Q246" s="180"/>
      <c r="R246" s="180"/>
      <c r="S246" s="182"/>
      <c r="T246" s="180"/>
      <c r="U246" s="180"/>
      <c r="V246" s="180"/>
      <c r="W246" s="180"/>
      <c r="X246" s="180"/>
      <c r="Y246" s="180"/>
    </row>
    <row r="247" spans="6:25">
      <c r="F247" s="180"/>
      <c r="G247" s="180"/>
      <c r="H247" s="180"/>
      <c r="I247" s="180"/>
      <c r="J247" s="180"/>
      <c r="K247" s="180"/>
      <c r="L247" s="180"/>
      <c r="M247" s="180"/>
      <c r="N247" s="180"/>
      <c r="O247" s="180"/>
      <c r="P247" s="180"/>
      <c r="Q247" s="180"/>
      <c r="R247" s="180"/>
      <c r="S247" s="182"/>
      <c r="T247" s="180"/>
      <c r="U247" s="180"/>
      <c r="V247" s="180"/>
      <c r="W247" s="180"/>
      <c r="X247" s="180"/>
      <c r="Y247" s="180"/>
    </row>
    <row r="248" spans="6:25">
      <c r="F248" s="180"/>
      <c r="G248" s="180"/>
      <c r="H248" s="180"/>
      <c r="I248" s="180"/>
      <c r="J248" s="180"/>
      <c r="K248" s="180"/>
      <c r="L248" s="180"/>
      <c r="M248" s="180"/>
      <c r="N248" s="180"/>
      <c r="O248" s="180"/>
      <c r="P248" s="180"/>
      <c r="Q248" s="180"/>
      <c r="R248" s="180"/>
      <c r="S248" s="182"/>
      <c r="T248" s="180"/>
      <c r="U248" s="180"/>
      <c r="V248" s="180"/>
      <c r="W248" s="180"/>
      <c r="X248" s="180"/>
      <c r="Y248" s="180"/>
    </row>
    <row r="249" spans="6:25"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2"/>
      <c r="T249" s="180"/>
      <c r="U249" s="180"/>
      <c r="V249" s="180"/>
      <c r="W249" s="180"/>
      <c r="X249" s="180"/>
      <c r="Y249" s="180"/>
    </row>
    <row r="250" spans="6:25">
      <c r="F250" s="180"/>
      <c r="G250" s="180"/>
      <c r="H250" s="180"/>
      <c r="I250" s="180"/>
      <c r="J250" s="180"/>
      <c r="K250" s="180"/>
      <c r="L250" s="180"/>
      <c r="M250" s="180"/>
      <c r="N250" s="180"/>
      <c r="O250" s="180"/>
      <c r="P250" s="180"/>
      <c r="Q250" s="180"/>
      <c r="R250" s="180"/>
      <c r="S250" s="182"/>
      <c r="T250" s="180"/>
      <c r="U250" s="180"/>
      <c r="V250" s="180"/>
      <c r="W250" s="180"/>
      <c r="X250" s="180"/>
      <c r="Y250" s="180"/>
    </row>
    <row r="251" spans="6:25">
      <c r="F251" s="180"/>
      <c r="G251" s="180"/>
      <c r="H251" s="180"/>
      <c r="I251" s="180"/>
      <c r="J251" s="180"/>
      <c r="K251" s="180"/>
      <c r="L251" s="180"/>
      <c r="M251" s="180"/>
      <c r="N251" s="180"/>
      <c r="O251" s="180"/>
      <c r="P251" s="180"/>
      <c r="Q251" s="180"/>
      <c r="R251" s="180"/>
      <c r="S251" s="182"/>
      <c r="T251" s="180"/>
      <c r="U251" s="180"/>
      <c r="V251" s="180"/>
      <c r="W251" s="180"/>
      <c r="X251" s="180"/>
      <c r="Y251" s="180"/>
    </row>
    <row r="252" spans="6:25">
      <c r="F252" s="180"/>
      <c r="G252" s="180"/>
      <c r="H252" s="180"/>
      <c r="I252" s="180"/>
      <c r="J252" s="180"/>
      <c r="K252" s="180"/>
      <c r="L252" s="180"/>
      <c r="M252" s="180"/>
      <c r="N252" s="180"/>
      <c r="O252" s="180"/>
      <c r="P252" s="180"/>
      <c r="Q252" s="180"/>
      <c r="R252" s="180"/>
      <c r="S252" s="182"/>
      <c r="T252" s="180"/>
      <c r="U252" s="180"/>
      <c r="V252" s="180"/>
      <c r="W252" s="180"/>
      <c r="X252" s="180"/>
      <c r="Y252" s="180"/>
    </row>
    <row r="253" spans="6:25">
      <c r="F253" s="180"/>
      <c r="G253" s="180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2"/>
      <c r="T253" s="180"/>
      <c r="U253" s="180"/>
      <c r="V253" s="180"/>
      <c r="W253" s="180"/>
      <c r="X253" s="180"/>
      <c r="Y253" s="180"/>
    </row>
    <row r="254" spans="6:25">
      <c r="F254" s="180"/>
      <c r="G254" s="180"/>
      <c r="H254" s="180"/>
      <c r="I254" s="180"/>
      <c r="J254" s="180"/>
      <c r="K254" s="180"/>
      <c r="L254" s="180"/>
      <c r="M254" s="180"/>
      <c r="N254" s="180"/>
      <c r="O254" s="180"/>
      <c r="P254" s="180"/>
      <c r="Q254" s="180"/>
      <c r="R254" s="180"/>
      <c r="S254" s="182"/>
      <c r="T254" s="180"/>
      <c r="U254" s="180"/>
      <c r="V254" s="180"/>
      <c r="W254" s="180"/>
      <c r="X254" s="180"/>
      <c r="Y254" s="180"/>
    </row>
    <row r="255" spans="6:25">
      <c r="F255" s="180"/>
      <c r="G255" s="180"/>
      <c r="H255" s="180"/>
      <c r="I255" s="180"/>
      <c r="J255" s="180"/>
      <c r="K255" s="180"/>
      <c r="L255" s="180"/>
      <c r="M255" s="180"/>
      <c r="N255" s="180"/>
      <c r="O255" s="180"/>
      <c r="P255" s="180"/>
      <c r="Q255" s="180"/>
      <c r="R255" s="180"/>
      <c r="S255" s="182"/>
      <c r="T255" s="180"/>
      <c r="U255" s="180"/>
      <c r="V255" s="180"/>
      <c r="W255" s="180"/>
      <c r="X255" s="180"/>
      <c r="Y255" s="180"/>
    </row>
    <row r="256" spans="6:25">
      <c r="F256" s="180"/>
      <c r="G256" s="180"/>
      <c r="H256" s="180"/>
      <c r="I256" s="180"/>
      <c r="J256" s="180"/>
      <c r="K256" s="180"/>
      <c r="L256" s="180"/>
      <c r="M256" s="180"/>
      <c r="N256" s="180"/>
      <c r="O256" s="180"/>
      <c r="P256" s="180"/>
      <c r="Q256" s="180"/>
      <c r="R256" s="180"/>
      <c r="S256" s="182"/>
      <c r="T256" s="180"/>
      <c r="U256" s="180"/>
      <c r="V256" s="180"/>
      <c r="W256" s="180"/>
      <c r="X256" s="180"/>
      <c r="Y256" s="180"/>
    </row>
    <row r="257" spans="6:25">
      <c r="F257" s="180"/>
      <c r="G257" s="180"/>
      <c r="H257" s="180"/>
      <c r="I257" s="180"/>
      <c r="J257" s="180"/>
      <c r="K257" s="180"/>
      <c r="L257" s="180"/>
      <c r="M257" s="180"/>
      <c r="N257" s="180"/>
      <c r="O257" s="180"/>
      <c r="P257" s="180"/>
      <c r="Q257" s="180"/>
      <c r="R257" s="180"/>
      <c r="S257" s="182"/>
      <c r="T257" s="180"/>
      <c r="U257" s="180"/>
      <c r="V257" s="180"/>
      <c r="W257" s="180"/>
      <c r="X257" s="180"/>
      <c r="Y257" s="180"/>
    </row>
    <row r="258" spans="6:25">
      <c r="F258" s="180"/>
      <c r="G258" s="180"/>
      <c r="H258" s="180"/>
      <c r="I258" s="180"/>
      <c r="J258" s="180"/>
      <c r="K258" s="180"/>
      <c r="L258" s="180"/>
      <c r="M258" s="180"/>
      <c r="N258" s="180"/>
      <c r="O258" s="180"/>
      <c r="P258" s="180"/>
      <c r="Q258" s="180"/>
      <c r="R258" s="180"/>
      <c r="S258" s="182"/>
      <c r="T258" s="180"/>
      <c r="U258" s="180"/>
      <c r="V258" s="180"/>
      <c r="W258" s="180"/>
      <c r="X258" s="180"/>
      <c r="Y258" s="180"/>
    </row>
    <row r="259" spans="6:25">
      <c r="F259" s="180"/>
      <c r="G259" s="180"/>
      <c r="H259" s="180"/>
      <c r="I259" s="180"/>
      <c r="J259" s="180"/>
      <c r="K259" s="180"/>
      <c r="L259" s="180"/>
      <c r="M259" s="180"/>
      <c r="N259" s="180"/>
      <c r="O259" s="180"/>
      <c r="P259" s="180"/>
      <c r="Q259" s="180"/>
      <c r="R259" s="180"/>
      <c r="S259" s="182"/>
      <c r="T259" s="180"/>
      <c r="U259" s="180"/>
      <c r="V259" s="180"/>
      <c r="W259" s="180"/>
      <c r="X259" s="180"/>
      <c r="Y259" s="180"/>
    </row>
    <row r="260" spans="6:25">
      <c r="F260" s="180"/>
      <c r="G260" s="180"/>
      <c r="H260" s="180"/>
      <c r="I260" s="180"/>
      <c r="J260" s="180"/>
      <c r="K260" s="180"/>
      <c r="L260" s="180"/>
      <c r="M260" s="180"/>
      <c r="N260" s="180"/>
      <c r="O260" s="180"/>
      <c r="P260" s="180"/>
      <c r="Q260" s="180"/>
      <c r="R260" s="180"/>
      <c r="S260" s="182"/>
      <c r="T260" s="180"/>
      <c r="U260" s="180"/>
      <c r="V260" s="180"/>
      <c r="W260" s="180"/>
      <c r="X260" s="180"/>
      <c r="Y260" s="180"/>
    </row>
    <row r="261" spans="6:25">
      <c r="F261" s="180"/>
      <c r="G261" s="180"/>
      <c r="H261" s="180"/>
      <c r="I261" s="180"/>
      <c r="J261" s="180"/>
      <c r="K261" s="180"/>
      <c r="L261" s="180"/>
      <c r="M261" s="180"/>
      <c r="N261" s="180"/>
      <c r="O261" s="180"/>
      <c r="P261" s="180"/>
      <c r="Q261" s="180"/>
      <c r="R261" s="180"/>
      <c r="S261" s="182"/>
      <c r="T261" s="180"/>
      <c r="U261" s="180"/>
      <c r="V261" s="180"/>
      <c r="W261" s="180"/>
      <c r="X261" s="180"/>
      <c r="Y261" s="180"/>
    </row>
    <row r="262" spans="6:25">
      <c r="F262" s="180"/>
      <c r="G262" s="180"/>
      <c r="H262" s="180"/>
      <c r="I262" s="180"/>
      <c r="J262" s="180"/>
      <c r="K262" s="180"/>
      <c r="L262" s="180"/>
      <c r="M262" s="180"/>
      <c r="N262" s="180"/>
      <c r="O262" s="180"/>
      <c r="P262" s="180"/>
      <c r="Q262" s="180"/>
      <c r="R262" s="180"/>
      <c r="S262" s="182"/>
      <c r="T262" s="180"/>
      <c r="U262" s="180"/>
      <c r="V262" s="180"/>
      <c r="W262" s="180"/>
      <c r="X262" s="180"/>
      <c r="Y262" s="180"/>
    </row>
    <row r="263" spans="6:25">
      <c r="F263" s="180"/>
      <c r="G263" s="180"/>
      <c r="H263" s="180"/>
      <c r="I263" s="180"/>
      <c r="J263" s="180"/>
      <c r="K263" s="180"/>
      <c r="L263" s="180"/>
      <c r="M263" s="180"/>
      <c r="N263" s="180"/>
      <c r="O263" s="180"/>
      <c r="P263" s="180"/>
      <c r="Q263" s="180"/>
      <c r="R263" s="180"/>
      <c r="S263" s="182"/>
      <c r="T263" s="180"/>
      <c r="U263" s="180"/>
      <c r="V263" s="180"/>
      <c r="W263" s="180"/>
      <c r="X263" s="180"/>
      <c r="Y263" s="180"/>
    </row>
    <row r="264" spans="6:25">
      <c r="F264" s="180"/>
      <c r="G264" s="180"/>
      <c r="H264" s="180"/>
      <c r="I264" s="180"/>
      <c r="J264" s="180"/>
      <c r="K264" s="180"/>
      <c r="L264" s="180"/>
      <c r="M264" s="180"/>
      <c r="N264" s="180"/>
      <c r="O264" s="180"/>
      <c r="P264" s="180"/>
      <c r="Q264" s="180"/>
      <c r="R264" s="180"/>
      <c r="S264" s="182"/>
      <c r="T264" s="180"/>
      <c r="U264" s="180"/>
      <c r="V264" s="180"/>
      <c r="W264" s="180"/>
      <c r="X264" s="180"/>
      <c r="Y264" s="180"/>
    </row>
    <row r="265" spans="6:25">
      <c r="F265" s="180"/>
      <c r="G265" s="180"/>
      <c r="H265" s="180"/>
      <c r="I265" s="180"/>
      <c r="J265" s="180"/>
      <c r="K265" s="180"/>
      <c r="L265" s="180"/>
      <c r="M265" s="180"/>
      <c r="N265" s="180"/>
      <c r="O265" s="180"/>
      <c r="P265" s="180"/>
      <c r="Q265" s="180"/>
      <c r="R265" s="180"/>
      <c r="S265" s="182"/>
      <c r="T265" s="180"/>
      <c r="U265" s="180"/>
      <c r="V265" s="180"/>
      <c r="W265" s="180"/>
      <c r="X265" s="180"/>
      <c r="Y265" s="180"/>
    </row>
    <row r="266" spans="6:25"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  <c r="P266" s="180"/>
      <c r="Q266" s="180"/>
      <c r="R266" s="180"/>
      <c r="S266" s="182"/>
      <c r="T266" s="180"/>
      <c r="U266" s="180"/>
      <c r="V266" s="180"/>
      <c r="W266" s="180"/>
      <c r="X266" s="180"/>
      <c r="Y266" s="180"/>
    </row>
    <row r="267" spans="6:25">
      <c r="F267" s="180"/>
      <c r="G267" s="180"/>
      <c r="H267" s="180"/>
      <c r="I267" s="180"/>
      <c r="J267" s="180"/>
      <c r="K267" s="180"/>
      <c r="L267" s="180"/>
      <c r="M267" s="180"/>
      <c r="N267" s="180"/>
      <c r="O267" s="180"/>
      <c r="P267" s="180"/>
      <c r="Q267" s="180"/>
      <c r="R267" s="180"/>
      <c r="S267" s="182"/>
      <c r="T267" s="180"/>
      <c r="U267" s="180"/>
      <c r="V267" s="180"/>
      <c r="W267" s="180"/>
      <c r="X267" s="180"/>
      <c r="Y267" s="180"/>
    </row>
    <row r="268" spans="6:25">
      <c r="F268" s="180"/>
      <c r="G268" s="180"/>
      <c r="H268" s="180"/>
      <c r="I268" s="180"/>
      <c r="J268" s="180"/>
      <c r="K268" s="180"/>
      <c r="L268" s="180"/>
      <c r="M268" s="180"/>
      <c r="N268" s="180"/>
      <c r="O268" s="180"/>
      <c r="P268" s="180"/>
      <c r="Q268" s="180"/>
      <c r="R268" s="180"/>
      <c r="S268" s="182"/>
      <c r="T268" s="180"/>
      <c r="U268" s="180"/>
      <c r="V268" s="180"/>
      <c r="W268" s="180"/>
      <c r="X268" s="180"/>
      <c r="Y268" s="180"/>
    </row>
    <row r="269" spans="6:25">
      <c r="F269" s="180"/>
      <c r="G269" s="180"/>
      <c r="H269" s="180"/>
      <c r="I269" s="180"/>
      <c r="J269" s="180"/>
      <c r="K269" s="180"/>
      <c r="L269" s="180"/>
      <c r="M269" s="180"/>
      <c r="N269" s="180"/>
      <c r="O269" s="180"/>
      <c r="P269" s="180"/>
      <c r="Q269" s="180"/>
      <c r="R269" s="180"/>
      <c r="S269" s="182"/>
      <c r="T269" s="180"/>
      <c r="U269" s="180"/>
      <c r="V269" s="180"/>
      <c r="W269" s="180"/>
      <c r="X269" s="180"/>
      <c r="Y269" s="180"/>
    </row>
    <row r="270" spans="6:25">
      <c r="F270" s="180"/>
      <c r="G270" s="180"/>
      <c r="H270" s="180"/>
      <c r="I270" s="180"/>
      <c r="J270" s="180"/>
      <c r="K270" s="180"/>
      <c r="L270" s="180"/>
      <c r="M270" s="180"/>
      <c r="N270" s="180"/>
      <c r="O270" s="180"/>
      <c r="P270" s="180"/>
      <c r="Q270" s="180"/>
      <c r="R270" s="180"/>
      <c r="S270" s="182"/>
      <c r="T270" s="180"/>
      <c r="U270" s="180"/>
      <c r="V270" s="180"/>
      <c r="W270" s="180"/>
      <c r="X270" s="180"/>
      <c r="Y270" s="180"/>
    </row>
    <row r="271" spans="6:25">
      <c r="F271" s="180"/>
      <c r="G271" s="180"/>
      <c r="H271" s="180"/>
      <c r="I271" s="180"/>
      <c r="J271" s="180"/>
      <c r="K271" s="180"/>
      <c r="L271" s="180"/>
      <c r="M271" s="180"/>
      <c r="N271" s="180"/>
      <c r="O271" s="180"/>
      <c r="P271" s="180"/>
      <c r="Q271" s="180"/>
      <c r="R271" s="180"/>
      <c r="S271" s="182"/>
      <c r="T271" s="180"/>
      <c r="U271" s="180"/>
      <c r="V271" s="180"/>
      <c r="W271" s="180"/>
      <c r="X271" s="180"/>
      <c r="Y271" s="180"/>
    </row>
    <row r="272" spans="6:25">
      <c r="F272" s="180"/>
      <c r="G272" s="180"/>
      <c r="H272" s="180"/>
      <c r="I272" s="180"/>
      <c r="J272" s="180"/>
      <c r="K272" s="180"/>
      <c r="L272" s="180"/>
      <c r="M272" s="180"/>
      <c r="N272" s="180"/>
      <c r="O272" s="180"/>
      <c r="P272" s="180"/>
      <c r="Q272" s="180"/>
      <c r="R272" s="180"/>
      <c r="S272" s="182"/>
      <c r="T272" s="180"/>
      <c r="U272" s="180"/>
      <c r="V272" s="180"/>
      <c r="W272" s="180"/>
      <c r="X272" s="180"/>
      <c r="Y272" s="180"/>
    </row>
    <row r="273" spans="6:25">
      <c r="F273" s="180"/>
      <c r="G273" s="180"/>
      <c r="H273" s="180"/>
      <c r="I273" s="180"/>
      <c r="J273" s="180"/>
      <c r="K273" s="180"/>
      <c r="L273" s="180"/>
      <c r="M273" s="180"/>
      <c r="N273" s="180"/>
      <c r="O273" s="180"/>
      <c r="P273" s="180"/>
      <c r="Q273" s="180"/>
      <c r="R273" s="180"/>
      <c r="S273" s="182"/>
      <c r="T273" s="180"/>
      <c r="U273" s="180"/>
      <c r="V273" s="180"/>
      <c r="W273" s="180"/>
      <c r="X273" s="180"/>
      <c r="Y273" s="180"/>
    </row>
    <row r="274" spans="6:25">
      <c r="F274" s="180"/>
      <c r="G274" s="180"/>
      <c r="H274" s="180"/>
      <c r="I274" s="180"/>
      <c r="J274" s="180"/>
      <c r="K274" s="180"/>
      <c r="L274" s="180"/>
      <c r="M274" s="180"/>
      <c r="N274" s="180"/>
      <c r="O274" s="180"/>
      <c r="P274" s="180"/>
      <c r="Q274" s="180"/>
      <c r="R274" s="180"/>
      <c r="S274" s="182"/>
      <c r="T274" s="180"/>
      <c r="U274" s="180"/>
      <c r="V274" s="180"/>
      <c r="W274" s="180"/>
      <c r="X274" s="180"/>
      <c r="Y274" s="180"/>
    </row>
    <row r="275" spans="6:25">
      <c r="F275" s="180"/>
      <c r="G275" s="180"/>
      <c r="H275" s="180"/>
      <c r="I275" s="180"/>
      <c r="J275" s="180"/>
      <c r="K275" s="180"/>
      <c r="L275" s="180"/>
      <c r="M275" s="180"/>
      <c r="N275" s="180"/>
      <c r="O275" s="180"/>
      <c r="P275" s="180"/>
      <c r="Q275" s="180"/>
      <c r="R275" s="180"/>
      <c r="S275" s="182"/>
      <c r="T275" s="180"/>
      <c r="U275" s="180"/>
      <c r="V275" s="180"/>
      <c r="W275" s="180"/>
      <c r="X275" s="180"/>
      <c r="Y275" s="180"/>
    </row>
    <row r="276" spans="6:25">
      <c r="F276" s="180"/>
      <c r="G276" s="180"/>
      <c r="H276" s="180"/>
      <c r="I276" s="180"/>
      <c r="J276" s="180"/>
      <c r="K276" s="180"/>
      <c r="L276" s="180"/>
      <c r="M276" s="180"/>
      <c r="N276" s="180"/>
      <c r="O276" s="180"/>
      <c r="P276" s="180"/>
      <c r="Q276" s="180"/>
      <c r="R276" s="180"/>
      <c r="S276" s="182"/>
      <c r="T276" s="180"/>
      <c r="U276" s="180"/>
      <c r="V276" s="180"/>
      <c r="W276" s="180"/>
      <c r="X276" s="180"/>
      <c r="Y276" s="180"/>
    </row>
    <row r="277" spans="6:25">
      <c r="F277" s="180"/>
      <c r="G277" s="180"/>
      <c r="H277" s="180"/>
      <c r="I277" s="180"/>
      <c r="J277" s="180"/>
      <c r="K277" s="180"/>
      <c r="L277" s="180"/>
      <c r="M277" s="180"/>
      <c r="N277" s="180"/>
      <c r="O277" s="180"/>
      <c r="P277" s="180"/>
      <c r="Q277" s="180"/>
      <c r="R277" s="180"/>
      <c r="S277" s="182"/>
      <c r="T277" s="180"/>
      <c r="U277" s="180"/>
      <c r="V277" s="180"/>
      <c r="W277" s="180"/>
      <c r="X277" s="180"/>
      <c r="Y277" s="180"/>
    </row>
    <row r="278" spans="6:25">
      <c r="F278" s="180"/>
      <c r="G278" s="180"/>
      <c r="H278" s="180"/>
      <c r="I278" s="180"/>
      <c r="J278" s="180"/>
      <c r="K278" s="180"/>
      <c r="L278" s="180"/>
      <c r="M278" s="180"/>
      <c r="N278" s="180"/>
      <c r="O278" s="180"/>
      <c r="P278" s="180"/>
      <c r="Q278" s="180"/>
      <c r="R278" s="180"/>
      <c r="S278" s="182"/>
      <c r="T278" s="180"/>
      <c r="U278" s="180"/>
      <c r="V278" s="180"/>
      <c r="W278" s="180"/>
      <c r="X278" s="180"/>
      <c r="Y278" s="180"/>
    </row>
    <row r="279" spans="6:25">
      <c r="F279" s="180"/>
      <c r="G279" s="180"/>
      <c r="H279" s="180"/>
      <c r="I279" s="180"/>
      <c r="J279" s="180"/>
      <c r="K279" s="180"/>
      <c r="L279" s="180"/>
      <c r="M279" s="180"/>
      <c r="N279" s="180"/>
      <c r="O279" s="180"/>
      <c r="P279" s="180"/>
      <c r="Q279" s="180"/>
      <c r="R279" s="180"/>
      <c r="S279" s="182"/>
      <c r="T279" s="180"/>
      <c r="U279" s="180"/>
      <c r="V279" s="180"/>
      <c r="W279" s="180"/>
      <c r="X279" s="180"/>
      <c r="Y279" s="180"/>
    </row>
    <row r="280" spans="6:25">
      <c r="F280" s="180"/>
      <c r="G280" s="180"/>
      <c r="H280" s="180"/>
      <c r="I280" s="180"/>
      <c r="J280" s="180"/>
      <c r="K280" s="180"/>
      <c r="L280" s="180"/>
      <c r="M280" s="180"/>
      <c r="N280" s="180"/>
      <c r="O280" s="180"/>
      <c r="P280" s="180"/>
      <c r="Q280" s="180"/>
      <c r="R280" s="180"/>
      <c r="S280" s="182"/>
      <c r="T280" s="180"/>
      <c r="U280" s="180"/>
      <c r="V280" s="180"/>
      <c r="W280" s="180"/>
      <c r="X280" s="180"/>
      <c r="Y280" s="180"/>
    </row>
    <row r="281" spans="6:25">
      <c r="F281" s="180"/>
      <c r="G281" s="180"/>
      <c r="H281" s="180"/>
      <c r="I281" s="180"/>
      <c r="J281" s="180"/>
      <c r="K281" s="180"/>
      <c r="L281" s="180"/>
      <c r="M281" s="180"/>
      <c r="N281" s="180"/>
      <c r="O281" s="180"/>
      <c r="P281" s="180"/>
      <c r="Q281" s="180"/>
      <c r="R281" s="180"/>
      <c r="S281" s="182"/>
      <c r="T281" s="180"/>
      <c r="U281" s="180"/>
      <c r="V281" s="180"/>
      <c r="W281" s="180"/>
      <c r="X281" s="180"/>
      <c r="Y281" s="180"/>
    </row>
    <row r="282" spans="6:25">
      <c r="F282" s="180"/>
      <c r="G282" s="180"/>
      <c r="H282" s="180"/>
      <c r="I282" s="180"/>
      <c r="J282" s="180"/>
      <c r="K282" s="180"/>
      <c r="L282" s="180"/>
      <c r="M282" s="180"/>
      <c r="N282" s="180"/>
      <c r="O282" s="180"/>
      <c r="P282" s="180"/>
      <c r="Q282" s="180"/>
      <c r="R282" s="180"/>
      <c r="S282" s="182"/>
      <c r="T282" s="180"/>
      <c r="U282" s="180"/>
      <c r="V282" s="180"/>
      <c r="W282" s="180"/>
      <c r="X282" s="180"/>
      <c r="Y282" s="180"/>
    </row>
    <row r="283" spans="6:25">
      <c r="F283" s="180"/>
      <c r="G283" s="180"/>
      <c r="H283" s="180"/>
      <c r="I283" s="180"/>
      <c r="J283" s="180"/>
      <c r="K283" s="180"/>
      <c r="L283" s="180"/>
      <c r="M283" s="180"/>
      <c r="N283" s="180"/>
      <c r="O283" s="180"/>
      <c r="P283" s="180"/>
      <c r="Q283" s="180"/>
      <c r="R283" s="180"/>
      <c r="S283" s="182"/>
      <c r="T283" s="180"/>
      <c r="U283" s="180"/>
      <c r="V283" s="180"/>
      <c r="W283" s="180"/>
      <c r="X283" s="180"/>
      <c r="Y283" s="180"/>
    </row>
    <row r="284" spans="6:25">
      <c r="F284" s="180"/>
      <c r="G284" s="180"/>
      <c r="H284" s="180"/>
      <c r="I284" s="180"/>
      <c r="J284" s="180"/>
      <c r="K284" s="180"/>
      <c r="L284" s="180"/>
      <c r="M284" s="180"/>
      <c r="N284" s="180"/>
      <c r="O284" s="180"/>
      <c r="P284" s="180"/>
      <c r="Q284" s="180"/>
      <c r="R284" s="180"/>
      <c r="S284" s="182"/>
      <c r="T284" s="180"/>
      <c r="U284" s="180"/>
      <c r="V284" s="180"/>
      <c r="W284" s="180"/>
      <c r="X284" s="180"/>
      <c r="Y284" s="180"/>
    </row>
    <row r="285" spans="6:25">
      <c r="F285" s="180"/>
      <c r="G285" s="180"/>
      <c r="H285" s="180"/>
      <c r="I285" s="180"/>
      <c r="J285" s="180"/>
      <c r="K285" s="180"/>
      <c r="L285" s="180"/>
      <c r="M285" s="180"/>
      <c r="N285" s="180"/>
      <c r="O285" s="180"/>
      <c r="P285" s="180"/>
      <c r="Q285" s="180"/>
      <c r="R285" s="180"/>
      <c r="S285" s="182"/>
      <c r="T285" s="180"/>
      <c r="U285" s="180"/>
      <c r="V285" s="180"/>
      <c r="W285" s="180"/>
      <c r="X285" s="180"/>
      <c r="Y285" s="180"/>
    </row>
    <row r="286" spans="6:25">
      <c r="F286" s="180"/>
      <c r="G286" s="180"/>
      <c r="H286" s="180"/>
      <c r="I286" s="180"/>
      <c r="J286" s="180"/>
      <c r="K286" s="180"/>
      <c r="L286" s="180"/>
      <c r="M286" s="180"/>
      <c r="N286" s="180"/>
      <c r="O286" s="180"/>
      <c r="P286" s="180"/>
      <c r="Q286" s="180"/>
      <c r="R286" s="180"/>
      <c r="S286" s="182"/>
      <c r="T286" s="180"/>
      <c r="U286" s="180"/>
      <c r="V286" s="180"/>
      <c r="W286" s="180"/>
      <c r="X286" s="180"/>
      <c r="Y286" s="180"/>
    </row>
    <row r="287" spans="6:25">
      <c r="F287" s="180"/>
      <c r="G287" s="180"/>
      <c r="H287" s="180"/>
      <c r="I287" s="180"/>
      <c r="J287" s="180"/>
      <c r="K287" s="180"/>
      <c r="L287" s="180"/>
      <c r="M287" s="180"/>
      <c r="N287" s="180"/>
      <c r="O287" s="180"/>
      <c r="P287" s="180"/>
      <c r="Q287" s="180"/>
      <c r="R287" s="180"/>
      <c r="S287" s="182"/>
      <c r="T287" s="180"/>
      <c r="U287" s="180"/>
      <c r="V287" s="180"/>
      <c r="W287" s="180"/>
      <c r="X287" s="180"/>
      <c r="Y287" s="180"/>
    </row>
    <row r="288" spans="6:25">
      <c r="F288" s="180"/>
      <c r="G288" s="180"/>
      <c r="H288" s="180"/>
      <c r="I288" s="180"/>
      <c r="J288" s="180"/>
      <c r="K288" s="180"/>
      <c r="L288" s="180"/>
      <c r="M288" s="180"/>
      <c r="N288" s="180"/>
      <c r="O288" s="180"/>
      <c r="P288" s="180"/>
      <c r="Q288" s="180"/>
      <c r="R288" s="180"/>
      <c r="S288" s="182"/>
      <c r="T288" s="180"/>
      <c r="U288" s="180"/>
      <c r="V288" s="180"/>
      <c r="W288" s="180"/>
      <c r="X288" s="180"/>
      <c r="Y288" s="180"/>
    </row>
    <row r="289" spans="6:25">
      <c r="F289" s="180"/>
      <c r="G289" s="180"/>
      <c r="H289" s="180"/>
      <c r="I289" s="180"/>
      <c r="J289" s="180"/>
      <c r="K289" s="180"/>
      <c r="L289" s="180"/>
      <c r="M289" s="180"/>
      <c r="N289" s="180"/>
      <c r="O289" s="180"/>
      <c r="P289" s="180"/>
      <c r="Q289" s="180"/>
      <c r="R289" s="180"/>
      <c r="S289" s="182"/>
      <c r="T289" s="180"/>
      <c r="U289" s="180"/>
      <c r="V289" s="180"/>
      <c r="W289" s="180"/>
      <c r="X289" s="180"/>
      <c r="Y289" s="180"/>
    </row>
    <row r="290" spans="6:25">
      <c r="F290" s="180"/>
      <c r="G290" s="180"/>
      <c r="H290" s="180"/>
      <c r="I290" s="180"/>
      <c r="J290" s="180"/>
      <c r="K290" s="180"/>
      <c r="L290" s="180"/>
      <c r="M290" s="180"/>
      <c r="N290" s="180"/>
      <c r="O290" s="180"/>
      <c r="P290" s="180"/>
      <c r="Q290" s="180"/>
      <c r="R290" s="180"/>
      <c r="S290" s="182"/>
      <c r="T290" s="180"/>
      <c r="U290" s="180"/>
      <c r="V290" s="180"/>
      <c r="W290" s="180"/>
      <c r="X290" s="180"/>
      <c r="Y290" s="180"/>
    </row>
    <row r="291" spans="6:25">
      <c r="F291" s="180"/>
      <c r="G291" s="180"/>
      <c r="H291" s="180"/>
      <c r="I291" s="180"/>
      <c r="J291" s="180"/>
      <c r="K291" s="180"/>
      <c r="L291" s="180"/>
      <c r="M291" s="180"/>
      <c r="N291" s="180"/>
      <c r="O291" s="180"/>
      <c r="P291" s="180"/>
      <c r="Q291" s="180"/>
      <c r="R291" s="180"/>
      <c r="S291" s="182"/>
      <c r="T291" s="180"/>
      <c r="U291" s="180"/>
      <c r="V291" s="180"/>
      <c r="W291" s="180"/>
      <c r="X291" s="180"/>
      <c r="Y291" s="180"/>
    </row>
    <row r="292" spans="6:25">
      <c r="F292" s="180"/>
      <c r="G292" s="180"/>
      <c r="H292" s="180"/>
      <c r="I292" s="180"/>
      <c r="J292" s="180"/>
      <c r="K292" s="180"/>
      <c r="L292" s="180"/>
      <c r="M292" s="180"/>
      <c r="N292" s="180"/>
      <c r="O292" s="180"/>
      <c r="P292" s="180"/>
      <c r="Q292" s="180"/>
      <c r="R292" s="180"/>
      <c r="S292" s="182"/>
      <c r="T292" s="180"/>
      <c r="U292" s="180"/>
      <c r="V292" s="180"/>
      <c r="W292" s="180"/>
      <c r="X292" s="180"/>
      <c r="Y292" s="180"/>
    </row>
    <row r="293" spans="6:25">
      <c r="F293" s="180"/>
      <c r="G293" s="180"/>
      <c r="H293" s="180"/>
      <c r="I293" s="180"/>
      <c r="J293" s="180"/>
      <c r="K293" s="180"/>
      <c r="L293" s="180"/>
      <c r="M293" s="180"/>
      <c r="N293" s="180"/>
      <c r="O293" s="180"/>
      <c r="P293" s="180"/>
      <c r="Q293" s="180"/>
      <c r="R293" s="180"/>
      <c r="S293" s="182"/>
      <c r="T293" s="180"/>
      <c r="U293" s="180"/>
      <c r="V293" s="180"/>
      <c r="W293" s="180"/>
      <c r="X293" s="180"/>
      <c r="Y293" s="180"/>
    </row>
    <row r="294" spans="6:25">
      <c r="F294" s="180"/>
      <c r="G294" s="180"/>
      <c r="H294" s="180"/>
      <c r="I294" s="180"/>
      <c r="J294" s="180"/>
      <c r="K294" s="180"/>
      <c r="L294" s="180"/>
      <c r="M294" s="180"/>
      <c r="N294" s="180"/>
      <c r="O294" s="180"/>
      <c r="P294" s="180"/>
      <c r="Q294" s="180"/>
      <c r="R294" s="180"/>
      <c r="S294" s="182"/>
      <c r="T294" s="180"/>
      <c r="U294" s="180"/>
      <c r="V294" s="180"/>
      <c r="W294" s="180"/>
      <c r="X294" s="180"/>
      <c r="Y294" s="180"/>
    </row>
    <row r="295" spans="6:25">
      <c r="F295" s="180"/>
      <c r="G295" s="180"/>
      <c r="H295" s="180"/>
      <c r="I295" s="180"/>
      <c r="J295" s="180"/>
      <c r="K295" s="180"/>
      <c r="L295" s="180"/>
      <c r="M295" s="180"/>
      <c r="N295" s="180"/>
      <c r="O295" s="180"/>
      <c r="P295" s="180"/>
      <c r="Q295" s="180"/>
      <c r="R295" s="180"/>
      <c r="S295" s="182"/>
      <c r="T295" s="180"/>
      <c r="U295" s="180"/>
      <c r="V295" s="180"/>
      <c r="W295" s="180"/>
      <c r="X295" s="180"/>
      <c r="Y295" s="180"/>
    </row>
    <row r="296" spans="6:25">
      <c r="F296" s="180"/>
      <c r="G296" s="180"/>
      <c r="H296" s="180"/>
      <c r="I296" s="180"/>
      <c r="J296" s="180"/>
      <c r="K296" s="180"/>
      <c r="L296" s="180"/>
      <c r="M296" s="180"/>
      <c r="N296" s="180"/>
      <c r="O296" s="180"/>
      <c r="P296" s="180"/>
      <c r="Q296" s="180"/>
      <c r="R296" s="180"/>
      <c r="S296" s="182"/>
      <c r="T296" s="180"/>
      <c r="U296" s="180"/>
      <c r="V296" s="180"/>
      <c r="W296" s="180"/>
      <c r="X296" s="180"/>
      <c r="Y296" s="180"/>
    </row>
    <row r="297" spans="6:25">
      <c r="F297" s="180"/>
      <c r="G297" s="180"/>
      <c r="H297" s="180"/>
      <c r="I297" s="180"/>
      <c r="J297" s="180"/>
      <c r="K297" s="180"/>
      <c r="L297" s="180"/>
      <c r="M297" s="180"/>
      <c r="N297" s="180"/>
      <c r="O297" s="180"/>
      <c r="P297" s="180"/>
      <c r="Q297" s="180"/>
      <c r="R297" s="180"/>
      <c r="S297" s="182"/>
      <c r="T297" s="180"/>
      <c r="U297" s="180"/>
      <c r="V297" s="180"/>
      <c r="W297" s="180"/>
      <c r="X297" s="180"/>
      <c r="Y297" s="180"/>
    </row>
    <row r="298" spans="6:25">
      <c r="F298" s="180"/>
      <c r="G298" s="180"/>
      <c r="H298" s="180"/>
      <c r="I298" s="180"/>
      <c r="J298" s="180"/>
      <c r="K298" s="180"/>
      <c r="L298" s="180"/>
      <c r="M298" s="180"/>
      <c r="N298" s="180"/>
      <c r="O298" s="180"/>
      <c r="P298" s="180"/>
      <c r="Q298" s="180"/>
      <c r="R298" s="180"/>
      <c r="S298" s="182"/>
      <c r="T298" s="180"/>
      <c r="U298" s="180"/>
      <c r="V298" s="180"/>
      <c r="W298" s="180"/>
      <c r="X298" s="180"/>
      <c r="Y298" s="180"/>
    </row>
    <row r="299" spans="6:25">
      <c r="F299" s="180"/>
      <c r="G299" s="180"/>
      <c r="H299" s="180"/>
      <c r="I299" s="180"/>
      <c r="J299" s="180"/>
      <c r="K299" s="180"/>
      <c r="L299" s="180"/>
      <c r="M299" s="180"/>
      <c r="N299" s="180"/>
      <c r="O299" s="180"/>
      <c r="P299" s="180"/>
      <c r="Q299" s="180"/>
      <c r="R299" s="180"/>
      <c r="S299" s="182"/>
      <c r="T299" s="180"/>
      <c r="U299" s="180"/>
      <c r="V299" s="180"/>
      <c r="W299" s="180"/>
      <c r="X299" s="180"/>
      <c r="Y299" s="180"/>
    </row>
    <row r="300" spans="6:25">
      <c r="F300" s="180"/>
      <c r="G300" s="180"/>
      <c r="H300" s="180"/>
      <c r="I300" s="180"/>
      <c r="J300" s="180"/>
      <c r="K300" s="180"/>
      <c r="L300" s="180"/>
      <c r="M300" s="180"/>
      <c r="N300" s="180"/>
      <c r="O300" s="180"/>
      <c r="P300" s="180"/>
      <c r="Q300" s="180"/>
      <c r="R300" s="180"/>
      <c r="S300" s="182"/>
      <c r="T300" s="180"/>
      <c r="U300" s="180"/>
      <c r="V300" s="180"/>
      <c r="W300" s="180"/>
      <c r="X300" s="180"/>
      <c r="Y300" s="180"/>
    </row>
    <row r="301" spans="6:25">
      <c r="F301" s="180"/>
      <c r="G301" s="180"/>
      <c r="H301" s="180"/>
      <c r="I301" s="180"/>
      <c r="J301" s="180"/>
      <c r="K301" s="180"/>
      <c r="L301" s="180"/>
      <c r="M301" s="180"/>
      <c r="N301" s="180"/>
      <c r="O301" s="180"/>
      <c r="P301" s="180"/>
      <c r="Q301" s="180"/>
      <c r="R301" s="180"/>
      <c r="S301" s="182"/>
      <c r="T301" s="180"/>
      <c r="U301" s="180"/>
      <c r="V301" s="180"/>
      <c r="W301" s="180"/>
      <c r="X301" s="180"/>
      <c r="Y301" s="180"/>
    </row>
    <row r="302" spans="6:25">
      <c r="F302" s="180"/>
      <c r="G302" s="180"/>
      <c r="H302" s="180"/>
      <c r="I302" s="180"/>
      <c r="J302" s="180"/>
      <c r="K302" s="180"/>
      <c r="L302" s="180"/>
      <c r="M302" s="180"/>
      <c r="N302" s="180"/>
      <c r="O302" s="180"/>
      <c r="P302" s="180"/>
      <c r="Q302" s="180"/>
      <c r="R302" s="180"/>
      <c r="S302" s="182"/>
      <c r="T302" s="180"/>
      <c r="U302" s="180"/>
      <c r="V302" s="180"/>
      <c r="W302" s="180"/>
      <c r="X302" s="180"/>
      <c r="Y302" s="180"/>
    </row>
    <row r="303" spans="6:25">
      <c r="F303" s="180"/>
      <c r="G303" s="180"/>
      <c r="H303" s="180"/>
      <c r="I303" s="180"/>
      <c r="J303" s="180"/>
      <c r="K303" s="180"/>
      <c r="L303" s="180"/>
      <c r="M303" s="180"/>
      <c r="N303" s="180"/>
      <c r="O303" s="180"/>
      <c r="P303" s="180"/>
      <c r="Q303" s="180"/>
      <c r="R303" s="180"/>
      <c r="S303" s="182"/>
      <c r="T303" s="180"/>
      <c r="U303" s="180"/>
      <c r="V303" s="180"/>
      <c r="W303" s="180"/>
      <c r="X303" s="180"/>
      <c r="Y303" s="180"/>
    </row>
    <row r="304" spans="6:25">
      <c r="F304" s="180"/>
      <c r="G304" s="180"/>
      <c r="H304" s="180"/>
      <c r="I304" s="180"/>
      <c r="J304" s="180"/>
      <c r="K304" s="180"/>
      <c r="L304" s="180"/>
      <c r="M304" s="180"/>
      <c r="N304" s="180"/>
      <c r="O304" s="180"/>
      <c r="P304" s="180"/>
      <c r="Q304" s="180"/>
      <c r="R304" s="180"/>
      <c r="S304" s="182"/>
      <c r="T304" s="180"/>
      <c r="U304" s="180"/>
      <c r="V304" s="180"/>
      <c r="W304" s="180"/>
      <c r="X304" s="180"/>
      <c r="Y304" s="180"/>
    </row>
    <row r="305" spans="6:25">
      <c r="F305" s="180"/>
      <c r="G305" s="180"/>
      <c r="H305" s="180"/>
      <c r="I305" s="180"/>
      <c r="J305" s="180"/>
      <c r="K305" s="180"/>
      <c r="L305" s="180"/>
      <c r="M305" s="180"/>
      <c r="N305" s="180"/>
      <c r="O305" s="180"/>
      <c r="P305" s="180"/>
      <c r="Q305" s="180"/>
      <c r="R305" s="180"/>
      <c r="S305" s="182"/>
      <c r="T305" s="180"/>
      <c r="U305" s="180"/>
      <c r="V305" s="180"/>
      <c r="W305" s="180"/>
      <c r="X305" s="180"/>
      <c r="Y305" s="180"/>
    </row>
    <row r="306" spans="6:25">
      <c r="F306" s="180"/>
      <c r="G306" s="180"/>
      <c r="H306" s="180"/>
      <c r="I306" s="180"/>
      <c r="J306" s="180"/>
      <c r="K306" s="180"/>
      <c r="L306" s="180"/>
      <c r="M306" s="180"/>
      <c r="N306" s="180"/>
      <c r="O306" s="180"/>
      <c r="P306" s="180"/>
      <c r="Q306" s="180"/>
      <c r="R306" s="180"/>
      <c r="S306" s="182"/>
      <c r="T306" s="180"/>
      <c r="U306" s="180"/>
      <c r="V306" s="180"/>
      <c r="W306" s="180"/>
      <c r="X306" s="180"/>
      <c r="Y306" s="180"/>
    </row>
    <row r="307" spans="6:25">
      <c r="F307" s="180"/>
      <c r="G307" s="180"/>
      <c r="H307" s="180"/>
      <c r="I307" s="180"/>
      <c r="J307" s="180"/>
      <c r="K307" s="180"/>
      <c r="L307" s="180"/>
      <c r="M307" s="180"/>
      <c r="N307" s="180"/>
      <c r="O307" s="180"/>
      <c r="P307" s="180"/>
      <c r="Q307" s="180"/>
      <c r="R307" s="180"/>
      <c r="S307" s="182"/>
      <c r="T307" s="180"/>
      <c r="U307" s="180"/>
      <c r="V307" s="180"/>
      <c r="W307" s="180"/>
      <c r="X307" s="180"/>
      <c r="Y307" s="180"/>
    </row>
    <row r="308" spans="6:25">
      <c r="F308" s="180"/>
      <c r="G308" s="180"/>
      <c r="H308" s="180"/>
      <c r="I308" s="180"/>
      <c r="J308" s="180"/>
      <c r="K308" s="180"/>
      <c r="L308" s="180"/>
      <c r="M308" s="180"/>
      <c r="N308" s="180"/>
      <c r="O308" s="180"/>
      <c r="P308" s="180"/>
      <c r="Q308" s="180"/>
      <c r="R308" s="180"/>
      <c r="S308" s="182"/>
      <c r="T308" s="180"/>
      <c r="U308" s="180"/>
      <c r="V308" s="180"/>
      <c r="W308" s="180"/>
      <c r="X308" s="180"/>
      <c r="Y308" s="180"/>
    </row>
    <row r="309" spans="6:25">
      <c r="F309" s="180"/>
      <c r="G309" s="180"/>
      <c r="H309" s="180"/>
      <c r="I309" s="180"/>
      <c r="J309" s="180"/>
      <c r="K309" s="180"/>
      <c r="L309" s="180"/>
      <c r="M309" s="180"/>
      <c r="N309" s="180"/>
      <c r="O309" s="180"/>
      <c r="P309" s="180"/>
      <c r="Q309" s="180"/>
      <c r="R309" s="180"/>
      <c r="S309" s="182"/>
      <c r="T309" s="180"/>
      <c r="U309" s="180"/>
      <c r="V309" s="180"/>
      <c r="W309" s="180"/>
      <c r="X309" s="180"/>
      <c r="Y309" s="180"/>
    </row>
    <row r="310" spans="6:25">
      <c r="F310" s="180"/>
      <c r="G310" s="180"/>
      <c r="H310" s="180"/>
      <c r="I310" s="180"/>
      <c r="J310" s="180"/>
      <c r="K310" s="180"/>
      <c r="L310" s="180"/>
      <c r="M310" s="180"/>
      <c r="N310" s="180"/>
      <c r="O310" s="180"/>
      <c r="P310" s="180"/>
      <c r="Q310" s="180"/>
      <c r="R310" s="180"/>
      <c r="S310" s="182"/>
      <c r="T310" s="180"/>
      <c r="U310" s="180"/>
      <c r="V310" s="180"/>
      <c r="W310" s="180"/>
      <c r="X310" s="180"/>
      <c r="Y310" s="180"/>
    </row>
    <row r="311" spans="6:25">
      <c r="F311" s="180"/>
      <c r="G311" s="180"/>
      <c r="H311" s="180"/>
      <c r="I311" s="180"/>
      <c r="J311" s="180"/>
      <c r="K311" s="180"/>
      <c r="L311" s="180"/>
      <c r="M311" s="180"/>
      <c r="N311" s="180"/>
      <c r="O311" s="180"/>
      <c r="P311" s="180"/>
      <c r="Q311" s="180"/>
      <c r="R311" s="180"/>
      <c r="S311" s="182"/>
      <c r="T311" s="180"/>
      <c r="U311" s="180"/>
      <c r="V311" s="180"/>
      <c r="W311" s="180"/>
      <c r="X311" s="180"/>
      <c r="Y311" s="180"/>
    </row>
    <row r="312" spans="6:25">
      <c r="F312" s="180"/>
      <c r="G312" s="180"/>
      <c r="H312" s="180"/>
      <c r="I312" s="180"/>
      <c r="J312" s="180"/>
      <c r="K312" s="180"/>
      <c r="L312" s="180"/>
      <c r="M312" s="180"/>
      <c r="N312" s="180"/>
      <c r="O312" s="180"/>
      <c r="P312" s="180"/>
      <c r="Q312" s="180"/>
      <c r="R312" s="180"/>
      <c r="S312" s="182"/>
      <c r="T312" s="180"/>
      <c r="U312" s="180"/>
      <c r="V312" s="180"/>
      <c r="W312" s="180"/>
      <c r="X312" s="180"/>
      <c r="Y312" s="180"/>
    </row>
    <row r="313" spans="6:25">
      <c r="F313" s="180"/>
      <c r="G313" s="180"/>
      <c r="H313" s="180"/>
      <c r="I313" s="180"/>
      <c r="J313" s="180"/>
      <c r="K313" s="180"/>
      <c r="L313" s="180"/>
      <c r="M313" s="180"/>
      <c r="N313" s="180"/>
      <c r="O313" s="180"/>
      <c r="P313" s="180"/>
      <c r="Q313" s="180"/>
      <c r="R313" s="180"/>
      <c r="S313" s="182"/>
      <c r="T313" s="180"/>
      <c r="U313" s="180"/>
      <c r="V313" s="180"/>
      <c r="W313" s="180"/>
      <c r="X313" s="180"/>
      <c r="Y313" s="180"/>
    </row>
    <row r="314" spans="6:25">
      <c r="F314" s="180"/>
      <c r="G314" s="180"/>
      <c r="H314" s="180"/>
      <c r="I314" s="180"/>
      <c r="J314" s="180"/>
      <c r="K314" s="180"/>
      <c r="L314" s="180"/>
      <c r="M314" s="180"/>
      <c r="N314" s="180"/>
      <c r="O314" s="180"/>
      <c r="P314" s="180"/>
      <c r="Q314" s="180"/>
      <c r="R314" s="180"/>
      <c r="S314" s="182"/>
      <c r="T314" s="180"/>
      <c r="U314" s="180"/>
      <c r="V314" s="180"/>
      <c r="W314" s="180"/>
      <c r="X314" s="180"/>
      <c r="Y314" s="180"/>
    </row>
    <row r="315" spans="6:25">
      <c r="F315" s="180"/>
      <c r="G315" s="180"/>
      <c r="H315" s="180"/>
      <c r="I315" s="180"/>
      <c r="J315" s="180"/>
      <c r="K315" s="180"/>
      <c r="L315" s="180"/>
      <c r="M315" s="180"/>
      <c r="N315" s="180"/>
      <c r="O315" s="180"/>
      <c r="P315" s="180"/>
      <c r="Q315" s="180"/>
      <c r="R315" s="180"/>
      <c r="S315" s="182"/>
      <c r="T315" s="180"/>
      <c r="U315" s="180"/>
      <c r="V315" s="180"/>
      <c r="W315" s="180"/>
      <c r="X315" s="180"/>
      <c r="Y315" s="180"/>
    </row>
    <row r="316" spans="6:25">
      <c r="F316" s="180"/>
      <c r="G316" s="180"/>
      <c r="H316" s="180"/>
      <c r="I316" s="180"/>
      <c r="J316" s="180"/>
      <c r="K316" s="180"/>
      <c r="L316" s="180"/>
      <c r="M316" s="180"/>
      <c r="N316" s="180"/>
      <c r="O316" s="180"/>
      <c r="P316" s="180"/>
      <c r="Q316" s="180"/>
      <c r="R316" s="180"/>
      <c r="S316" s="182"/>
      <c r="T316" s="180"/>
      <c r="U316" s="180"/>
      <c r="V316" s="180"/>
      <c r="W316" s="180"/>
      <c r="X316" s="180"/>
      <c r="Y316" s="180"/>
    </row>
    <row r="317" spans="6:25">
      <c r="F317" s="180"/>
      <c r="G317" s="180"/>
      <c r="H317" s="180"/>
      <c r="I317" s="180"/>
      <c r="J317" s="180"/>
      <c r="K317" s="180"/>
      <c r="L317" s="180"/>
      <c r="M317" s="180"/>
      <c r="N317" s="180"/>
      <c r="O317" s="180"/>
      <c r="P317" s="180"/>
      <c r="Q317" s="180"/>
      <c r="R317" s="180"/>
      <c r="S317" s="182"/>
      <c r="T317" s="180"/>
      <c r="U317" s="180"/>
      <c r="V317" s="180"/>
      <c r="W317" s="180"/>
      <c r="X317" s="180"/>
      <c r="Y317" s="180"/>
    </row>
    <row r="318" spans="6:25">
      <c r="F318" s="180"/>
      <c r="G318" s="180"/>
      <c r="H318" s="180"/>
      <c r="I318" s="180"/>
      <c r="J318" s="180"/>
      <c r="K318" s="180"/>
      <c r="L318" s="180"/>
      <c r="M318" s="180"/>
      <c r="N318" s="180"/>
      <c r="O318" s="180"/>
      <c r="P318" s="180"/>
      <c r="Q318" s="180"/>
      <c r="R318" s="180"/>
      <c r="S318" s="182"/>
      <c r="T318" s="180"/>
      <c r="U318" s="180"/>
      <c r="V318" s="180"/>
      <c r="W318" s="180"/>
      <c r="X318" s="180"/>
      <c r="Y318" s="180"/>
    </row>
    <row r="319" spans="6:25">
      <c r="F319" s="180"/>
      <c r="G319" s="180"/>
      <c r="H319" s="180"/>
      <c r="I319" s="180"/>
      <c r="J319" s="180"/>
      <c r="K319" s="180"/>
      <c r="L319" s="180"/>
      <c r="M319" s="180"/>
      <c r="N319" s="180"/>
      <c r="O319" s="180"/>
      <c r="P319" s="180"/>
      <c r="Q319" s="180"/>
      <c r="R319" s="180"/>
      <c r="S319" s="182"/>
      <c r="T319" s="180"/>
      <c r="U319" s="180"/>
      <c r="V319" s="180"/>
      <c r="W319" s="180"/>
      <c r="X319" s="180"/>
      <c r="Y319" s="180"/>
    </row>
    <row r="320" spans="6:25">
      <c r="F320" s="180"/>
      <c r="G320" s="180"/>
      <c r="H320" s="180"/>
      <c r="I320" s="180"/>
      <c r="J320" s="180"/>
      <c r="K320" s="180"/>
      <c r="L320" s="180"/>
      <c r="M320" s="180"/>
      <c r="N320" s="180"/>
      <c r="O320" s="180"/>
      <c r="P320" s="180"/>
      <c r="Q320" s="180"/>
      <c r="R320" s="180"/>
      <c r="S320" s="182"/>
      <c r="T320" s="180"/>
      <c r="U320" s="180"/>
      <c r="V320" s="180"/>
      <c r="W320" s="180"/>
      <c r="X320" s="180"/>
      <c r="Y320" s="180"/>
    </row>
    <row r="321" spans="6:25">
      <c r="F321" s="180"/>
      <c r="G321" s="180"/>
      <c r="H321" s="180"/>
      <c r="I321" s="180"/>
      <c r="J321" s="180"/>
      <c r="K321" s="180"/>
      <c r="L321" s="180"/>
      <c r="M321" s="180"/>
      <c r="N321" s="180"/>
      <c r="O321" s="180"/>
      <c r="P321" s="180"/>
      <c r="Q321" s="180"/>
      <c r="R321" s="180"/>
      <c r="S321" s="182"/>
      <c r="T321" s="180"/>
      <c r="U321" s="180"/>
      <c r="V321" s="180"/>
      <c r="W321" s="180"/>
      <c r="X321" s="180"/>
      <c r="Y321" s="180"/>
    </row>
    <row r="322" spans="6:25">
      <c r="F322" s="180"/>
      <c r="G322" s="180"/>
      <c r="H322" s="180"/>
      <c r="I322" s="180"/>
      <c r="J322" s="180"/>
      <c r="K322" s="180"/>
      <c r="L322" s="180"/>
      <c r="M322" s="180"/>
      <c r="N322" s="180"/>
      <c r="O322" s="180"/>
      <c r="P322" s="180"/>
      <c r="Q322" s="180"/>
      <c r="R322" s="180"/>
      <c r="S322" s="182"/>
      <c r="T322" s="180"/>
      <c r="U322" s="180"/>
      <c r="V322" s="180"/>
      <c r="W322" s="180"/>
      <c r="X322" s="180"/>
      <c r="Y322" s="180"/>
    </row>
    <row r="323" spans="6:25"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2"/>
      <c r="T323" s="180"/>
      <c r="U323" s="180"/>
      <c r="V323" s="180"/>
      <c r="W323" s="180"/>
      <c r="X323" s="180"/>
      <c r="Y323" s="180"/>
    </row>
    <row r="324" spans="6:25">
      <c r="F324" s="180"/>
      <c r="G324" s="180"/>
      <c r="H324" s="180"/>
      <c r="I324" s="180"/>
      <c r="J324" s="180"/>
      <c r="K324" s="180"/>
      <c r="L324" s="180"/>
      <c r="M324" s="180"/>
      <c r="N324" s="180"/>
      <c r="O324" s="180"/>
      <c r="P324" s="180"/>
      <c r="Q324" s="180"/>
      <c r="R324" s="180"/>
      <c r="S324" s="182"/>
      <c r="T324" s="180"/>
      <c r="U324" s="180"/>
      <c r="V324" s="180"/>
      <c r="W324" s="180"/>
      <c r="X324" s="180"/>
      <c r="Y324" s="180"/>
    </row>
    <row r="325" spans="6:25">
      <c r="F325" s="180"/>
      <c r="G325" s="180"/>
      <c r="H325" s="180"/>
      <c r="I325" s="180"/>
      <c r="J325" s="180"/>
      <c r="K325" s="180"/>
      <c r="L325" s="180"/>
      <c r="M325" s="180"/>
      <c r="N325" s="180"/>
      <c r="O325" s="180"/>
      <c r="P325" s="180"/>
      <c r="Q325" s="180"/>
      <c r="R325" s="180"/>
      <c r="S325" s="182"/>
      <c r="T325" s="180"/>
      <c r="U325" s="180"/>
      <c r="V325" s="180"/>
      <c r="W325" s="180"/>
      <c r="X325" s="180"/>
      <c r="Y325" s="180"/>
    </row>
    <row r="326" spans="6:25">
      <c r="F326" s="180"/>
      <c r="G326" s="180"/>
      <c r="H326" s="180"/>
      <c r="I326" s="180"/>
      <c r="J326" s="180"/>
      <c r="K326" s="180"/>
      <c r="L326" s="180"/>
      <c r="M326" s="180"/>
      <c r="N326" s="180"/>
      <c r="O326" s="180"/>
      <c r="P326" s="180"/>
      <c r="Q326" s="180"/>
      <c r="R326" s="180"/>
      <c r="S326" s="182"/>
      <c r="T326" s="180"/>
      <c r="U326" s="180"/>
      <c r="V326" s="180"/>
      <c r="W326" s="180"/>
      <c r="X326" s="180"/>
      <c r="Y326" s="180"/>
    </row>
    <row r="327" spans="6:25">
      <c r="F327" s="180"/>
      <c r="G327" s="180"/>
      <c r="H327" s="180"/>
      <c r="I327" s="180"/>
      <c r="J327" s="180"/>
      <c r="K327" s="180"/>
      <c r="L327" s="180"/>
      <c r="M327" s="180"/>
      <c r="N327" s="180"/>
      <c r="O327" s="180"/>
      <c r="P327" s="180"/>
      <c r="Q327" s="180"/>
      <c r="R327" s="180"/>
      <c r="S327" s="182"/>
      <c r="T327" s="180"/>
      <c r="U327" s="180"/>
      <c r="V327" s="180"/>
      <c r="W327" s="180"/>
      <c r="X327" s="180"/>
      <c r="Y327" s="180"/>
    </row>
    <row r="328" spans="6:25">
      <c r="F328" s="180"/>
      <c r="G328" s="180"/>
      <c r="H328" s="180"/>
      <c r="I328" s="180"/>
      <c r="J328" s="180"/>
      <c r="K328" s="180"/>
      <c r="L328" s="180"/>
      <c r="M328" s="180"/>
      <c r="N328" s="180"/>
      <c r="O328" s="180"/>
      <c r="P328" s="180"/>
      <c r="Q328" s="180"/>
      <c r="R328" s="180"/>
      <c r="S328" s="182"/>
      <c r="T328" s="180"/>
      <c r="U328" s="180"/>
      <c r="V328" s="180"/>
      <c r="W328" s="180"/>
      <c r="X328" s="180"/>
      <c r="Y328" s="180"/>
    </row>
    <row r="329" spans="6:25">
      <c r="F329" s="180"/>
      <c r="G329" s="180"/>
      <c r="H329" s="180"/>
      <c r="I329" s="180"/>
      <c r="J329" s="180"/>
      <c r="K329" s="180"/>
      <c r="L329" s="180"/>
      <c r="M329" s="180"/>
      <c r="N329" s="180"/>
      <c r="O329" s="180"/>
      <c r="P329" s="180"/>
      <c r="Q329" s="180"/>
      <c r="R329" s="180"/>
      <c r="S329" s="182"/>
      <c r="T329" s="180"/>
      <c r="U329" s="180"/>
      <c r="V329" s="180"/>
      <c r="W329" s="180"/>
      <c r="X329" s="180"/>
      <c r="Y329" s="180"/>
    </row>
    <row r="330" spans="6:25">
      <c r="F330" s="180"/>
      <c r="G330" s="180"/>
      <c r="H330" s="180"/>
      <c r="I330" s="180"/>
      <c r="J330" s="180"/>
      <c r="K330" s="180"/>
      <c r="L330" s="180"/>
      <c r="M330" s="180"/>
      <c r="N330" s="180"/>
      <c r="O330" s="180"/>
      <c r="P330" s="180"/>
      <c r="Q330" s="180"/>
      <c r="R330" s="180"/>
      <c r="S330" s="182"/>
      <c r="T330" s="180"/>
      <c r="U330" s="180"/>
      <c r="V330" s="180"/>
      <c r="W330" s="180"/>
      <c r="X330" s="180"/>
      <c r="Y330" s="180"/>
    </row>
    <row r="331" spans="6:25">
      <c r="F331" s="180"/>
      <c r="G331" s="180"/>
      <c r="H331" s="180"/>
      <c r="I331" s="180"/>
      <c r="J331" s="180"/>
      <c r="K331" s="180"/>
      <c r="L331" s="180"/>
      <c r="M331" s="180"/>
      <c r="N331" s="180"/>
      <c r="O331" s="180"/>
      <c r="P331" s="180"/>
      <c r="Q331" s="180"/>
      <c r="R331" s="180"/>
      <c r="S331" s="182"/>
      <c r="T331" s="180"/>
      <c r="U331" s="180"/>
      <c r="V331" s="180"/>
      <c r="W331" s="180"/>
      <c r="X331" s="180"/>
      <c r="Y331" s="180"/>
    </row>
    <row r="332" spans="6:25">
      <c r="F332" s="180"/>
      <c r="G332" s="180"/>
      <c r="H332" s="180"/>
      <c r="I332" s="180"/>
      <c r="J332" s="180"/>
      <c r="K332" s="180"/>
      <c r="L332" s="180"/>
      <c r="M332" s="180"/>
      <c r="N332" s="180"/>
      <c r="O332" s="180"/>
      <c r="P332" s="180"/>
      <c r="Q332" s="180"/>
      <c r="R332" s="180"/>
      <c r="S332" s="182"/>
      <c r="T332" s="180"/>
      <c r="U332" s="180"/>
      <c r="V332" s="180"/>
      <c r="W332" s="180"/>
      <c r="X332" s="180"/>
      <c r="Y332" s="180"/>
    </row>
    <row r="333" spans="6:25">
      <c r="F333" s="180"/>
      <c r="G333" s="180"/>
      <c r="H333" s="180"/>
      <c r="I333" s="180"/>
      <c r="J333" s="180"/>
      <c r="K333" s="180"/>
      <c r="L333" s="180"/>
      <c r="M333" s="180"/>
      <c r="N333" s="180"/>
      <c r="O333" s="180"/>
      <c r="P333" s="180"/>
      <c r="Q333" s="180"/>
      <c r="R333" s="180"/>
      <c r="S333" s="182"/>
      <c r="T333" s="180"/>
      <c r="U333" s="180"/>
      <c r="V333" s="180"/>
      <c r="W333" s="180"/>
      <c r="X333" s="180"/>
      <c r="Y333" s="180"/>
    </row>
    <row r="334" spans="6:25">
      <c r="F334" s="180"/>
      <c r="G334" s="180"/>
      <c r="H334" s="180"/>
      <c r="I334" s="180"/>
      <c r="J334" s="180"/>
      <c r="K334" s="180"/>
      <c r="L334" s="180"/>
      <c r="M334" s="180"/>
      <c r="N334" s="180"/>
      <c r="O334" s="180"/>
      <c r="P334" s="180"/>
      <c r="Q334" s="180"/>
      <c r="R334" s="180"/>
      <c r="S334" s="182"/>
      <c r="T334" s="180"/>
      <c r="U334" s="180"/>
      <c r="V334" s="180"/>
      <c r="W334" s="180"/>
      <c r="X334" s="180"/>
      <c r="Y334" s="180"/>
    </row>
    <row r="335" spans="6:25">
      <c r="F335" s="180"/>
      <c r="G335" s="180"/>
      <c r="H335" s="180"/>
      <c r="I335" s="180"/>
      <c r="J335" s="180"/>
      <c r="K335" s="180"/>
      <c r="L335" s="180"/>
      <c r="M335" s="180"/>
      <c r="N335" s="180"/>
      <c r="O335" s="180"/>
      <c r="P335" s="180"/>
      <c r="Q335" s="180"/>
      <c r="R335" s="180"/>
      <c r="S335" s="182"/>
      <c r="T335" s="180"/>
      <c r="U335" s="180"/>
      <c r="V335" s="180"/>
      <c r="W335" s="180"/>
      <c r="X335" s="180"/>
      <c r="Y335" s="180"/>
    </row>
    <row r="336" spans="6:25">
      <c r="F336" s="180"/>
      <c r="G336" s="180"/>
      <c r="H336" s="180"/>
      <c r="I336" s="180"/>
      <c r="J336" s="180"/>
      <c r="K336" s="180"/>
      <c r="L336" s="180"/>
      <c r="M336" s="180"/>
      <c r="N336" s="180"/>
      <c r="O336" s="180"/>
      <c r="P336" s="180"/>
      <c r="Q336" s="180"/>
      <c r="R336" s="180"/>
      <c r="S336" s="182"/>
      <c r="T336" s="180"/>
      <c r="U336" s="180"/>
      <c r="V336" s="180"/>
      <c r="W336" s="180"/>
      <c r="X336" s="180"/>
      <c r="Y336" s="180"/>
    </row>
    <row r="337" spans="6:25">
      <c r="F337" s="180"/>
      <c r="G337" s="180"/>
      <c r="H337" s="180"/>
      <c r="I337" s="180"/>
      <c r="J337" s="180"/>
      <c r="K337" s="180"/>
      <c r="L337" s="180"/>
      <c r="M337" s="180"/>
      <c r="N337" s="180"/>
      <c r="O337" s="180"/>
      <c r="P337" s="180"/>
      <c r="Q337" s="180"/>
      <c r="R337" s="180"/>
      <c r="S337" s="182"/>
      <c r="T337" s="180"/>
      <c r="U337" s="180"/>
      <c r="V337" s="180"/>
      <c r="W337" s="180"/>
      <c r="X337" s="180"/>
      <c r="Y337" s="180"/>
    </row>
    <row r="338" spans="6:25">
      <c r="F338" s="180"/>
      <c r="G338" s="180"/>
      <c r="H338" s="180"/>
      <c r="I338" s="180"/>
      <c r="J338" s="180"/>
      <c r="K338" s="180"/>
      <c r="L338" s="180"/>
      <c r="M338" s="180"/>
      <c r="N338" s="180"/>
      <c r="O338" s="180"/>
      <c r="P338" s="180"/>
      <c r="Q338" s="180"/>
      <c r="R338" s="180"/>
      <c r="S338" s="182"/>
      <c r="T338" s="180"/>
      <c r="U338" s="180"/>
      <c r="V338" s="180"/>
      <c r="W338" s="180"/>
      <c r="X338" s="180"/>
      <c r="Y338" s="180"/>
    </row>
    <row r="339" spans="6:25">
      <c r="F339" s="180"/>
      <c r="G339" s="180"/>
      <c r="H339" s="180"/>
      <c r="I339" s="180"/>
      <c r="J339" s="180"/>
      <c r="K339" s="180"/>
      <c r="L339" s="180"/>
      <c r="M339" s="180"/>
      <c r="N339" s="180"/>
      <c r="O339" s="180"/>
      <c r="P339" s="180"/>
      <c r="Q339" s="180"/>
      <c r="R339" s="180"/>
      <c r="S339" s="182"/>
      <c r="T339" s="180"/>
      <c r="U339" s="180"/>
      <c r="V339" s="180"/>
      <c r="W339" s="180"/>
      <c r="X339" s="180"/>
      <c r="Y339" s="180"/>
    </row>
    <row r="340" spans="6:25">
      <c r="F340" s="180"/>
      <c r="G340" s="180"/>
      <c r="H340" s="180"/>
      <c r="I340" s="180"/>
      <c r="J340" s="180"/>
      <c r="K340" s="180"/>
      <c r="L340" s="180"/>
      <c r="M340" s="180"/>
      <c r="N340" s="180"/>
      <c r="O340" s="180"/>
      <c r="P340" s="180"/>
      <c r="Q340" s="180"/>
      <c r="R340" s="180"/>
      <c r="S340" s="182"/>
      <c r="T340" s="180"/>
      <c r="U340" s="180"/>
      <c r="V340" s="180"/>
      <c r="W340" s="180"/>
      <c r="X340" s="180"/>
      <c r="Y340" s="180"/>
    </row>
    <row r="341" spans="6:25">
      <c r="F341" s="180"/>
      <c r="G341" s="180"/>
      <c r="H341" s="180"/>
      <c r="I341" s="180"/>
      <c r="J341" s="180"/>
      <c r="K341" s="180"/>
      <c r="L341" s="180"/>
      <c r="M341" s="180"/>
      <c r="N341" s="180"/>
      <c r="O341" s="180"/>
      <c r="P341" s="180"/>
      <c r="Q341" s="180"/>
      <c r="R341" s="180"/>
      <c r="S341" s="182"/>
      <c r="T341" s="180"/>
      <c r="U341" s="180"/>
      <c r="V341" s="180"/>
      <c r="W341" s="180"/>
      <c r="X341" s="180"/>
      <c r="Y341" s="180"/>
    </row>
    <row r="342" spans="6:25">
      <c r="F342" s="180"/>
      <c r="G342" s="180"/>
      <c r="H342" s="180"/>
      <c r="I342" s="180"/>
      <c r="J342" s="180"/>
      <c r="K342" s="180"/>
      <c r="L342" s="180"/>
      <c r="M342" s="180"/>
      <c r="N342" s="180"/>
      <c r="O342" s="180"/>
      <c r="P342" s="180"/>
      <c r="Q342" s="180"/>
      <c r="R342" s="180"/>
      <c r="S342" s="182"/>
      <c r="T342" s="180"/>
      <c r="U342" s="180"/>
      <c r="V342" s="180"/>
      <c r="W342" s="180"/>
      <c r="X342" s="180"/>
      <c r="Y342" s="180"/>
    </row>
    <row r="343" spans="6:25">
      <c r="F343" s="180"/>
      <c r="G343" s="180"/>
      <c r="H343" s="180"/>
      <c r="I343" s="180"/>
      <c r="J343" s="180"/>
      <c r="K343" s="180"/>
      <c r="L343" s="180"/>
      <c r="M343" s="180"/>
      <c r="N343" s="180"/>
      <c r="O343" s="180"/>
      <c r="P343" s="180"/>
      <c r="Q343" s="180"/>
      <c r="R343" s="180"/>
      <c r="S343" s="182"/>
      <c r="T343" s="180"/>
      <c r="U343" s="180"/>
      <c r="V343" s="180"/>
      <c r="W343" s="180"/>
      <c r="X343" s="180"/>
      <c r="Y343" s="180"/>
    </row>
    <row r="344" spans="6:25">
      <c r="F344" s="180"/>
      <c r="G344" s="180"/>
      <c r="H344" s="180"/>
      <c r="I344" s="180"/>
      <c r="J344" s="180"/>
      <c r="K344" s="180"/>
      <c r="L344" s="180"/>
      <c r="M344" s="180"/>
      <c r="N344" s="180"/>
      <c r="O344" s="180"/>
      <c r="P344" s="180"/>
      <c r="Q344" s="180"/>
      <c r="R344" s="180"/>
      <c r="S344" s="182"/>
      <c r="T344" s="180"/>
      <c r="U344" s="180"/>
      <c r="V344" s="180"/>
      <c r="W344" s="180"/>
      <c r="X344" s="180"/>
      <c r="Y344" s="180"/>
    </row>
    <row r="345" spans="6:25">
      <c r="F345" s="180"/>
      <c r="G345" s="180"/>
      <c r="H345" s="180"/>
      <c r="I345" s="180"/>
      <c r="J345" s="180"/>
      <c r="K345" s="180"/>
      <c r="L345" s="180"/>
      <c r="M345" s="180"/>
      <c r="N345" s="180"/>
      <c r="O345" s="180"/>
      <c r="P345" s="180"/>
      <c r="Q345" s="180"/>
      <c r="R345" s="180"/>
      <c r="S345" s="182"/>
      <c r="T345" s="180"/>
      <c r="U345" s="180"/>
      <c r="V345" s="180"/>
      <c r="W345" s="180"/>
      <c r="X345" s="180"/>
      <c r="Y345" s="180"/>
    </row>
    <row r="346" spans="6:25">
      <c r="F346" s="180"/>
      <c r="G346" s="180"/>
      <c r="H346" s="180"/>
      <c r="I346" s="180"/>
      <c r="J346" s="180"/>
      <c r="K346" s="180"/>
      <c r="L346" s="180"/>
      <c r="M346" s="180"/>
      <c r="N346" s="180"/>
      <c r="O346" s="180"/>
      <c r="P346" s="180"/>
      <c r="Q346" s="180"/>
      <c r="R346" s="180"/>
      <c r="S346" s="182"/>
      <c r="T346" s="180"/>
      <c r="U346" s="180"/>
      <c r="V346" s="180"/>
      <c r="W346" s="180"/>
      <c r="X346" s="180"/>
      <c r="Y346" s="180"/>
    </row>
    <row r="347" spans="6:25">
      <c r="F347" s="180"/>
      <c r="G347" s="180"/>
      <c r="H347" s="180"/>
      <c r="I347" s="180"/>
      <c r="J347" s="180"/>
      <c r="K347" s="180"/>
      <c r="L347" s="180"/>
      <c r="M347" s="180"/>
      <c r="N347" s="180"/>
      <c r="O347" s="180"/>
      <c r="P347" s="180"/>
      <c r="Q347" s="180"/>
      <c r="R347" s="180"/>
      <c r="S347" s="182"/>
      <c r="T347" s="180"/>
      <c r="U347" s="180"/>
      <c r="V347" s="180"/>
      <c r="W347" s="180"/>
      <c r="X347" s="180"/>
      <c r="Y347" s="180"/>
    </row>
    <row r="348" spans="6:25">
      <c r="F348" s="180"/>
      <c r="G348" s="180"/>
      <c r="H348" s="180"/>
      <c r="I348" s="180"/>
      <c r="J348" s="180"/>
      <c r="K348" s="180"/>
      <c r="L348" s="180"/>
      <c r="M348" s="180"/>
      <c r="N348" s="180"/>
      <c r="O348" s="180"/>
      <c r="P348" s="180"/>
      <c r="Q348" s="180"/>
      <c r="R348" s="180"/>
      <c r="S348" s="182"/>
      <c r="T348" s="180"/>
      <c r="U348" s="180"/>
      <c r="V348" s="180"/>
      <c r="W348" s="180"/>
      <c r="X348" s="180"/>
      <c r="Y348" s="180"/>
    </row>
    <row r="349" spans="6:25">
      <c r="F349" s="180"/>
      <c r="G349" s="180"/>
      <c r="H349" s="180"/>
      <c r="I349" s="180"/>
      <c r="J349" s="180"/>
      <c r="K349" s="180"/>
      <c r="L349" s="180"/>
      <c r="M349" s="180"/>
      <c r="N349" s="180"/>
      <c r="O349" s="180"/>
      <c r="P349" s="180"/>
      <c r="Q349" s="180"/>
      <c r="R349" s="180"/>
      <c r="S349" s="182"/>
      <c r="T349" s="180"/>
      <c r="U349" s="180"/>
      <c r="V349" s="180"/>
      <c r="W349" s="180"/>
      <c r="X349" s="180"/>
      <c r="Y349" s="180"/>
    </row>
    <row r="350" spans="6:25">
      <c r="F350" s="180"/>
      <c r="G350" s="180"/>
      <c r="H350" s="180"/>
      <c r="I350" s="180"/>
      <c r="J350" s="180"/>
      <c r="K350" s="180"/>
      <c r="L350" s="180"/>
      <c r="M350" s="180"/>
      <c r="N350" s="180"/>
      <c r="O350" s="180"/>
      <c r="P350" s="180"/>
      <c r="Q350" s="180"/>
      <c r="R350" s="180"/>
      <c r="S350" s="182"/>
      <c r="T350" s="180"/>
      <c r="U350" s="180"/>
      <c r="V350" s="180"/>
      <c r="W350" s="180"/>
      <c r="X350" s="180"/>
      <c r="Y350" s="180"/>
    </row>
    <row r="351" spans="6:25"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2"/>
      <c r="T351" s="180"/>
      <c r="U351" s="180"/>
      <c r="V351" s="180"/>
      <c r="W351" s="180"/>
      <c r="X351" s="180"/>
      <c r="Y351" s="180"/>
    </row>
    <row r="352" spans="6:25">
      <c r="F352" s="180"/>
      <c r="G352" s="180"/>
      <c r="H352" s="180"/>
      <c r="I352" s="180"/>
      <c r="J352" s="180"/>
      <c r="K352" s="180"/>
      <c r="L352" s="180"/>
      <c r="M352" s="180"/>
      <c r="N352" s="180"/>
      <c r="O352" s="180"/>
      <c r="P352" s="180"/>
      <c r="Q352" s="180"/>
      <c r="R352" s="180"/>
      <c r="S352" s="182"/>
      <c r="T352" s="180"/>
      <c r="U352" s="180"/>
      <c r="V352" s="180"/>
      <c r="W352" s="180"/>
      <c r="X352" s="180"/>
      <c r="Y352" s="180"/>
    </row>
    <row r="353" spans="6:25">
      <c r="F353" s="180"/>
      <c r="G353" s="180"/>
      <c r="H353" s="180"/>
      <c r="I353" s="180"/>
      <c r="J353" s="180"/>
      <c r="K353" s="180"/>
      <c r="L353" s="180"/>
      <c r="M353" s="180"/>
      <c r="N353" s="180"/>
      <c r="O353" s="180"/>
      <c r="P353" s="180"/>
      <c r="Q353" s="180"/>
      <c r="R353" s="180"/>
      <c r="S353" s="182"/>
      <c r="T353" s="180"/>
      <c r="U353" s="180"/>
      <c r="V353" s="180"/>
      <c r="W353" s="180"/>
      <c r="X353" s="180"/>
      <c r="Y353" s="180"/>
    </row>
    <row r="354" spans="6:25">
      <c r="F354" s="180"/>
      <c r="G354" s="180"/>
      <c r="H354" s="180"/>
      <c r="I354" s="180"/>
      <c r="J354" s="180"/>
      <c r="K354" s="180"/>
      <c r="L354" s="180"/>
      <c r="M354" s="180"/>
      <c r="N354" s="180"/>
      <c r="O354" s="180"/>
      <c r="P354" s="180"/>
      <c r="Q354" s="180"/>
      <c r="R354" s="180"/>
      <c r="S354" s="182"/>
      <c r="T354" s="180"/>
      <c r="U354" s="180"/>
      <c r="V354" s="180"/>
      <c r="W354" s="180"/>
      <c r="X354" s="180"/>
      <c r="Y354" s="180"/>
    </row>
    <row r="355" spans="6:25">
      <c r="F355" s="180"/>
      <c r="G355" s="180"/>
      <c r="H355" s="180"/>
      <c r="I355" s="180"/>
      <c r="J355" s="180"/>
      <c r="K355" s="180"/>
      <c r="L355" s="180"/>
      <c r="M355" s="180"/>
      <c r="N355" s="180"/>
      <c r="O355" s="180"/>
      <c r="P355" s="180"/>
      <c r="Q355" s="180"/>
      <c r="R355" s="180"/>
      <c r="S355" s="182"/>
      <c r="T355" s="180"/>
      <c r="U355" s="180"/>
      <c r="V355" s="180"/>
      <c r="W355" s="180"/>
      <c r="X355" s="180"/>
      <c r="Y355" s="180"/>
    </row>
    <row r="356" spans="6:25">
      <c r="F356" s="180"/>
      <c r="G356" s="180"/>
      <c r="H356" s="180"/>
      <c r="I356" s="180"/>
      <c r="J356" s="180"/>
      <c r="K356" s="180"/>
      <c r="L356" s="180"/>
      <c r="M356" s="180"/>
      <c r="N356" s="180"/>
      <c r="O356" s="180"/>
      <c r="P356" s="180"/>
      <c r="Q356" s="180"/>
      <c r="R356" s="180"/>
      <c r="S356" s="182"/>
      <c r="T356" s="180"/>
      <c r="U356" s="180"/>
      <c r="V356" s="180"/>
      <c r="W356" s="180"/>
      <c r="X356" s="180"/>
      <c r="Y356" s="180"/>
    </row>
    <row r="357" spans="6:25">
      <c r="F357" s="180"/>
      <c r="G357" s="180"/>
      <c r="H357" s="180"/>
      <c r="I357" s="180"/>
      <c r="J357" s="180"/>
      <c r="K357" s="180"/>
      <c r="L357" s="180"/>
      <c r="M357" s="180"/>
      <c r="N357" s="180"/>
      <c r="O357" s="180"/>
      <c r="P357" s="180"/>
      <c r="Q357" s="180"/>
      <c r="R357" s="180"/>
      <c r="S357" s="182"/>
      <c r="T357" s="180"/>
      <c r="U357" s="180"/>
      <c r="V357" s="180"/>
      <c r="W357" s="180"/>
      <c r="X357" s="180"/>
      <c r="Y357" s="180"/>
    </row>
    <row r="358" spans="6:25">
      <c r="F358" s="180"/>
      <c r="G358" s="180"/>
      <c r="H358" s="180"/>
      <c r="I358" s="180"/>
      <c r="J358" s="180"/>
      <c r="K358" s="180"/>
      <c r="L358" s="180"/>
      <c r="M358" s="180"/>
      <c r="N358" s="180"/>
      <c r="O358" s="180"/>
      <c r="P358" s="180"/>
      <c r="Q358" s="180"/>
      <c r="R358" s="180"/>
      <c r="S358" s="182"/>
      <c r="T358" s="180"/>
      <c r="U358" s="180"/>
      <c r="V358" s="180"/>
      <c r="W358" s="180"/>
      <c r="X358" s="180"/>
      <c r="Y358" s="180"/>
    </row>
    <row r="359" spans="6:25">
      <c r="F359" s="180"/>
      <c r="G359" s="180"/>
      <c r="H359" s="180"/>
      <c r="I359" s="180"/>
      <c r="J359" s="180"/>
      <c r="K359" s="180"/>
      <c r="L359" s="180"/>
      <c r="M359" s="180"/>
      <c r="N359" s="180"/>
      <c r="O359" s="180"/>
      <c r="P359" s="180"/>
      <c r="Q359" s="180"/>
      <c r="R359" s="180"/>
      <c r="S359" s="182"/>
      <c r="T359" s="180"/>
      <c r="U359" s="180"/>
      <c r="V359" s="180"/>
      <c r="W359" s="180"/>
      <c r="X359" s="180"/>
      <c r="Y359" s="180"/>
    </row>
    <row r="360" spans="6:25">
      <c r="F360" s="180"/>
      <c r="G360" s="180"/>
      <c r="H360" s="180"/>
      <c r="I360" s="180"/>
      <c r="J360" s="180"/>
      <c r="K360" s="180"/>
      <c r="L360" s="180"/>
      <c r="M360" s="180"/>
      <c r="N360" s="180"/>
      <c r="O360" s="180"/>
      <c r="P360" s="180"/>
      <c r="Q360" s="180"/>
      <c r="R360" s="180"/>
      <c r="S360" s="182"/>
      <c r="T360" s="180"/>
      <c r="U360" s="180"/>
      <c r="V360" s="180"/>
      <c r="W360" s="180"/>
      <c r="X360" s="180"/>
      <c r="Y360" s="180"/>
    </row>
    <row r="361" spans="6:25">
      <c r="F361" s="180"/>
      <c r="G361" s="180"/>
      <c r="H361" s="180"/>
      <c r="I361" s="180"/>
      <c r="J361" s="180"/>
      <c r="K361" s="180"/>
      <c r="L361" s="180"/>
      <c r="M361" s="180"/>
      <c r="N361" s="180"/>
      <c r="O361" s="180"/>
      <c r="P361" s="180"/>
      <c r="Q361" s="180"/>
      <c r="R361" s="180"/>
      <c r="S361" s="182"/>
      <c r="T361" s="180"/>
      <c r="U361" s="180"/>
      <c r="V361" s="180"/>
      <c r="W361" s="180"/>
      <c r="X361" s="180"/>
      <c r="Y361" s="180"/>
    </row>
    <row r="362" spans="6:25">
      <c r="F362" s="180"/>
      <c r="G362" s="180"/>
      <c r="H362" s="180"/>
      <c r="I362" s="180"/>
      <c r="J362" s="180"/>
      <c r="K362" s="180"/>
      <c r="L362" s="180"/>
      <c r="M362" s="180"/>
      <c r="N362" s="180"/>
      <c r="O362" s="180"/>
      <c r="P362" s="180"/>
      <c r="Q362" s="180"/>
      <c r="R362" s="180"/>
      <c r="S362" s="182"/>
      <c r="T362" s="180"/>
      <c r="U362" s="180"/>
      <c r="V362" s="180"/>
      <c r="W362" s="180"/>
      <c r="X362" s="180"/>
      <c r="Y362" s="180"/>
    </row>
    <row r="363" spans="6:25">
      <c r="F363" s="180"/>
      <c r="G363" s="180"/>
      <c r="H363" s="180"/>
      <c r="I363" s="180"/>
      <c r="J363" s="180"/>
      <c r="K363" s="180"/>
      <c r="L363" s="180"/>
      <c r="M363" s="180"/>
      <c r="N363" s="180"/>
      <c r="O363" s="180"/>
      <c r="P363" s="180"/>
      <c r="Q363" s="180"/>
      <c r="R363" s="180"/>
      <c r="S363" s="182"/>
      <c r="T363" s="180"/>
      <c r="U363" s="180"/>
      <c r="V363" s="180"/>
      <c r="W363" s="180"/>
      <c r="X363" s="180"/>
      <c r="Y363" s="180"/>
    </row>
    <row r="364" spans="6:25">
      <c r="F364" s="180"/>
      <c r="G364" s="180"/>
      <c r="H364" s="180"/>
      <c r="I364" s="180"/>
      <c r="J364" s="180"/>
      <c r="K364" s="180"/>
      <c r="L364" s="180"/>
      <c r="M364" s="180"/>
      <c r="N364" s="180"/>
      <c r="O364" s="180"/>
      <c r="P364" s="180"/>
      <c r="Q364" s="180"/>
      <c r="R364" s="180"/>
      <c r="S364" s="182"/>
      <c r="T364" s="180"/>
      <c r="U364" s="180"/>
      <c r="V364" s="180"/>
      <c r="W364" s="180"/>
      <c r="X364" s="180"/>
      <c r="Y364" s="180"/>
    </row>
    <row r="365" spans="6:25">
      <c r="F365" s="180"/>
      <c r="G365" s="180"/>
      <c r="H365" s="180"/>
      <c r="I365" s="180"/>
      <c r="J365" s="180"/>
      <c r="K365" s="180"/>
      <c r="L365" s="180"/>
      <c r="M365" s="180"/>
      <c r="N365" s="180"/>
      <c r="O365" s="180"/>
      <c r="P365" s="180"/>
      <c r="Q365" s="180"/>
      <c r="R365" s="180"/>
      <c r="S365" s="182"/>
      <c r="T365" s="180"/>
      <c r="U365" s="180"/>
      <c r="V365" s="180"/>
      <c r="W365" s="180"/>
      <c r="X365" s="180"/>
      <c r="Y365" s="180"/>
    </row>
    <row r="366" spans="6:25">
      <c r="F366" s="180"/>
      <c r="G366" s="180"/>
      <c r="H366" s="180"/>
      <c r="I366" s="180"/>
      <c r="J366" s="180"/>
      <c r="K366" s="180"/>
      <c r="L366" s="180"/>
      <c r="M366" s="180"/>
      <c r="N366" s="180"/>
      <c r="O366" s="180"/>
      <c r="P366" s="180"/>
      <c r="Q366" s="180"/>
      <c r="R366" s="180"/>
      <c r="S366" s="182"/>
      <c r="T366" s="180"/>
      <c r="U366" s="180"/>
      <c r="V366" s="180"/>
      <c r="W366" s="180"/>
      <c r="X366" s="180"/>
      <c r="Y366" s="180"/>
    </row>
    <row r="367" spans="6:25">
      <c r="F367" s="180"/>
      <c r="G367" s="180"/>
      <c r="H367" s="180"/>
      <c r="I367" s="180"/>
      <c r="J367" s="180"/>
      <c r="K367" s="180"/>
      <c r="L367" s="180"/>
      <c r="M367" s="180"/>
      <c r="N367" s="180"/>
      <c r="O367" s="180"/>
      <c r="P367" s="180"/>
      <c r="Q367" s="180"/>
      <c r="R367" s="180"/>
      <c r="S367" s="182"/>
      <c r="T367" s="180"/>
      <c r="U367" s="180"/>
      <c r="V367" s="180"/>
      <c r="W367" s="180"/>
      <c r="X367" s="180"/>
      <c r="Y367" s="180"/>
    </row>
    <row r="368" spans="6:25">
      <c r="F368" s="180"/>
      <c r="G368" s="180"/>
      <c r="H368" s="180"/>
      <c r="I368" s="180"/>
      <c r="J368" s="180"/>
      <c r="K368" s="180"/>
      <c r="L368" s="180"/>
      <c r="M368" s="180"/>
      <c r="N368" s="180"/>
      <c r="O368" s="180"/>
      <c r="P368" s="180"/>
      <c r="Q368" s="180"/>
      <c r="R368" s="180"/>
      <c r="S368" s="182"/>
      <c r="T368" s="180"/>
      <c r="U368" s="180"/>
      <c r="V368" s="180"/>
      <c r="W368" s="180"/>
      <c r="X368" s="180"/>
      <c r="Y368" s="180"/>
    </row>
    <row r="369" spans="6:25">
      <c r="F369" s="180"/>
      <c r="G369" s="180"/>
      <c r="H369" s="180"/>
      <c r="I369" s="180"/>
      <c r="J369" s="180"/>
      <c r="K369" s="180"/>
      <c r="L369" s="180"/>
      <c r="M369" s="180"/>
      <c r="N369" s="180"/>
      <c r="O369" s="180"/>
      <c r="P369" s="180"/>
      <c r="Q369" s="180"/>
      <c r="R369" s="180"/>
      <c r="S369" s="182"/>
      <c r="T369" s="180"/>
      <c r="U369" s="180"/>
      <c r="V369" s="180"/>
      <c r="W369" s="180"/>
      <c r="X369" s="180"/>
      <c r="Y369" s="180"/>
    </row>
    <row r="370" spans="6:25">
      <c r="F370" s="180"/>
      <c r="G370" s="180"/>
      <c r="H370" s="180"/>
      <c r="I370" s="180"/>
      <c r="J370" s="180"/>
      <c r="K370" s="180"/>
      <c r="L370" s="180"/>
      <c r="M370" s="180"/>
      <c r="N370" s="180"/>
      <c r="O370" s="180"/>
      <c r="P370" s="180"/>
      <c r="Q370" s="180"/>
      <c r="R370" s="180"/>
      <c r="S370" s="182"/>
      <c r="T370" s="180"/>
      <c r="U370" s="180"/>
      <c r="V370" s="180"/>
      <c r="W370" s="180"/>
      <c r="X370" s="180"/>
      <c r="Y370" s="180"/>
    </row>
    <row r="371" spans="6:25">
      <c r="F371" s="180"/>
      <c r="G371" s="180"/>
      <c r="H371" s="180"/>
      <c r="I371" s="180"/>
      <c r="J371" s="180"/>
      <c r="K371" s="180"/>
      <c r="L371" s="180"/>
      <c r="M371" s="180"/>
      <c r="N371" s="180"/>
      <c r="O371" s="180"/>
      <c r="P371" s="180"/>
      <c r="Q371" s="180"/>
      <c r="R371" s="180"/>
      <c r="S371" s="182"/>
      <c r="T371" s="180"/>
      <c r="U371" s="180"/>
      <c r="V371" s="180"/>
      <c r="W371" s="180"/>
      <c r="X371" s="180"/>
      <c r="Y371" s="180"/>
    </row>
    <row r="372" spans="6:25">
      <c r="F372" s="180"/>
      <c r="G372" s="180"/>
      <c r="H372" s="180"/>
      <c r="I372" s="180"/>
      <c r="J372" s="180"/>
      <c r="K372" s="180"/>
      <c r="L372" s="180"/>
      <c r="M372" s="180"/>
      <c r="N372" s="180"/>
      <c r="O372" s="180"/>
      <c r="P372" s="180"/>
      <c r="Q372" s="180"/>
      <c r="R372" s="180"/>
      <c r="S372" s="182"/>
      <c r="T372" s="180"/>
      <c r="U372" s="180"/>
      <c r="V372" s="180"/>
      <c r="W372" s="180"/>
      <c r="X372" s="180"/>
      <c r="Y372" s="180"/>
    </row>
    <row r="373" spans="6:25">
      <c r="F373" s="180"/>
      <c r="G373" s="180"/>
      <c r="H373" s="180"/>
      <c r="I373" s="180"/>
      <c r="J373" s="180"/>
      <c r="K373" s="180"/>
      <c r="L373" s="180"/>
      <c r="M373" s="180"/>
      <c r="N373" s="180"/>
      <c r="O373" s="180"/>
      <c r="P373" s="180"/>
      <c r="Q373" s="180"/>
      <c r="R373" s="180"/>
      <c r="S373" s="182"/>
      <c r="T373" s="180"/>
      <c r="U373" s="180"/>
      <c r="V373" s="180"/>
      <c r="W373" s="180"/>
      <c r="X373" s="180"/>
      <c r="Y373" s="180"/>
    </row>
    <row r="374" spans="6:25">
      <c r="F374" s="180"/>
      <c r="G374" s="180"/>
      <c r="H374" s="180"/>
      <c r="I374" s="180"/>
      <c r="J374" s="180"/>
      <c r="K374" s="180"/>
      <c r="L374" s="180"/>
      <c r="M374" s="180"/>
      <c r="N374" s="180"/>
      <c r="O374" s="180"/>
      <c r="P374" s="180"/>
      <c r="Q374" s="180"/>
      <c r="R374" s="180"/>
      <c r="S374" s="182"/>
      <c r="T374" s="180"/>
      <c r="U374" s="180"/>
      <c r="V374" s="180"/>
      <c r="W374" s="180"/>
      <c r="X374" s="180"/>
      <c r="Y374" s="180"/>
    </row>
    <row r="375" spans="6:25">
      <c r="F375" s="180"/>
      <c r="G375" s="180"/>
      <c r="H375" s="180"/>
      <c r="I375" s="180"/>
      <c r="J375" s="180"/>
      <c r="K375" s="180"/>
      <c r="L375" s="180"/>
      <c r="M375" s="180"/>
      <c r="N375" s="180"/>
      <c r="O375" s="180"/>
      <c r="P375" s="180"/>
      <c r="Q375" s="180"/>
      <c r="R375" s="180"/>
      <c r="S375" s="182"/>
      <c r="T375" s="180"/>
      <c r="U375" s="180"/>
      <c r="V375" s="180"/>
      <c r="W375" s="180"/>
      <c r="X375" s="180"/>
      <c r="Y375" s="180"/>
    </row>
    <row r="376" spans="6:25">
      <c r="F376" s="180"/>
      <c r="G376" s="180"/>
      <c r="H376" s="180"/>
      <c r="I376" s="180"/>
      <c r="J376" s="180"/>
      <c r="K376" s="180"/>
      <c r="L376" s="180"/>
      <c r="M376" s="180"/>
      <c r="N376" s="180"/>
      <c r="O376" s="180"/>
      <c r="P376" s="180"/>
      <c r="Q376" s="180"/>
      <c r="R376" s="180"/>
      <c r="S376" s="182"/>
      <c r="T376" s="180"/>
      <c r="U376" s="180"/>
      <c r="V376" s="180"/>
      <c r="W376" s="180"/>
      <c r="X376" s="180"/>
      <c r="Y376" s="180"/>
    </row>
    <row r="377" spans="6:25">
      <c r="F377" s="180"/>
      <c r="G377" s="180"/>
      <c r="H377" s="180"/>
      <c r="I377" s="180"/>
      <c r="J377" s="180"/>
      <c r="K377" s="180"/>
      <c r="L377" s="180"/>
      <c r="M377" s="180"/>
      <c r="N377" s="180"/>
      <c r="O377" s="180"/>
      <c r="P377" s="180"/>
      <c r="Q377" s="180"/>
      <c r="R377" s="180"/>
      <c r="S377" s="182"/>
      <c r="T377" s="180"/>
      <c r="U377" s="180"/>
      <c r="V377" s="180"/>
      <c r="W377" s="180"/>
      <c r="X377" s="180"/>
      <c r="Y377" s="180"/>
    </row>
    <row r="378" spans="6:25">
      <c r="F378" s="180"/>
      <c r="G378" s="180"/>
      <c r="H378" s="180"/>
      <c r="I378" s="180"/>
      <c r="J378" s="180"/>
      <c r="K378" s="180"/>
      <c r="L378" s="180"/>
      <c r="M378" s="180"/>
      <c r="N378" s="180"/>
      <c r="O378" s="180"/>
      <c r="P378" s="180"/>
      <c r="Q378" s="180"/>
      <c r="R378" s="180"/>
      <c r="S378" s="182"/>
      <c r="T378" s="180"/>
      <c r="U378" s="180"/>
      <c r="V378" s="180"/>
      <c r="W378" s="180"/>
      <c r="X378" s="180"/>
      <c r="Y378" s="180"/>
    </row>
    <row r="379" spans="6:25">
      <c r="F379" s="180"/>
      <c r="G379" s="180"/>
      <c r="H379" s="180"/>
      <c r="I379" s="180"/>
      <c r="J379" s="180"/>
      <c r="K379" s="180"/>
      <c r="L379" s="180"/>
      <c r="M379" s="180"/>
      <c r="N379" s="180"/>
      <c r="O379" s="180"/>
      <c r="P379" s="180"/>
      <c r="Q379" s="180"/>
      <c r="R379" s="180"/>
      <c r="S379" s="182"/>
      <c r="T379" s="180"/>
      <c r="U379" s="180"/>
      <c r="V379" s="180"/>
      <c r="W379" s="180"/>
      <c r="X379" s="180"/>
      <c r="Y379" s="180"/>
    </row>
    <row r="380" spans="6:25">
      <c r="F380" s="180"/>
      <c r="G380" s="180"/>
      <c r="H380" s="180"/>
      <c r="I380" s="180"/>
      <c r="J380" s="180"/>
      <c r="K380" s="180"/>
      <c r="L380" s="180"/>
      <c r="M380" s="180"/>
      <c r="N380" s="180"/>
      <c r="O380" s="180"/>
      <c r="P380" s="180"/>
      <c r="Q380" s="180"/>
      <c r="R380" s="180"/>
      <c r="S380" s="182"/>
      <c r="T380" s="180"/>
      <c r="U380" s="180"/>
      <c r="V380" s="180"/>
      <c r="W380" s="180"/>
      <c r="X380" s="180"/>
      <c r="Y380" s="180"/>
    </row>
    <row r="381" spans="6:25">
      <c r="F381" s="180"/>
      <c r="G381" s="180"/>
      <c r="H381" s="180"/>
      <c r="I381" s="180"/>
      <c r="J381" s="180"/>
      <c r="K381" s="180"/>
      <c r="L381" s="180"/>
      <c r="M381" s="180"/>
      <c r="N381" s="180"/>
      <c r="O381" s="180"/>
      <c r="P381" s="180"/>
      <c r="Q381" s="180"/>
      <c r="R381" s="180"/>
      <c r="S381" s="182"/>
      <c r="T381" s="180"/>
      <c r="U381" s="180"/>
      <c r="V381" s="180"/>
      <c r="W381" s="180"/>
      <c r="X381" s="180"/>
      <c r="Y381" s="180"/>
    </row>
    <row r="382" spans="6:25">
      <c r="F382" s="180"/>
      <c r="G382" s="180"/>
      <c r="H382" s="180"/>
      <c r="I382" s="180"/>
      <c r="J382" s="180"/>
      <c r="K382" s="180"/>
      <c r="L382" s="180"/>
      <c r="M382" s="180"/>
      <c r="N382" s="180"/>
      <c r="O382" s="180"/>
      <c r="P382" s="180"/>
      <c r="Q382" s="180"/>
      <c r="R382" s="180"/>
      <c r="S382" s="182"/>
      <c r="T382" s="180"/>
      <c r="U382" s="180"/>
      <c r="V382" s="180"/>
      <c r="W382" s="180"/>
      <c r="X382" s="180"/>
      <c r="Y382" s="180"/>
    </row>
    <row r="383" spans="6:25">
      <c r="F383" s="180"/>
      <c r="G383" s="180"/>
      <c r="H383" s="180"/>
      <c r="I383" s="180"/>
      <c r="J383" s="180"/>
      <c r="K383" s="180"/>
      <c r="L383" s="180"/>
      <c r="M383" s="180"/>
      <c r="N383" s="180"/>
      <c r="O383" s="180"/>
      <c r="P383" s="180"/>
      <c r="Q383" s="180"/>
      <c r="R383" s="180"/>
      <c r="S383" s="182"/>
      <c r="T383" s="180"/>
      <c r="U383" s="180"/>
      <c r="V383" s="180"/>
      <c r="W383" s="180"/>
      <c r="X383" s="180"/>
      <c r="Y383" s="180"/>
    </row>
    <row r="384" spans="6:25">
      <c r="F384" s="180"/>
      <c r="G384" s="180"/>
      <c r="H384" s="180"/>
      <c r="I384" s="180"/>
      <c r="J384" s="180"/>
      <c r="K384" s="180"/>
      <c r="L384" s="180"/>
      <c r="M384" s="180"/>
      <c r="N384" s="180"/>
      <c r="O384" s="180"/>
      <c r="P384" s="180"/>
      <c r="Q384" s="180"/>
      <c r="R384" s="180"/>
      <c r="S384" s="182"/>
      <c r="T384" s="180"/>
      <c r="U384" s="180"/>
      <c r="V384" s="180"/>
      <c r="W384" s="180"/>
      <c r="X384" s="180"/>
      <c r="Y384" s="180"/>
    </row>
    <row r="385" spans="6:25">
      <c r="F385" s="180"/>
      <c r="G385" s="180"/>
      <c r="H385" s="180"/>
      <c r="I385" s="180"/>
      <c r="J385" s="180"/>
      <c r="K385" s="180"/>
      <c r="L385" s="180"/>
      <c r="M385" s="180"/>
      <c r="N385" s="180"/>
      <c r="O385" s="180"/>
      <c r="P385" s="180"/>
      <c r="Q385" s="180"/>
      <c r="R385" s="180"/>
      <c r="S385" s="182"/>
      <c r="T385" s="180"/>
      <c r="U385" s="180"/>
      <c r="V385" s="180"/>
      <c r="W385" s="180"/>
      <c r="X385" s="180"/>
      <c r="Y385" s="180"/>
    </row>
    <row r="386" spans="6:25">
      <c r="F386" s="180"/>
      <c r="G386" s="180"/>
      <c r="H386" s="180"/>
      <c r="I386" s="180"/>
      <c r="J386" s="180"/>
      <c r="K386" s="180"/>
      <c r="L386" s="180"/>
      <c r="M386" s="180"/>
      <c r="N386" s="180"/>
      <c r="O386" s="180"/>
      <c r="P386" s="180"/>
      <c r="Q386" s="180"/>
      <c r="R386" s="180"/>
      <c r="S386" s="182"/>
      <c r="T386" s="180"/>
      <c r="U386" s="180"/>
      <c r="V386" s="180"/>
      <c r="W386" s="180"/>
      <c r="X386" s="180"/>
      <c r="Y386" s="180"/>
    </row>
    <row r="387" spans="6:25">
      <c r="F387" s="180"/>
      <c r="G387" s="180"/>
      <c r="H387" s="180"/>
      <c r="I387" s="180"/>
      <c r="J387" s="180"/>
      <c r="K387" s="180"/>
      <c r="L387" s="180"/>
      <c r="M387" s="180"/>
      <c r="N387" s="180"/>
      <c r="O387" s="180"/>
      <c r="P387" s="180"/>
      <c r="Q387" s="180"/>
      <c r="R387" s="180"/>
      <c r="S387" s="182"/>
      <c r="T387" s="180"/>
      <c r="U387" s="180"/>
      <c r="V387" s="180"/>
      <c r="W387" s="180"/>
      <c r="X387" s="180"/>
      <c r="Y387" s="180"/>
    </row>
    <row r="388" spans="6:25">
      <c r="F388" s="180"/>
      <c r="G388" s="180"/>
      <c r="H388" s="180"/>
      <c r="I388" s="180"/>
      <c r="J388" s="180"/>
      <c r="K388" s="180"/>
      <c r="L388" s="180"/>
      <c r="M388" s="180"/>
      <c r="N388" s="180"/>
      <c r="O388" s="180"/>
      <c r="P388" s="180"/>
      <c r="Q388" s="180"/>
      <c r="R388" s="180"/>
      <c r="S388" s="182"/>
      <c r="T388" s="180"/>
      <c r="U388" s="180"/>
      <c r="V388" s="180"/>
      <c r="W388" s="180"/>
      <c r="X388" s="180"/>
      <c r="Y388" s="180"/>
    </row>
    <row r="389" spans="6:25">
      <c r="F389" s="180"/>
      <c r="G389" s="180"/>
      <c r="H389" s="180"/>
      <c r="I389" s="180"/>
      <c r="J389" s="180"/>
      <c r="K389" s="180"/>
      <c r="L389" s="180"/>
      <c r="M389" s="180"/>
      <c r="N389" s="180"/>
      <c r="O389" s="180"/>
      <c r="P389" s="180"/>
      <c r="Q389" s="180"/>
      <c r="R389" s="180"/>
      <c r="S389" s="182"/>
      <c r="T389" s="180"/>
      <c r="U389" s="180"/>
      <c r="V389" s="180"/>
      <c r="W389" s="180"/>
      <c r="X389" s="180"/>
      <c r="Y389" s="180"/>
    </row>
    <row r="390" spans="6:25">
      <c r="F390" s="180"/>
      <c r="G390" s="180"/>
      <c r="H390" s="180"/>
      <c r="I390" s="180"/>
      <c r="J390" s="180"/>
      <c r="K390" s="180"/>
      <c r="L390" s="180"/>
      <c r="M390" s="180"/>
      <c r="N390" s="180"/>
      <c r="O390" s="180"/>
      <c r="P390" s="180"/>
      <c r="Q390" s="180"/>
      <c r="R390" s="180"/>
      <c r="S390" s="182"/>
      <c r="T390" s="180"/>
      <c r="U390" s="180"/>
      <c r="V390" s="180"/>
      <c r="W390" s="180"/>
      <c r="X390" s="180"/>
      <c r="Y390" s="180"/>
    </row>
    <row r="391" spans="6:25">
      <c r="F391" s="180"/>
      <c r="G391" s="180"/>
      <c r="H391" s="180"/>
      <c r="I391" s="180"/>
      <c r="J391" s="180"/>
      <c r="K391" s="180"/>
      <c r="L391" s="180"/>
      <c r="M391" s="180"/>
      <c r="N391" s="180"/>
      <c r="O391" s="180"/>
      <c r="P391" s="180"/>
      <c r="Q391" s="180"/>
      <c r="R391" s="180"/>
      <c r="S391" s="182"/>
      <c r="T391" s="180"/>
      <c r="U391" s="180"/>
      <c r="V391" s="180"/>
      <c r="W391" s="180"/>
      <c r="X391" s="180"/>
      <c r="Y391" s="180"/>
    </row>
    <row r="392" spans="6:25">
      <c r="F392" s="180"/>
      <c r="G392" s="180"/>
      <c r="H392" s="180"/>
      <c r="I392" s="180"/>
      <c r="J392" s="180"/>
      <c r="K392" s="180"/>
      <c r="L392" s="180"/>
      <c r="M392" s="180"/>
      <c r="N392" s="180"/>
      <c r="O392" s="180"/>
      <c r="P392" s="180"/>
      <c r="Q392" s="180"/>
      <c r="R392" s="180"/>
      <c r="S392" s="182"/>
      <c r="T392" s="180"/>
      <c r="U392" s="180"/>
      <c r="V392" s="180"/>
      <c r="W392" s="180"/>
      <c r="X392" s="180"/>
      <c r="Y392" s="180"/>
    </row>
    <row r="393" spans="6:25"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  <c r="P393" s="180"/>
      <c r="Q393" s="180"/>
      <c r="R393" s="180"/>
      <c r="S393" s="182"/>
      <c r="T393" s="180"/>
      <c r="U393" s="180"/>
      <c r="V393" s="180"/>
      <c r="W393" s="180"/>
      <c r="X393" s="180"/>
      <c r="Y393" s="180"/>
    </row>
    <row r="394" spans="6:25">
      <c r="F394" s="180"/>
      <c r="G394" s="180"/>
      <c r="H394" s="180"/>
      <c r="I394" s="180"/>
      <c r="J394" s="180"/>
      <c r="K394" s="180"/>
      <c r="L394" s="180"/>
      <c r="M394" s="180"/>
      <c r="N394" s="180"/>
      <c r="O394" s="180"/>
      <c r="P394" s="180"/>
      <c r="Q394" s="180"/>
      <c r="R394" s="180"/>
      <c r="S394" s="182"/>
      <c r="T394" s="180"/>
      <c r="U394" s="180"/>
      <c r="V394" s="180"/>
      <c r="W394" s="180"/>
      <c r="X394" s="180"/>
      <c r="Y394" s="180"/>
    </row>
    <row r="395" spans="6:25">
      <c r="F395" s="180"/>
      <c r="G395" s="180"/>
      <c r="H395" s="180"/>
      <c r="I395" s="180"/>
      <c r="J395" s="180"/>
      <c r="K395" s="180"/>
      <c r="L395" s="180"/>
      <c r="M395" s="180"/>
      <c r="N395" s="180"/>
      <c r="O395" s="180"/>
      <c r="P395" s="180"/>
      <c r="Q395" s="180"/>
      <c r="R395" s="180"/>
      <c r="S395" s="182"/>
      <c r="T395" s="180"/>
      <c r="U395" s="180"/>
      <c r="V395" s="180"/>
      <c r="W395" s="180"/>
      <c r="X395" s="180"/>
      <c r="Y395" s="180"/>
    </row>
    <row r="396" spans="6:25">
      <c r="F396" s="180"/>
      <c r="G396" s="180"/>
      <c r="H396" s="180"/>
      <c r="I396" s="180"/>
      <c r="J396" s="180"/>
      <c r="K396" s="180"/>
      <c r="L396" s="180"/>
      <c r="M396" s="180"/>
      <c r="N396" s="180"/>
      <c r="O396" s="180"/>
      <c r="P396" s="180"/>
      <c r="Q396" s="180"/>
      <c r="R396" s="180"/>
      <c r="S396" s="182"/>
      <c r="T396" s="180"/>
      <c r="U396" s="180"/>
      <c r="V396" s="180"/>
      <c r="W396" s="180"/>
      <c r="X396" s="180"/>
      <c r="Y396" s="180"/>
    </row>
    <row r="397" spans="6:25">
      <c r="F397" s="180"/>
      <c r="G397" s="180"/>
      <c r="H397" s="180"/>
      <c r="I397" s="180"/>
      <c r="J397" s="180"/>
      <c r="K397" s="180"/>
      <c r="L397" s="180"/>
      <c r="M397" s="180"/>
      <c r="N397" s="180"/>
      <c r="O397" s="180"/>
      <c r="P397" s="180"/>
      <c r="Q397" s="180"/>
      <c r="R397" s="180"/>
      <c r="S397" s="182"/>
      <c r="T397" s="180"/>
      <c r="U397" s="180"/>
      <c r="V397" s="180"/>
      <c r="W397" s="180"/>
      <c r="X397" s="180"/>
      <c r="Y397" s="180"/>
    </row>
    <row r="398" spans="6:25">
      <c r="F398" s="180"/>
      <c r="G398" s="180"/>
      <c r="H398" s="180"/>
      <c r="I398" s="180"/>
      <c r="J398" s="180"/>
      <c r="K398" s="180"/>
      <c r="L398" s="180"/>
      <c r="M398" s="180"/>
      <c r="N398" s="180"/>
      <c r="O398" s="180"/>
      <c r="P398" s="180"/>
      <c r="Q398" s="180"/>
      <c r="R398" s="180"/>
      <c r="S398" s="182"/>
      <c r="T398" s="180"/>
      <c r="U398" s="180"/>
      <c r="V398" s="180"/>
      <c r="W398" s="180"/>
      <c r="X398" s="180"/>
      <c r="Y398" s="180"/>
    </row>
    <row r="399" spans="6:25">
      <c r="F399" s="180"/>
      <c r="G399" s="180"/>
      <c r="H399" s="180"/>
      <c r="I399" s="180"/>
      <c r="J399" s="180"/>
      <c r="K399" s="180"/>
      <c r="L399" s="180"/>
      <c r="M399" s="180"/>
      <c r="N399" s="180"/>
      <c r="O399" s="180"/>
      <c r="P399" s="180"/>
      <c r="Q399" s="180"/>
      <c r="R399" s="180"/>
      <c r="S399" s="182"/>
      <c r="T399" s="180"/>
      <c r="U399" s="180"/>
      <c r="V399" s="180"/>
      <c r="W399" s="180"/>
      <c r="X399" s="180"/>
      <c r="Y399" s="180"/>
    </row>
    <row r="400" spans="6:25">
      <c r="F400" s="180"/>
      <c r="G400" s="180"/>
      <c r="H400" s="180"/>
      <c r="I400" s="180"/>
      <c r="J400" s="180"/>
      <c r="K400" s="180"/>
      <c r="L400" s="180"/>
      <c r="M400" s="180"/>
      <c r="N400" s="180"/>
      <c r="O400" s="180"/>
      <c r="P400" s="180"/>
      <c r="Q400" s="180"/>
      <c r="R400" s="180"/>
      <c r="S400" s="182"/>
      <c r="T400" s="180"/>
      <c r="U400" s="180"/>
      <c r="V400" s="180"/>
      <c r="W400" s="180"/>
      <c r="X400" s="180"/>
      <c r="Y400" s="180"/>
    </row>
    <row r="401" spans="6:25">
      <c r="F401" s="180"/>
      <c r="G401" s="180"/>
      <c r="H401" s="180"/>
      <c r="I401" s="180"/>
      <c r="J401" s="180"/>
      <c r="K401" s="180"/>
      <c r="L401" s="180"/>
      <c r="M401" s="180"/>
      <c r="N401" s="180"/>
      <c r="O401" s="180"/>
      <c r="P401" s="180"/>
      <c r="Q401" s="180"/>
      <c r="R401" s="180"/>
      <c r="S401" s="182"/>
      <c r="T401" s="180"/>
      <c r="U401" s="180"/>
      <c r="V401" s="180"/>
      <c r="W401" s="180"/>
      <c r="X401" s="180"/>
      <c r="Y401" s="180"/>
    </row>
    <row r="402" spans="6:25">
      <c r="F402" s="180"/>
      <c r="G402" s="180"/>
      <c r="H402" s="180"/>
      <c r="I402" s="180"/>
      <c r="J402" s="180"/>
      <c r="K402" s="180"/>
      <c r="L402" s="180"/>
      <c r="M402" s="180"/>
      <c r="N402" s="180"/>
      <c r="O402" s="180"/>
      <c r="P402" s="180"/>
      <c r="Q402" s="180"/>
      <c r="R402" s="180"/>
      <c r="S402" s="182"/>
      <c r="T402" s="180"/>
      <c r="U402" s="180"/>
      <c r="V402" s="180"/>
      <c r="W402" s="180"/>
      <c r="X402" s="180"/>
      <c r="Y402" s="180"/>
    </row>
    <row r="403" spans="6:25">
      <c r="F403" s="180"/>
      <c r="G403" s="180"/>
      <c r="H403" s="180"/>
      <c r="I403" s="180"/>
      <c r="J403" s="180"/>
      <c r="K403" s="180"/>
      <c r="L403" s="180"/>
      <c r="M403" s="180"/>
      <c r="N403" s="180"/>
      <c r="O403" s="180"/>
      <c r="P403" s="180"/>
      <c r="Q403" s="180"/>
      <c r="R403" s="180"/>
      <c r="S403" s="182"/>
      <c r="T403" s="180"/>
      <c r="U403" s="180"/>
      <c r="V403" s="180"/>
      <c r="W403" s="180"/>
      <c r="X403" s="180"/>
      <c r="Y403" s="180"/>
    </row>
    <row r="404" spans="6:25">
      <c r="F404" s="180"/>
      <c r="G404" s="180"/>
      <c r="H404" s="180"/>
      <c r="I404" s="180"/>
      <c r="J404" s="180"/>
      <c r="K404" s="180"/>
      <c r="L404" s="180"/>
      <c r="M404" s="180"/>
      <c r="N404" s="180"/>
      <c r="O404" s="180"/>
      <c r="P404" s="180"/>
      <c r="Q404" s="180"/>
      <c r="R404" s="180"/>
      <c r="S404" s="182"/>
      <c r="T404" s="180"/>
      <c r="U404" s="180"/>
      <c r="V404" s="180"/>
      <c r="W404" s="180"/>
      <c r="X404" s="180"/>
      <c r="Y404" s="180"/>
    </row>
    <row r="405" spans="6:25">
      <c r="F405" s="180"/>
      <c r="G405" s="180"/>
      <c r="H405" s="180"/>
      <c r="I405" s="180"/>
      <c r="J405" s="180"/>
      <c r="K405" s="180"/>
      <c r="L405" s="180"/>
      <c r="M405" s="180"/>
      <c r="N405" s="180"/>
      <c r="O405" s="180"/>
      <c r="P405" s="180"/>
      <c r="Q405" s="180"/>
      <c r="R405" s="180"/>
      <c r="S405" s="182"/>
      <c r="T405" s="180"/>
      <c r="U405" s="180"/>
      <c r="V405" s="180"/>
      <c r="W405" s="180"/>
      <c r="X405" s="180"/>
      <c r="Y405" s="180"/>
    </row>
    <row r="406" spans="6:25">
      <c r="F406" s="180"/>
      <c r="G406" s="180"/>
      <c r="H406" s="180"/>
      <c r="I406" s="180"/>
      <c r="J406" s="180"/>
      <c r="K406" s="180"/>
      <c r="L406" s="180"/>
      <c r="M406" s="180"/>
      <c r="N406" s="180"/>
      <c r="O406" s="180"/>
      <c r="P406" s="180"/>
      <c r="Q406" s="180"/>
      <c r="R406" s="180"/>
      <c r="S406" s="182"/>
      <c r="T406" s="180"/>
      <c r="U406" s="180"/>
      <c r="V406" s="180"/>
      <c r="W406" s="180"/>
      <c r="X406" s="180"/>
      <c r="Y406" s="180"/>
    </row>
    <row r="407" spans="6:25">
      <c r="F407" s="180"/>
      <c r="G407" s="180"/>
      <c r="H407" s="180"/>
      <c r="I407" s="180"/>
      <c r="J407" s="180"/>
      <c r="K407" s="180"/>
      <c r="L407" s="180"/>
      <c r="M407" s="180"/>
      <c r="N407" s="180"/>
      <c r="O407" s="180"/>
      <c r="P407" s="180"/>
      <c r="Q407" s="180"/>
      <c r="R407" s="180"/>
      <c r="S407" s="182"/>
      <c r="T407" s="180"/>
      <c r="U407" s="180"/>
      <c r="V407" s="180"/>
      <c r="W407" s="180"/>
      <c r="X407" s="180"/>
      <c r="Y407" s="180"/>
    </row>
    <row r="408" spans="6:25">
      <c r="F408" s="180"/>
      <c r="G408" s="180"/>
      <c r="H408" s="180"/>
      <c r="I408" s="180"/>
      <c r="J408" s="180"/>
      <c r="K408" s="180"/>
      <c r="L408" s="180"/>
      <c r="M408" s="180"/>
      <c r="N408" s="180"/>
      <c r="O408" s="180"/>
      <c r="P408" s="180"/>
      <c r="Q408" s="180"/>
      <c r="R408" s="180"/>
      <c r="S408" s="182"/>
      <c r="T408" s="180"/>
      <c r="U408" s="180"/>
      <c r="V408" s="180"/>
      <c r="W408" s="180"/>
      <c r="X408" s="180"/>
      <c r="Y408" s="180"/>
    </row>
    <row r="409" spans="6:25">
      <c r="F409" s="180"/>
      <c r="G409" s="180"/>
      <c r="H409" s="180"/>
      <c r="I409" s="180"/>
      <c r="J409" s="180"/>
      <c r="K409" s="180"/>
      <c r="L409" s="180"/>
      <c r="M409" s="180"/>
      <c r="N409" s="180"/>
      <c r="O409" s="180"/>
      <c r="P409" s="180"/>
      <c r="Q409" s="180"/>
      <c r="R409" s="180"/>
      <c r="S409" s="182"/>
      <c r="T409" s="180"/>
      <c r="U409" s="180"/>
      <c r="V409" s="180"/>
      <c r="W409" s="180"/>
      <c r="X409" s="180"/>
      <c r="Y409" s="180"/>
    </row>
    <row r="410" spans="6:25">
      <c r="F410" s="180"/>
      <c r="G410" s="180"/>
      <c r="H410" s="180"/>
      <c r="I410" s="180"/>
      <c r="J410" s="180"/>
      <c r="K410" s="180"/>
      <c r="L410" s="180"/>
      <c r="M410" s="180"/>
      <c r="N410" s="180"/>
      <c r="O410" s="180"/>
      <c r="P410" s="180"/>
      <c r="Q410" s="180"/>
      <c r="R410" s="180"/>
      <c r="S410" s="182"/>
      <c r="T410" s="180"/>
      <c r="U410" s="180"/>
      <c r="V410" s="180"/>
      <c r="W410" s="180"/>
      <c r="X410" s="180"/>
      <c r="Y410" s="180"/>
    </row>
    <row r="411" spans="6:25">
      <c r="F411" s="180"/>
      <c r="G411" s="180"/>
      <c r="H411" s="180"/>
      <c r="I411" s="180"/>
      <c r="J411" s="180"/>
      <c r="K411" s="180"/>
      <c r="L411" s="180"/>
      <c r="M411" s="180"/>
      <c r="N411" s="180"/>
      <c r="O411" s="180"/>
      <c r="P411" s="180"/>
      <c r="Q411" s="180"/>
      <c r="R411" s="180"/>
      <c r="S411" s="182"/>
      <c r="T411" s="180"/>
      <c r="U411" s="180"/>
      <c r="V411" s="180"/>
      <c r="W411" s="180"/>
      <c r="X411" s="180"/>
      <c r="Y411" s="180"/>
    </row>
    <row r="412" spans="6:25">
      <c r="F412" s="180"/>
      <c r="G412" s="180"/>
      <c r="H412" s="180"/>
      <c r="I412" s="180"/>
      <c r="J412" s="180"/>
      <c r="K412" s="180"/>
      <c r="L412" s="180"/>
      <c r="M412" s="180"/>
      <c r="N412" s="180"/>
      <c r="O412" s="180"/>
      <c r="P412" s="180"/>
      <c r="Q412" s="180"/>
      <c r="R412" s="180"/>
      <c r="S412" s="182"/>
      <c r="T412" s="180"/>
      <c r="U412" s="180"/>
      <c r="V412" s="180"/>
      <c r="W412" s="180"/>
      <c r="X412" s="180"/>
      <c r="Y412" s="180"/>
    </row>
    <row r="413" spans="6:25">
      <c r="F413" s="180"/>
      <c r="G413" s="180"/>
      <c r="H413" s="180"/>
      <c r="I413" s="180"/>
      <c r="J413" s="180"/>
      <c r="K413" s="180"/>
      <c r="L413" s="180"/>
      <c r="M413" s="180"/>
      <c r="N413" s="180"/>
      <c r="O413" s="180"/>
      <c r="P413" s="180"/>
      <c r="Q413" s="180"/>
      <c r="R413" s="180"/>
      <c r="S413" s="182"/>
      <c r="T413" s="180"/>
      <c r="U413" s="180"/>
      <c r="V413" s="180"/>
      <c r="W413" s="180"/>
      <c r="X413" s="180"/>
      <c r="Y413" s="180"/>
    </row>
    <row r="414" spans="6:25">
      <c r="F414" s="180"/>
      <c r="G414" s="180"/>
      <c r="H414" s="180"/>
      <c r="I414" s="180"/>
      <c r="J414" s="180"/>
      <c r="K414" s="180"/>
      <c r="L414" s="180"/>
      <c r="M414" s="180"/>
      <c r="N414" s="180"/>
      <c r="O414" s="180"/>
      <c r="P414" s="180"/>
      <c r="Q414" s="180"/>
      <c r="R414" s="180"/>
      <c r="S414" s="182"/>
      <c r="T414" s="180"/>
      <c r="U414" s="180"/>
      <c r="V414" s="180"/>
      <c r="W414" s="180"/>
      <c r="X414" s="180"/>
      <c r="Y414" s="180"/>
    </row>
    <row r="415" spans="6:25">
      <c r="F415" s="180"/>
      <c r="G415" s="180"/>
      <c r="H415" s="180"/>
      <c r="I415" s="180"/>
      <c r="J415" s="180"/>
      <c r="K415" s="180"/>
      <c r="L415" s="180"/>
      <c r="M415" s="180"/>
      <c r="N415" s="180"/>
      <c r="O415" s="180"/>
      <c r="P415" s="180"/>
      <c r="Q415" s="180"/>
      <c r="R415" s="180"/>
      <c r="S415" s="182"/>
      <c r="T415" s="180"/>
      <c r="U415" s="180"/>
      <c r="V415" s="180"/>
      <c r="W415" s="180"/>
      <c r="X415" s="180"/>
      <c r="Y415" s="180"/>
    </row>
    <row r="416" spans="6:25">
      <c r="F416" s="180"/>
      <c r="G416" s="180"/>
      <c r="H416" s="180"/>
      <c r="I416" s="180"/>
      <c r="J416" s="180"/>
      <c r="K416" s="180"/>
      <c r="L416" s="180"/>
      <c r="M416" s="180"/>
      <c r="N416" s="180"/>
      <c r="O416" s="180"/>
      <c r="P416" s="180"/>
      <c r="Q416" s="180"/>
      <c r="R416" s="180"/>
      <c r="S416" s="182"/>
      <c r="T416" s="180"/>
      <c r="U416" s="180"/>
      <c r="V416" s="180"/>
      <c r="W416" s="180"/>
      <c r="X416" s="180"/>
      <c r="Y416" s="180"/>
    </row>
    <row r="417" spans="6:25">
      <c r="F417" s="180"/>
      <c r="G417" s="180"/>
      <c r="H417" s="180"/>
      <c r="I417" s="180"/>
      <c r="J417" s="180"/>
      <c r="K417" s="180"/>
      <c r="L417" s="180"/>
      <c r="M417" s="180"/>
      <c r="N417" s="180"/>
      <c r="O417" s="180"/>
      <c r="P417" s="180"/>
      <c r="Q417" s="180"/>
      <c r="R417" s="180"/>
      <c r="S417" s="182"/>
      <c r="T417" s="180"/>
      <c r="U417" s="180"/>
      <c r="V417" s="180"/>
      <c r="W417" s="180"/>
      <c r="X417" s="180"/>
      <c r="Y417" s="180"/>
    </row>
    <row r="418" spans="6:25">
      <c r="F418" s="180"/>
      <c r="G418" s="180"/>
      <c r="H418" s="180"/>
      <c r="I418" s="180"/>
      <c r="J418" s="180"/>
      <c r="K418" s="180"/>
      <c r="L418" s="180"/>
      <c r="M418" s="180"/>
      <c r="N418" s="180"/>
      <c r="O418" s="180"/>
      <c r="P418" s="180"/>
      <c r="Q418" s="180"/>
      <c r="R418" s="180"/>
      <c r="S418" s="182"/>
      <c r="T418" s="180"/>
      <c r="U418" s="180"/>
      <c r="V418" s="180"/>
      <c r="W418" s="180"/>
      <c r="X418" s="180"/>
      <c r="Y418" s="180"/>
    </row>
    <row r="419" spans="6:25">
      <c r="F419" s="180"/>
      <c r="G419" s="180"/>
      <c r="H419" s="180"/>
      <c r="I419" s="180"/>
      <c r="J419" s="180"/>
      <c r="K419" s="180"/>
      <c r="L419" s="180"/>
      <c r="M419" s="180"/>
      <c r="N419" s="180"/>
      <c r="O419" s="180"/>
      <c r="P419" s="180"/>
      <c r="Q419" s="180"/>
      <c r="R419" s="180"/>
      <c r="S419" s="182"/>
      <c r="T419" s="180"/>
      <c r="U419" s="180"/>
      <c r="V419" s="180"/>
      <c r="W419" s="180"/>
      <c r="X419" s="180"/>
      <c r="Y419" s="180"/>
    </row>
    <row r="420" spans="6:25">
      <c r="F420" s="180"/>
      <c r="G420" s="180"/>
      <c r="H420" s="180"/>
      <c r="I420" s="180"/>
      <c r="J420" s="180"/>
      <c r="K420" s="180"/>
      <c r="L420" s="180"/>
      <c r="M420" s="180"/>
      <c r="N420" s="180"/>
      <c r="O420" s="180"/>
      <c r="P420" s="180"/>
      <c r="Q420" s="180"/>
      <c r="R420" s="180"/>
      <c r="S420" s="182"/>
      <c r="T420" s="180"/>
      <c r="U420" s="180"/>
      <c r="V420" s="180"/>
      <c r="W420" s="180"/>
      <c r="X420" s="180"/>
      <c r="Y420" s="180"/>
    </row>
    <row r="421" spans="6:25">
      <c r="F421" s="180"/>
      <c r="G421" s="180"/>
      <c r="H421" s="180"/>
      <c r="I421" s="180"/>
      <c r="J421" s="180"/>
      <c r="K421" s="180"/>
      <c r="L421" s="180"/>
      <c r="M421" s="180"/>
      <c r="N421" s="180"/>
      <c r="O421" s="180"/>
      <c r="P421" s="180"/>
      <c r="Q421" s="180"/>
      <c r="R421" s="180"/>
      <c r="S421" s="182"/>
      <c r="T421" s="180"/>
      <c r="U421" s="180"/>
      <c r="V421" s="180"/>
      <c r="W421" s="180"/>
      <c r="X421" s="180"/>
      <c r="Y421" s="180"/>
    </row>
    <row r="422" spans="6:25">
      <c r="F422" s="180"/>
      <c r="G422" s="180"/>
      <c r="H422" s="180"/>
      <c r="I422" s="180"/>
      <c r="J422" s="180"/>
      <c r="K422" s="180"/>
      <c r="L422" s="180"/>
      <c r="M422" s="180"/>
      <c r="N422" s="180"/>
      <c r="O422" s="180"/>
      <c r="P422" s="180"/>
      <c r="Q422" s="180"/>
      <c r="R422" s="180"/>
      <c r="S422" s="182"/>
      <c r="T422" s="180"/>
      <c r="U422" s="180"/>
      <c r="V422" s="180"/>
      <c r="W422" s="180"/>
      <c r="X422" s="180"/>
      <c r="Y422" s="180"/>
    </row>
    <row r="423" spans="6:25">
      <c r="F423" s="180"/>
      <c r="G423" s="180"/>
      <c r="H423" s="180"/>
      <c r="I423" s="180"/>
      <c r="J423" s="180"/>
      <c r="K423" s="180"/>
      <c r="L423" s="180"/>
      <c r="M423" s="180"/>
      <c r="N423" s="180"/>
      <c r="O423" s="180"/>
      <c r="P423" s="180"/>
      <c r="Q423" s="180"/>
      <c r="R423" s="180"/>
      <c r="S423" s="182"/>
      <c r="T423" s="180"/>
      <c r="U423" s="180"/>
      <c r="V423" s="180"/>
      <c r="W423" s="180"/>
      <c r="X423" s="180"/>
      <c r="Y423" s="180"/>
    </row>
    <row r="424" spans="6:25">
      <c r="F424" s="180"/>
      <c r="G424" s="180"/>
      <c r="H424" s="180"/>
      <c r="I424" s="180"/>
      <c r="J424" s="180"/>
      <c r="K424" s="180"/>
      <c r="L424" s="180"/>
      <c r="M424" s="180"/>
      <c r="N424" s="180"/>
      <c r="O424" s="180"/>
      <c r="P424" s="180"/>
      <c r="Q424" s="180"/>
      <c r="R424" s="180"/>
      <c r="S424" s="182"/>
      <c r="T424" s="180"/>
      <c r="U424" s="180"/>
      <c r="V424" s="180"/>
      <c r="W424" s="180"/>
      <c r="X424" s="180"/>
      <c r="Y424" s="180"/>
    </row>
    <row r="425" spans="6:25">
      <c r="F425" s="180"/>
      <c r="G425" s="180"/>
      <c r="H425" s="180"/>
      <c r="I425" s="180"/>
      <c r="J425" s="180"/>
      <c r="K425" s="180"/>
      <c r="L425" s="180"/>
      <c r="M425" s="180"/>
      <c r="N425" s="180"/>
      <c r="O425" s="180"/>
      <c r="P425" s="180"/>
      <c r="Q425" s="180"/>
      <c r="R425" s="180"/>
      <c r="S425" s="182"/>
      <c r="T425" s="180"/>
      <c r="U425" s="180"/>
      <c r="V425" s="180"/>
      <c r="W425" s="180"/>
      <c r="X425" s="180"/>
      <c r="Y425" s="180"/>
    </row>
    <row r="426" spans="6:25">
      <c r="F426" s="180"/>
      <c r="G426" s="180"/>
      <c r="H426" s="180"/>
      <c r="I426" s="180"/>
      <c r="J426" s="180"/>
      <c r="K426" s="180"/>
      <c r="L426" s="180"/>
      <c r="M426" s="180"/>
      <c r="N426" s="180"/>
      <c r="O426" s="180"/>
      <c r="P426" s="180"/>
      <c r="Q426" s="180"/>
      <c r="R426" s="180"/>
      <c r="S426" s="182"/>
      <c r="T426" s="180"/>
      <c r="U426" s="180"/>
      <c r="V426" s="180"/>
      <c r="W426" s="180"/>
      <c r="X426" s="180"/>
      <c r="Y426" s="180"/>
    </row>
    <row r="427" spans="6:25">
      <c r="F427" s="180"/>
      <c r="G427" s="180"/>
      <c r="H427" s="180"/>
      <c r="I427" s="180"/>
      <c r="J427" s="180"/>
      <c r="K427" s="180"/>
      <c r="L427" s="180"/>
      <c r="M427" s="180"/>
      <c r="N427" s="180"/>
      <c r="O427" s="180"/>
      <c r="P427" s="180"/>
      <c r="Q427" s="180"/>
      <c r="R427" s="180"/>
      <c r="S427" s="182"/>
      <c r="T427" s="180"/>
      <c r="U427" s="180"/>
      <c r="V427" s="180"/>
      <c r="W427" s="180"/>
      <c r="X427" s="180"/>
      <c r="Y427" s="180"/>
    </row>
    <row r="428" spans="6:25">
      <c r="F428" s="180"/>
      <c r="G428" s="180"/>
      <c r="H428" s="180"/>
      <c r="I428" s="180"/>
      <c r="J428" s="180"/>
      <c r="K428" s="180"/>
      <c r="L428" s="180"/>
      <c r="M428" s="180"/>
      <c r="N428" s="180"/>
      <c r="O428" s="180"/>
      <c r="P428" s="180"/>
      <c r="Q428" s="180"/>
      <c r="R428" s="180"/>
      <c r="S428" s="182"/>
      <c r="T428" s="180"/>
      <c r="U428" s="180"/>
      <c r="V428" s="180"/>
      <c r="W428" s="180"/>
      <c r="X428" s="180"/>
      <c r="Y428" s="180"/>
    </row>
    <row r="429" spans="6:25">
      <c r="F429" s="180"/>
      <c r="G429" s="180"/>
      <c r="H429" s="180"/>
      <c r="I429" s="180"/>
      <c r="J429" s="180"/>
      <c r="K429" s="180"/>
      <c r="L429" s="180"/>
      <c r="M429" s="180"/>
      <c r="N429" s="180"/>
      <c r="O429" s="180"/>
      <c r="P429" s="180"/>
      <c r="Q429" s="180"/>
      <c r="R429" s="180"/>
      <c r="S429" s="182"/>
      <c r="T429" s="180"/>
      <c r="U429" s="180"/>
      <c r="V429" s="180"/>
      <c r="W429" s="180"/>
      <c r="X429" s="180"/>
      <c r="Y429" s="180"/>
    </row>
    <row r="430" spans="6:25">
      <c r="F430" s="180"/>
      <c r="G430" s="180"/>
      <c r="H430" s="180"/>
      <c r="I430" s="180"/>
      <c r="J430" s="180"/>
      <c r="K430" s="180"/>
      <c r="L430" s="180"/>
      <c r="M430" s="180"/>
      <c r="N430" s="180"/>
      <c r="O430" s="180"/>
      <c r="P430" s="180"/>
      <c r="Q430" s="180"/>
      <c r="R430" s="180"/>
      <c r="S430" s="182"/>
      <c r="T430" s="180"/>
      <c r="U430" s="180"/>
      <c r="V430" s="180"/>
      <c r="W430" s="180"/>
      <c r="X430" s="180"/>
      <c r="Y430" s="180"/>
    </row>
    <row r="431" spans="6:25">
      <c r="F431" s="180"/>
      <c r="G431" s="180"/>
      <c r="H431" s="180"/>
      <c r="I431" s="180"/>
      <c r="J431" s="180"/>
      <c r="K431" s="180"/>
      <c r="L431" s="180"/>
      <c r="M431" s="180"/>
      <c r="N431" s="180"/>
      <c r="O431" s="180"/>
      <c r="P431" s="180"/>
      <c r="Q431" s="180"/>
      <c r="R431" s="180"/>
      <c r="S431" s="182"/>
      <c r="T431" s="180"/>
      <c r="U431" s="180"/>
      <c r="V431" s="180"/>
      <c r="W431" s="180"/>
      <c r="X431" s="180"/>
      <c r="Y431" s="180"/>
    </row>
    <row r="432" spans="6:25">
      <c r="F432" s="180"/>
      <c r="G432" s="180"/>
      <c r="H432" s="180"/>
      <c r="I432" s="180"/>
      <c r="J432" s="180"/>
      <c r="K432" s="180"/>
      <c r="L432" s="180"/>
      <c r="M432" s="180"/>
      <c r="N432" s="180"/>
      <c r="O432" s="180"/>
      <c r="P432" s="180"/>
      <c r="Q432" s="180"/>
      <c r="R432" s="180"/>
      <c r="S432" s="182"/>
      <c r="T432" s="180"/>
      <c r="U432" s="180"/>
      <c r="V432" s="180"/>
      <c r="W432" s="180"/>
      <c r="X432" s="180"/>
      <c r="Y432" s="180"/>
    </row>
    <row r="433" spans="6:25">
      <c r="F433" s="180"/>
      <c r="G433" s="180"/>
      <c r="H433" s="180"/>
      <c r="I433" s="180"/>
      <c r="J433" s="180"/>
      <c r="K433" s="180"/>
      <c r="L433" s="180"/>
      <c r="M433" s="180"/>
      <c r="N433" s="180"/>
      <c r="O433" s="180"/>
      <c r="P433" s="180"/>
      <c r="Q433" s="180"/>
      <c r="R433" s="180"/>
      <c r="S433" s="182"/>
      <c r="T433" s="180"/>
      <c r="U433" s="180"/>
      <c r="V433" s="180"/>
      <c r="W433" s="180"/>
      <c r="X433" s="180"/>
      <c r="Y433" s="180"/>
    </row>
    <row r="434" spans="6:25">
      <c r="F434" s="180"/>
      <c r="G434" s="180"/>
      <c r="H434" s="180"/>
      <c r="I434" s="180"/>
      <c r="J434" s="180"/>
      <c r="K434" s="180"/>
      <c r="L434" s="180"/>
      <c r="M434" s="180"/>
      <c r="N434" s="180"/>
      <c r="O434" s="180"/>
      <c r="P434" s="180"/>
      <c r="Q434" s="180"/>
      <c r="R434" s="180"/>
      <c r="S434" s="182"/>
      <c r="T434" s="180"/>
      <c r="U434" s="180"/>
      <c r="V434" s="180"/>
      <c r="W434" s="180"/>
      <c r="X434" s="180"/>
      <c r="Y434" s="180"/>
    </row>
    <row r="435" spans="6:25">
      <c r="F435" s="180"/>
      <c r="G435" s="180"/>
      <c r="H435" s="180"/>
      <c r="I435" s="180"/>
      <c r="J435" s="180"/>
      <c r="K435" s="180"/>
      <c r="L435" s="180"/>
      <c r="M435" s="180"/>
      <c r="N435" s="180"/>
      <c r="O435" s="180"/>
      <c r="P435" s="180"/>
      <c r="Q435" s="180"/>
      <c r="R435" s="180"/>
      <c r="S435" s="182"/>
      <c r="T435" s="180"/>
      <c r="U435" s="180"/>
      <c r="V435" s="180"/>
      <c r="W435" s="180"/>
      <c r="X435" s="180"/>
      <c r="Y435" s="180"/>
    </row>
    <row r="436" spans="6:25">
      <c r="F436" s="180"/>
      <c r="G436" s="180"/>
      <c r="H436" s="180"/>
      <c r="I436" s="180"/>
      <c r="J436" s="180"/>
      <c r="K436" s="180"/>
      <c r="L436" s="180"/>
      <c r="M436" s="180"/>
      <c r="N436" s="180"/>
      <c r="O436" s="180"/>
      <c r="P436" s="180"/>
      <c r="Q436" s="180"/>
      <c r="R436" s="180"/>
      <c r="S436" s="182"/>
      <c r="T436" s="180"/>
      <c r="U436" s="180"/>
      <c r="V436" s="180"/>
      <c r="W436" s="180"/>
      <c r="X436" s="180"/>
      <c r="Y436" s="180"/>
    </row>
    <row r="437" spans="6:25">
      <c r="F437" s="180"/>
      <c r="G437" s="180"/>
      <c r="H437" s="180"/>
      <c r="I437" s="180"/>
      <c r="J437" s="180"/>
      <c r="K437" s="180"/>
      <c r="L437" s="180"/>
      <c r="M437" s="180"/>
      <c r="N437" s="180"/>
      <c r="O437" s="180"/>
      <c r="P437" s="180"/>
      <c r="Q437" s="180"/>
      <c r="R437" s="180"/>
      <c r="S437" s="182"/>
      <c r="T437" s="180"/>
      <c r="U437" s="180"/>
      <c r="V437" s="180"/>
      <c r="W437" s="180"/>
      <c r="X437" s="180"/>
      <c r="Y437" s="180"/>
    </row>
    <row r="438" spans="6:25">
      <c r="F438" s="180"/>
      <c r="G438" s="180"/>
      <c r="H438" s="180"/>
      <c r="I438" s="180"/>
      <c r="J438" s="180"/>
      <c r="K438" s="180"/>
      <c r="L438" s="180"/>
      <c r="M438" s="180"/>
      <c r="N438" s="180"/>
      <c r="O438" s="180"/>
      <c r="P438" s="180"/>
      <c r="Q438" s="180"/>
      <c r="R438" s="180"/>
      <c r="S438" s="182"/>
      <c r="T438" s="180"/>
      <c r="U438" s="180"/>
      <c r="V438" s="180"/>
      <c r="W438" s="180"/>
      <c r="X438" s="180"/>
      <c r="Y438" s="180"/>
    </row>
    <row r="439" spans="6:25">
      <c r="F439" s="180"/>
      <c r="G439" s="180"/>
      <c r="H439" s="180"/>
      <c r="I439" s="180"/>
      <c r="J439" s="180"/>
      <c r="K439" s="180"/>
      <c r="L439" s="180"/>
      <c r="M439" s="180"/>
      <c r="N439" s="180"/>
      <c r="O439" s="180"/>
      <c r="P439" s="180"/>
      <c r="Q439" s="180"/>
      <c r="R439" s="180"/>
      <c r="S439" s="182"/>
      <c r="T439" s="180"/>
      <c r="U439" s="180"/>
      <c r="V439" s="180"/>
      <c r="W439" s="180"/>
      <c r="X439" s="180"/>
      <c r="Y439" s="180"/>
    </row>
    <row r="440" spans="6:25">
      <c r="F440" s="180"/>
      <c r="G440" s="180"/>
      <c r="H440" s="180"/>
      <c r="I440" s="180"/>
      <c r="J440" s="180"/>
      <c r="K440" s="180"/>
      <c r="L440" s="180"/>
      <c r="M440" s="180"/>
      <c r="N440" s="180"/>
      <c r="O440" s="180"/>
      <c r="P440" s="180"/>
      <c r="Q440" s="180"/>
      <c r="R440" s="180"/>
      <c r="S440" s="182"/>
      <c r="T440" s="180"/>
      <c r="U440" s="180"/>
      <c r="V440" s="180"/>
      <c r="W440" s="180"/>
      <c r="X440" s="180"/>
      <c r="Y440" s="180"/>
    </row>
    <row r="441" spans="6:25">
      <c r="F441" s="180"/>
      <c r="G441" s="180"/>
      <c r="H441" s="180"/>
      <c r="I441" s="180"/>
      <c r="J441" s="180"/>
      <c r="K441" s="180"/>
      <c r="L441" s="180"/>
      <c r="M441" s="180"/>
      <c r="N441" s="180"/>
      <c r="O441" s="180"/>
      <c r="P441" s="180"/>
      <c r="Q441" s="180"/>
      <c r="R441" s="180"/>
      <c r="S441" s="182"/>
      <c r="T441" s="180"/>
      <c r="U441" s="180"/>
      <c r="V441" s="180"/>
      <c r="W441" s="180"/>
      <c r="X441" s="180"/>
      <c r="Y441" s="180"/>
    </row>
    <row r="442" spans="6:25">
      <c r="F442" s="180"/>
      <c r="G442" s="180"/>
      <c r="H442" s="180"/>
      <c r="I442" s="180"/>
      <c r="J442" s="180"/>
      <c r="K442" s="180"/>
      <c r="L442" s="180"/>
      <c r="M442" s="180"/>
      <c r="N442" s="180"/>
      <c r="O442" s="180"/>
      <c r="P442" s="180"/>
      <c r="Q442" s="180"/>
      <c r="R442" s="180"/>
      <c r="S442" s="182"/>
      <c r="T442" s="180"/>
      <c r="U442" s="180"/>
      <c r="V442" s="180"/>
      <c r="W442" s="180"/>
      <c r="X442" s="180"/>
      <c r="Y442" s="180"/>
    </row>
    <row r="443" spans="6:25">
      <c r="F443" s="180"/>
      <c r="G443" s="180"/>
      <c r="H443" s="180"/>
      <c r="I443" s="180"/>
      <c r="J443" s="180"/>
      <c r="K443" s="180"/>
      <c r="L443" s="180"/>
      <c r="M443" s="180"/>
      <c r="N443" s="180"/>
      <c r="O443" s="180"/>
      <c r="P443" s="180"/>
      <c r="Q443" s="180"/>
      <c r="R443" s="180"/>
      <c r="S443" s="182"/>
      <c r="T443" s="180"/>
      <c r="U443" s="180"/>
      <c r="V443" s="180"/>
      <c r="W443" s="180"/>
      <c r="X443" s="180"/>
      <c r="Y443" s="180"/>
    </row>
    <row r="444" spans="6:25">
      <c r="F444" s="180"/>
      <c r="G444" s="180"/>
      <c r="H444" s="180"/>
      <c r="I444" s="180"/>
      <c r="J444" s="180"/>
      <c r="K444" s="180"/>
      <c r="L444" s="180"/>
      <c r="M444" s="180"/>
      <c r="N444" s="180"/>
      <c r="O444" s="180"/>
      <c r="P444" s="180"/>
      <c r="Q444" s="180"/>
      <c r="R444" s="180"/>
      <c r="S444" s="182"/>
      <c r="T444" s="180"/>
      <c r="U444" s="180"/>
      <c r="V444" s="180"/>
      <c r="W444" s="180"/>
      <c r="X444" s="180"/>
      <c r="Y444" s="180"/>
    </row>
    <row r="445" spans="6:25">
      <c r="F445" s="180"/>
      <c r="G445" s="180"/>
      <c r="H445" s="180"/>
      <c r="I445" s="180"/>
      <c r="J445" s="180"/>
      <c r="K445" s="180"/>
      <c r="L445" s="180"/>
      <c r="M445" s="180"/>
      <c r="N445" s="180"/>
      <c r="O445" s="180"/>
      <c r="P445" s="180"/>
      <c r="Q445" s="180"/>
      <c r="R445" s="180"/>
      <c r="S445" s="182"/>
      <c r="T445" s="180"/>
      <c r="U445" s="180"/>
      <c r="V445" s="180"/>
      <c r="W445" s="180"/>
      <c r="X445" s="180"/>
      <c r="Y445" s="180"/>
    </row>
    <row r="446" spans="6:25">
      <c r="F446" s="180"/>
      <c r="G446" s="180"/>
      <c r="H446" s="180"/>
      <c r="I446" s="180"/>
      <c r="J446" s="180"/>
      <c r="K446" s="180"/>
      <c r="L446" s="180"/>
      <c r="M446" s="180"/>
      <c r="N446" s="180"/>
      <c r="O446" s="180"/>
      <c r="P446" s="180"/>
      <c r="Q446" s="180"/>
      <c r="R446" s="180"/>
      <c r="S446" s="182"/>
      <c r="T446" s="180"/>
      <c r="U446" s="180"/>
      <c r="V446" s="180"/>
      <c r="W446" s="180"/>
      <c r="X446" s="180"/>
      <c r="Y446" s="180"/>
    </row>
    <row r="447" spans="6:25">
      <c r="F447" s="180"/>
      <c r="G447" s="180"/>
      <c r="H447" s="180"/>
      <c r="I447" s="180"/>
      <c r="J447" s="180"/>
      <c r="K447" s="180"/>
      <c r="L447" s="180"/>
      <c r="M447" s="180"/>
      <c r="N447" s="180"/>
      <c r="O447" s="180"/>
      <c r="P447" s="180"/>
      <c r="Q447" s="180"/>
      <c r="R447" s="180"/>
      <c r="S447" s="182"/>
      <c r="T447" s="180"/>
      <c r="U447" s="180"/>
      <c r="V447" s="180"/>
      <c r="W447" s="180"/>
      <c r="X447" s="180"/>
      <c r="Y447" s="180"/>
    </row>
    <row r="448" spans="6:25">
      <c r="F448" s="180"/>
      <c r="G448" s="180"/>
      <c r="H448" s="180"/>
      <c r="I448" s="180"/>
      <c r="J448" s="180"/>
      <c r="K448" s="180"/>
      <c r="L448" s="180"/>
      <c r="M448" s="180"/>
      <c r="N448" s="180"/>
      <c r="O448" s="180"/>
      <c r="P448" s="180"/>
      <c r="Q448" s="180"/>
      <c r="R448" s="180"/>
      <c r="S448" s="182"/>
      <c r="T448" s="180"/>
      <c r="U448" s="180"/>
      <c r="V448" s="180"/>
      <c r="W448" s="180"/>
      <c r="X448" s="180"/>
      <c r="Y448" s="180"/>
    </row>
    <row r="449" spans="6:25">
      <c r="F449" s="180"/>
      <c r="G449" s="180"/>
      <c r="H449" s="180"/>
      <c r="I449" s="180"/>
      <c r="J449" s="180"/>
      <c r="K449" s="180"/>
      <c r="L449" s="180"/>
      <c r="M449" s="180"/>
      <c r="N449" s="180"/>
      <c r="O449" s="180"/>
      <c r="P449" s="180"/>
      <c r="Q449" s="180"/>
      <c r="R449" s="180"/>
      <c r="S449" s="182"/>
      <c r="T449" s="180"/>
      <c r="U449" s="180"/>
      <c r="V449" s="180"/>
      <c r="W449" s="180"/>
      <c r="X449" s="180"/>
      <c r="Y449" s="180"/>
    </row>
    <row r="450" spans="6:25">
      <c r="F450" s="180"/>
      <c r="G450" s="180"/>
      <c r="H450" s="180"/>
      <c r="I450" s="180"/>
      <c r="J450" s="180"/>
      <c r="K450" s="180"/>
      <c r="L450" s="180"/>
      <c r="M450" s="180"/>
      <c r="N450" s="180"/>
      <c r="O450" s="180"/>
      <c r="P450" s="180"/>
      <c r="Q450" s="180"/>
      <c r="R450" s="180"/>
      <c r="S450" s="182"/>
      <c r="T450" s="180"/>
      <c r="U450" s="180"/>
      <c r="V450" s="180"/>
      <c r="W450" s="180"/>
      <c r="X450" s="180"/>
      <c r="Y450" s="180"/>
    </row>
    <row r="451" spans="6:25">
      <c r="F451" s="180"/>
      <c r="G451" s="180"/>
      <c r="H451" s="180"/>
      <c r="I451" s="180"/>
      <c r="J451" s="180"/>
      <c r="K451" s="180"/>
      <c r="L451" s="180"/>
      <c r="M451" s="180"/>
      <c r="N451" s="180"/>
      <c r="O451" s="180"/>
      <c r="P451" s="180"/>
      <c r="Q451" s="180"/>
      <c r="R451" s="180"/>
      <c r="S451" s="182"/>
      <c r="T451" s="180"/>
      <c r="U451" s="180"/>
      <c r="V451" s="180"/>
      <c r="W451" s="180"/>
      <c r="X451" s="180"/>
      <c r="Y451" s="180"/>
    </row>
    <row r="452" spans="6:25">
      <c r="F452" s="180"/>
      <c r="G452" s="180"/>
      <c r="H452" s="180"/>
      <c r="I452" s="180"/>
      <c r="J452" s="180"/>
      <c r="K452" s="180"/>
      <c r="L452" s="180"/>
      <c r="M452" s="180"/>
      <c r="N452" s="180"/>
      <c r="O452" s="180"/>
      <c r="P452" s="180"/>
      <c r="Q452" s="180"/>
      <c r="R452" s="180"/>
      <c r="S452" s="182"/>
      <c r="T452" s="180"/>
      <c r="U452" s="180"/>
      <c r="V452" s="180"/>
      <c r="W452" s="180"/>
      <c r="X452" s="180"/>
      <c r="Y452" s="180"/>
    </row>
    <row r="453" spans="6:25"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2"/>
      <c r="T453" s="180"/>
      <c r="U453" s="180"/>
      <c r="V453" s="180"/>
      <c r="W453" s="180"/>
      <c r="X453" s="180"/>
      <c r="Y453" s="180"/>
    </row>
    <row r="454" spans="6:25">
      <c r="F454" s="180"/>
      <c r="G454" s="180"/>
      <c r="H454" s="180"/>
      <c r="I454" s="180"/>
      <c r="J454" s="180"/>
      <c r="K454" s="180"/>
      <c r="L454" s="180"/>
      <c r="M454" s="180"/>
      <c r="N454" s="180"/>
      <c r="O454" s="180"/>
      <c r="P454" s="180"/>
      <c r="Q454" s="180"/>
      <c r="R454" s="180"/>
      <c r="S454" s="182"/>
      <c r="T454" s="180"/>
      <c r="U454" s="180"/>
      <c r="V454" s="180"/>
      <c r="W454" s="180"/>
      <c r="X454" s="180"/>
      <c r="Y454" s="180"/>
    </row>
    <row r="455" spans="6:25">
      <c r="F455" s="180"/>
      <c r="G455" s="180"/>
      <c r="H455" s="180"/>
      <c r="I455" s="180"/>
      <c r="J455" s="180"/>
      <c r="K455" s="180"/>
      <c r="L455" s="180"/>
      <c r="M455" s="180"/>
      <c r="N455" s="180"/>
      <c r="O455" s="180"/>
      <c r="P455" s="180"/>
      <c r="Q455" s="180"/>
      <c r="R455" s="180"/>
      <c r="S455" s="182"/>
      <c r="T455" s="180"/>
      <c r="U455" s="180"/>
      <c r="V455" s="180"/>
      <c r="W455" s="180"/>
      <c r="X455" s="180"/>
      <c r="Y455" s="180"/>
    </row>
    <row r="456" spans="6:25">
      <c r="F456" s="180"/>
      <c r="G456" s="180"/>
      <c r="H456" s="180"/>
      <c r="I456" s="180"/>
      <c r="J456" s="180"/>
      <c r="K456" s="180"/>
      <c r="L456" s="180"/>
      <c r="M456" s="180"/>
      <c r="N456" s="180"/>
      <c r="O456" s="180"/>
      <c r="P456" s="180"/>
      <c r="Q456" s="180"/>
      <c r="R456" s="180"/>
      <c r="S456" s="182"/>
      <c r="T456" s="180"/>
      <c r="U456" s="180"/>
      <c r="V456" s="180"/>
      <c r="W456" s="180"/>
      <c r="X456" s="180"/>
      <c r="Y456" s="180"/>
    </row>
    <row r="457" spans="6:25">
      <c r="F457" s="180"/>
      <c r="G457" s="180"/>
      <c r="H457" s="180"/>
      <c r="I457" s="180"/>
      <c r="J457" s="180"/>
      <c r="K457" s="180"/>
      <c r="L457" s="180"/>
      <c r="M457" s="180"/>
      <c r="N457" s="180"/>
      <c r="O457" s="180"/>
      <c r="P457" s="180"/>
      <c r="Q457" s="180"/>
      <c r="R457" s="180"/>
      <c r="S457" s="182"/>
      <c r="T457" s="180"/>
      <c r="U457" s="180"/>
      <c r="V457" s="180"/>
      <c r="W457" s="180"/>
      <c r="X457" s="180"/>
      <c r="Y457" s="180"/>
    </row>
    <row r="458" spans="6:25">
      <c r="F458" s="180"/>
      <c r="G458" s="180"/>
      <c r="H458" s="180"/>
      <c r="I458" s="180"/>
      <c r="J458" s="180"/>
      <c r="K458" s="180"/>
      <c r="L458" s="180"/>
      <c r="M458" s="180"/>
      <c r="N458" s="180"/>
      <c r="O458" s="180"/>
      <c r="P458" s="180"/>
      <c r="Q458" s="180"/>
      <c r="R458" s="180"/>
      <c r="S458" s="182"/>
      <c r="T458" s="180"/>
      <c r="U458" s="180"/>
      <c r="V458" s="180"/>
      <c r="W458" s="180"/>
      <c r="X458" s="180"/>
      <c r="Y458" s="180"/>
    </row>
    <row r="459" spans="6:25">
      <c r="F459" s="180"/>
      <c r="G459" s="180"/>
      <c r="H459" s="180"/>
      <c r="I459" s="180"/>
      <c r="J459" s="180"/>
      <c r="K459" s="180"/>
      <c r="L459" s="180"/>
      <c r="M459" s="180"/>
      <c r="N459" s="180"/>
      <c r="O459" s="180"/>
      <c r="P459" s="180"/>
      <c r="Q459" s="180"/>
      <c r="R459" s="180"/>
      <c r="S459" s="182"/>
      <c r="T459" s="180"/>
      <c r="U459" s="180"/>
      <c r="V459" s="180"/>
      <c r="W459" s="180"/>
      <c r="X459" s="180"/>
      <c r="Y459" s="180"/>
    </row>
    <row r="460" spans="6:25">
      <c r="F460" s="180"/>
      <c r="G460" s="180"/>
      <c r="H460" s="180"/>
      <c r="I460" s="180"/>
      <c r="J460" s="180"/>
      <c r="K460" s="180"/>
      <c r="L460" s="180"/>
      <c r="M460" s="180"/>
      <c r="N460" s="180"/>
      <c r="O460" s="180"/>
      <c r="P460" s="180"/>
      <c r="Q460" s="180"/>
      <c r="R460" s="180"/>
      <c r="S460" s="182"/>
      <c r="T460" s="180"/>
      <c r="U460" s="180"/>
      <c r="V460" s="180"/>
      <c r="W460" s="180"/>
      <c r="X460" s="180"/>
      <c r="Y460" s="180"/>
    </row>
    <row r="461" spans="6:25">
      <c r="F461" s="180"/>
      <c r="G461" s="180"/>
      <c r="H461" s="180"/>
      <c r="I461" s="180"/>
      <c r="J461" s="180"/>
      <c r="K461" s="180"/>
      <c r="L461" s="180"/>
      <c r="M461" s="180"/>
      <c r="N461" s="180"/>
      <c r="O461" s="180"/>
      <c r="P461" s="180"/>
      <c r="Q461" s="180"/>
      <c r="R461" s="180"/>
      <c r="S461" s="182"/>
      <c r="T461" s="180"/>
      <c r="U461" s="180"/>
      <c r="V461" s="180"/>
      <c r="W461" s="180"/>
      <c r="X461" s="180"/>
      <c r="Y461" s="180"/>
    </row>
    <row r="462" spans="6:25">
      <c r="F462" s="180"/>
      <c r="G462" s="180"/>
      <c r="H462" s="180"/>
      <c r="I462" s="180"/>
      <c r="J462" s="180"/>
      <c r="K462" s="180"/>
      <c r="L462" s="180"/>
      <c r="M462" s="180"/>
      <c r="N462" s="180"/>
      <c r="O462" s="180"/>
      <c r="P462" s="180"/>
      <c r="Q462" s="180"/>
      <c r="R462" s="180"/>
      <c r="S462" s="182"/>
      <c r="T462" s="180"/>
      <c r="U462" s="180"/>
      <c r="V462" s="180"/>
      <c r="W462" s="180"/>
      <c r="X462" s="180"/>
      <c r="Y462" s="180"/>
    </row>
    <row r="463" spans="6:25">
      <c r="F463" s="180"/>
      <c r="G463" s="180"/>
      <c r="H463" s="180"/>
      <c r="I463" s="180"/>
      <c r="J463" s="180"/>
      <c r="K463" s="180"/>
      <c r="L463" s="180"/>
      <c r="M463" s="180"/>
      <c r="N463" s="180"/>
      <c r="O463" s="180"/>
      <c r="P463" s="180"/>
      <c r="Q463" s="180"/>
      <c r="R463" s="180"/>
      <c r="S463" s="182"/>
      <c r="T463" s="180"/>
      <c r="U463" s="180"/>
      <c r="V463" s="180"/>
      <c r="W463" s="180"/>
      <c r="X463" s="180"/>
      <c r="Y463" s="180"/>
    </row>
    <row r="464" spans="6:25">
      <c r="F464" s="180"/>
      <c r="G464" s="180"/>
      <c r="H464" s="180"/>
      <c r="I464" s="180"/>
      <c r="J464" s="180"/>
      <c r="K464" s="180"/>
      <c r="L464" s="180"/>
      <c r="M464" s="180"/>
      <c r="N464" s="180"/>
      <c r="O464" s="180"/>
      <c r="P464" s="180"/>
      <c r="Q464" s="180"/>
      <c r="R464" s="180"/>
      <c r="S464" s="182"/>
      <c r="T464" s="180"/>
      <c r="U464" s="180"/>
      <c r="V464" s="180"/>
      <c r="W464" s="180"/>
      <c r="X464" s="180"/>
      <c r="Y464" s="180"/>
    </row>
    <row r="465" spans="6:25">
      <c r="F465" s="180"/>
      <c r="G465" s="180"/>
      <c r="H465" s="180"/>
      <c r="I465" s="180"/>
      <c r="J465" s="180"/>
      <c r="K465" s="180"/>
      <c r="L465" s="180"/>
      <c r="M465" s="180"/>
      <c r="N465" s="180"/>
      <c r="O465" s="180"/>
      <c r="P465" s="180"/>
      <c r="Q465" s="180"/>
      <c r="R465" s="180"/>
      <c r="S465" s="182"/>
      <c r="T465" s="180"/>
      <c r="U465" s="180"/>
      <c r="V465" s="180"/>
      <c r="W465" s="180"/>
      <c r="X465" s="180"/>
      <c r="Y465" s="180"/>
    </row>
    <row r="466" spans="6:25">
      <c r="F466" s="180"/>
      <c r="G466" s="180"/>
      <c r="H466" s="180"/>
      <c r="I466" s="180"/>
      <c r="J466" s="180"/>
      <c r="K466" s="180"/>
      <c r="L466" s="180"/>
      <c r="M466" s="180"/>
      <c r="N466" s="180"/>
      <c r="O466" s="180"/>
      <c r="P466" s="180"/>
      <c r="Q466" s="180"/>
      <c r="R466" s="180"/>
      <c r="S466" s="182"/>
      <c r="T466" s="180"/>
      <c r="U466" s="180"/>
      <c r="V466" s="180"/>
      <c r="W466" s="180"/>
      <c r="X466" s="180"/>
      <c r="Y466" s="180"/>
    </row>
    <row r="467" spans="6:25">
      <c r="F467" s="180"/>
      <c r="G467" s="180"/>
      <c r="H467" s="180"/>
      <c r="I467" s="180"/>
      <c r="J467" s="180"/>
      <c r="K467" s="180"/>
      <c r="L467" s="180"/>
      <c r="M467" s="180"/>
      <c r="N467" s="180"/>
      <c r="O467" s="180"/>
      <c r="P467" s="180"/>
      <c r="Q467" s="180"/>
      <c r="R467" s="180"/>
      <c r="S467" s="182"/>
      <c r="T467" s="180"/>
      <c r="U467" s="180"/>
      <c r="V467" s="180"/>
      <c r="W467" s="180"/>
      <c r="X467" s="180"/>
      <c r="Y467" s="180"/>
    </row>
  </sheetData>
  <mergeCells count="2">
    <mergeCell ref="A1:E1"/>
    <mergeCell ref="C3:D3"/>
  </mergeCells>
  <pageMargins left="0.25" right="0.25" top="0.75" bottom="0.75" header="0.3" footer="0.3"/>
  <pageSetup scale="40" fitToHeight="0" orientation="portrait" horizontalDpi="4294967292" vertic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31027-8E3E-4BA7-87D9-EEA5A8111E16}">
  <sheetPr>
    <tabColor theme="3" tint="0.79998168889431442"/>
  </sheetPr>
  <dimension ref="A4:AA44"/>
  <sheetViews>
    <sheetView workbookViewId="0">
      <selection activeCell="O38" sqref="O38"/>
    </sheetView>
  </sheetViews>
  <sheetFormatPr defaultRowHeight="14.4"/>
  <cols>
    <col min="2" max="2" width="11.77734375" customWidth="1"/>
    <col min="3" max="3" width="11.88671875" customWidth="1"/>
    <col min="4" max="4" width="11" customWidth="1"/>
    <col min="10" max="10" width="11.33203125" customWidth="1"/>
    <col min="11" max="11" width="14" customWidth="1"/>
    <col min="13" max="13" width="11.5546875" customWidth="1"/>
    <col min="15" max="15" width="12.44140625" customWidth="1"/>
    <col min="25" max="25" width="24.109375" customWidth="1"/>
    <col min="26" max="26" width="15.88671875" customWidth="1"/>
    <col min="27" max="27" width="9.109375" bestFit="1" customWidth="1"/>
  </cols>
  <sheetData>
    <row r="4" spans="10:26">
      <c r="Z4" s="291" t="s">
        <v>292</v>
      </c>
    </row>
    <row r="5" spans="10:26">
      <c r="Y5" s="292" t="s">
        <v>303</v>
      </c>
      <c r="Z5" s="285">
        <v>3224</v>
      </c>
    </row>
    <row r="6" spans="10:26">
      <c r="Z6" s="285"/>
    </row>
    <row r="7" spans="10:26">
      <c r="Z7" s="285"/>
    </row>
    <row r="8" spans="10:26">
      <c r="Y8" s="292" t="s">
        <v>304</v>
      </c>
      <c r="Z8" s="285">
        <v>83055</v>
      </c>
    </row>
    <row r="9" spans="10:26">
      <c r="Z9" s="285"/>
    </row>
    <row r="10" spans="10:26">
      <c r="Z10" s="285"/>
    </row>
    <row r="11" spans="10:26">
      <c r="J11" s="293">
        <v>165.91</v>
      </c>
      <c r="Z11" s="285"/>
    </row>
    <row r="12" spans="10:26">
      <c r="Z12" s="285"/>
    </row>
    <row r="13" spans="10:26">
      <c r="Z13" s="285"/>
    </row>
    <row r="14" spans="10:26">
      <c r="Z14" s="285"/>
    </row>
    <row r="15" spans="10:26">
      <c r="Z15" s="285"/>
    </row>
    <row r="16" spans="10:26">
      <c r="Z16" s="285"/>
    </row>
    <row r="17" spans="1:27">
      <c r="Z17" s="285"/>
    </row>
    <row r="18" spans="1:27">
      <c r="Z18" s="285"/>
    </row>
    <row r="19" spans="1:27">
      <c r="Z19" s="285"/>
    </row>
    <row r="20" spans="1:27">
      <c r="Z20" s="285"/>
    </row>
    <row r="21" spans="1:27">
      <c r="Y21" s="292" t="s">
        <v>305</v>
      </c>
      <c r="Z21" s="285">
        <v>992563</v>
      </c>
    </row>
    <row r="22" spans="1:27">
      <c r="Y22" s="294" t="s">
        <v>17</v>
      </c>
      <c r="Z22" s="295">
        <f>SUM(Z5:Z21)</f>
        <v>1078842</v>
      </c>
      <c r="AA22" s="37"/>
    </row>
    <row r="25" spans="1:27" ht="18.600000000000001" thickBot="1">
      <c r="A25" s="296" t="s">
        <v>306</v>
      </c>
    </row>
    <row r="26" spans="1:27">
      <c r="A26" s="297"/>
      <c r="B26" s="298"/>
      <c r="C26" s="299" t="s">
        <v>307</v>
      </c>
      <c r="D26" s="299" t="s">
        <v>293</v>
      </c>
      <c r="E26" s="299" t="s">
        <v>308</v>
      </c>
      <c r="F26" s="298"/>
      <c r="G26" s="298"/>
      <c r="H26" s="300" t="s">
        <v>301</v>
      </c>
      <c r="I26" s="298"/>
      <c r="J26" s="298"/>
      <c r="K26" s="298"/>
      <c r="L26" s="301"/>
    </row>
    <row r="27" spans="1:27">
      <c r="A27" s="302"/>
      <c r="B27" s="303" t="s">
        <v>303</v>
      </c>
      <c r="C27" s="304">
        <f>Z5</f>
        <v>3224</v>
      </c>
      <c r="D27" s="305">
        <v>94</v>
      </c>
      <c r="E27" s="306">
        <f>C27/D27</f>
        <v>34.297872340425535</v>
      </c>
      <c r="F27" s="307"/>
      <c r="G27" s="307"/>
      <c r="H27" s="307" t="s">
        <v>298</v>
      </c>
      <c r="I27" s="305">
        <v>444.85999999999996</v>
      </c>
      <c r="J27" s="307"/>
      <c r="K27" s="307"/>
      <c r="L27" s="308"/>
    </row>
    <row r="28" spans="1:27">
      <c r="A28" s="302"/>
      <c r="B28" s="303" t="s">
        <v>304</v>
      </c>
      <c r="C28" s="304">
        <f>Z8</f>
        <v>83055</v>
      </c>
      <c r="D28" s="305">
        <v>2427</v>
      </c>
      <c r="E28" s="306">
        <f t="shared" ref="E28:E29" si="0">C28/D28</f>
        <v>34.221260815821999</v>
      </c>
      <c r="F28" s="307"/>
      <c r="G28" s="307"/>
      <c r="H28" s="307" t="s">
        <v>299</v>
      </c>
      <c r="I28" s="305">
        <v>775.65586730141547</v>
      </c>
      <c r="J28" s="307"/>
      <c r="K28" s="307"/>
      <c r="L28" s="308"/>
    </row>
    <row r="29" spans="1:27">
      <c r="A29" s="302"/>
      <c r="B29" s="303" t="s">
        <v>305</v>
      </c>
      <c r="C29" s="309">
        <f>Z21</f>
        <v>992563</v>
      </c>
      <c r="D29" s="310">
        <v>29006</v>
      </c>
      <c r="E29" s="311">
        <f t="shared" si="0"/>
        <v>34.219230504033646</v>
      </c>
      <c r="F29" s="307"/>
      <c r="G29" s="307"/>
      <c r="H29" s="307" t="s">
        <v>300</v>
      </c>
      <c r="I29" s="305">
        <v>4198.2346965115594</v>
      </c>
      <c r="J29" s="307"/>
      <c r="K29" s="307"/>
      <c r="L29" s="308"/>
    </row>
    <row r="30" spans="1:27">
      <c r="A30" s="302"/>
      <c r="B30" s="307"/>
      <c r="C30" s="312">
        <f>SUM(C27:C29)</f>
        <v>1078842</v>
      </c>
      <c r="D30" s="313">
        <f>SUM(D27:D29)</f>
        <v>31527</v>
      </c>
      <c r="E30" s="306">
        <f>C30/D30</f>
        <v>34.21962127700067</v>
      </c>
      <c r="F30" s="307"/>
      <c r="G30" s="307"/>
      <c r="H30" s="291" t="s">
        <v>17</v>
      </c>
      <c r="I30" s="314">
        <f>SUM(I27:I29)</f>
        <v>5418.7505638129751</v>
      </c>
      <c r="J30" s="307"/>
      <c r="K30" s="307"/>
      <c r="L30" s="308"/>
    </row>
    <row r="31" spans="1:27">
      <c r="A31" s="302"/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8"/>
    </row>
    <row r="32" spans="1:27">
      <c r="A32" s="302"/>
      <c r="B32" s="307"/>
      <c r="C32" s="307"/>
      <c r="D32" s="304"/>
      <c r="E32" s="307"/>
      <c r="F32" s="307"/>
      <c r="G32" s="307"/>
      <c r="H32" s="291" t="s">
        <v>302</v>
      </c>
      <c r="I32" s="307"/>
      <c r="J32" s="307"/>
      <c r="K32" s="307"/>
      <c r="L32" s="308"/>
    </row>
    <row r="33" spans="1:12">
      <c r="A33" s="302"/>
      <c r="B33" s="307"/>
      <c r="C33" s="315" t="s">
        <v>309</v>
      </c>
      <c r="D33" s="307"/>
      <c r="E33" s="307"/>
      <c r="F33" s="307"/>
      <c r="G33" s="307"/>
      <c r="H33" s="307" t="s">
        <v>298</v>
      </c>
      <c r="I33" s="305">
        <v>2767.23</v>
      </c>
      <c r="J33" s="307"/>
      <c r="K33" s="307"/>
      <c r="L33" s="308"/>
    </row>
    <row r="34" spans="1:12">
      <c r="A34" s="302"/>
      <c r="B34" s="303" t="s">
        <v>310</v>
      </c>
      <c r="C34" s="316">
        <f>I36</f>
        <v>25625.035425214744</v>
      </c>
      <c r="D34" s="307"/>
      <c r="E34" s="307"/>
      <c r="F34" s="307"/>
      <c r="G34" s="307"/>
      <c r="H34" s="307" t="s">
        <v>299</v>
      </c>
      <c r="I34" s="305">
        <v>4322.0991155092925</v>
      </c>
      <c r="J34" s="307"/>
      <c r="K34" s="307"/>
      <c r="L34" s="308"/>
    </row>
    <row r="35" spans="1:12">
      <c r="A35" s="302"/>
      <c r="B35" s="303" t="s">
        <v>265</v>
      </c>
      <c r="C35" s="317">
        <f>I30</f>
        <v>5418.7505638129751</v>
      </c>
      <c r="D35" s="307"/>
      <c r="E35" s="307"/>
      <c r="F35" s="307"/>
      <c r="G35" s="307"/>
      <c r="H35" s="307" t="s">
        <v>300</v>
      </c>
      <c r="I35" s="305">
        <v>18535.706309705452</v>
      </c>
      <c r="J35" s="307"/>
      <c r="K35" s="307"/>
      <c r="L35" s="308"/>
    </row>
    <row r="36" spans="1:12">
      <c r="A36" s="302"/>
      <c r="B36" s="307"/>
      <c r="C36" s="318">
        <f>SUM(C34:C35)</f>
        <v>31043.785989027718</v>
      </c>
      <c r="D36" s="307"/>
      <c r="E36" s="307"/>
      <c r="F36" s="307"/>
      <c r="G36" s="307"/>
      <c r="H36" s="291" t="s">
        <v>17</v>
      </c>
      <c r="I36" s="314">
        <f>SUM(I33:I35)</f>
        <v>25625.035425214744</v>
      </c>
      <c r="J36" s="307"/>
      <c r="K36" s="307"/>
      <c r="L36" s="308"/>
    </row>
    <row r="37" spans="1:12">
      <c r="A37" s="302"/>
      <c r="B37" s="307"/>
      <c r="C37" s="293">
        <f>C30/C36</f>
        <v>34.752268952675799</v>
      </c>
      <c r="D37" s="319" t="s">
        <v>311</v>
      </c>
      <c r="E37" s="307"/>
      <c r="F37" s="307"/>
      <c r="G37" s="307"/>
      <c r="H37" s="307"/>
      <c r="I37" s="307"/>
      <c r="J37" s="307"/>
      <c r="K37" s="307"/>
      <c r="L37" s="308"/>
    </row>
    <row r="38" spans="1:12">
      <c r="A38" s="302"/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8"/>
    </row>
    <row r="39" spans="1:12">
      <c r="A39" s="302"/>
      <c r="B39" s="307"/>
      <c r="C39" s="320">
        <f>C37-E30</f>
        <v>0.53264767567512905</v>
      </c>
      <c r="D39" s="307" t="s">
        <v>312</v>
      </c>
      <c r="E39" s="307"/>
      <c r="F39" s="307"/>
      <c r="G39" s="307"/>
      <c r="H39" s="307"/>
      <c r="I39" s="307"/>
      <c r="J39" s="307"/>
      <c r="K39" s="307"/>
      <c r="L39" s="308"/>
    </row>
    <row r="40" spans="1:12">
      <c r="A40" s="302"/>
      <c r="B40" s="307"/>
      <c r="C40" s="320">
        <f>C39*C36</f>
        <v>16535.40045121175</v>
      </c>
      <c r="D40" s="307" t="s">
        <v>313</v>
      </c>
      <c r="E40" s="307"/>
      <c r="F40" s="307"/>
      <c r="G40" s="307"/>
      <c r="H40" s="307"/>
      <c r="I40" s="307"/>
      <c r="J40" s="307"/>
      <c r="K40" s="307"/>
      <c r="L40" s="308"/>
    </row>
    <row r="41" spans="1:12">
      <c r="A41" s="302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8"/>
    </row>
    <row r="42" spans="1:12">
      <c r="A42" s="302" t="s">
        <v>314</v>
      </c>
      <c r="B42" s="307"/>
      <c r="C42" s="320">
        <f>J11</f>
        <v>165.91</v>
      </c>
      <c r="D42" s="319" t="s">
        <v>315</v>
      </c>
      <c r="E42" s="307"/>
      <c r="F42" s="307"/>
      <c r="G42" s="307"/>
      <c r="H42" s="307"/>
      <c r="I42" s="307"/>
      <c r="J42" s="307"/>
      <c r="K42" s="307"/>
      <c r="L42" s="308"/>
    </row>
    <row r="43" spans="1:12">
      <c r="A43" s="321" t="s">
        <v>316</v>
      </c>
      <c r="B43" s="291"/>
      <c r="C43" s="322">
        <f>C42+C37</f>
        <v>200.66226895267579</v>
      </c>
      <c r="D43" s="307"/>
      <c r="E43" s="307"/>
      <c r="F43" s="307"/>
      <c r="G43" s="307"/>
      <c r="H43" s="307"/>
      <c r="I43" s="307"/>
      <c r="J43" s="307"/>
      <c r="K43" s="307"/>
      <c r="L43" s="308"/>
    </row>
    <row r="44" spans="1:12" ht="15" thickBot="1">
      <c r="A44" s="323"/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D80D70E5B45A468227009880107DAE" ma:contentTypeVersion="15" ma:contentTypeDescription="" ma:contentTypeScope="" ma:versionID="5e98b28ac20e9b63139e092984c6ce7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LTD.            </CaseCompanyNames>
    <Nickname xmlns="http://schemas.microsoft.com/sharepoint/v3" xsi:nil="true"/>
    <DocketNumber xmlns="dc463f71-b30c-4ab2-9473-d307f9d35888">240903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54AAA64-7FA5-4675-995B-B1EDA0FA4A60}"/>
</file>

<file path=customXml/itemProps2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7946F6-253B-40F3-ADF9-DBD760147FC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7429f450-94b4-4416-870d-2c1407281566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31FFCB5-BE3C-4495-9BCB-4AF56362AD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Tariff Changes</vt:lpstr>
      <vt:lpstr>Calcs </vt:lpstr>
      <vt:lpstr>References</vt:lpstr>
      <vt:lpstr>Disposal</vt:lpstr>
      <vt:lpstr>Disposal cost back-up</vt:lpstr>
      <vt:lpstr>Disposal!Print_Titles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Calculations</dc:title>
  <dc:creator>Mike Young</dc:creator>
  <cp:lastModifiedBy>Easley, Maria</cp:lastModifiedBy>
  <cp:lastPrinted>2016-12-19T19:12:30Z</cp:lastPrinted>
  <dcterms:created xsi:type="dcterms:W3CDTF">2013-10-29T22:33:54Z</dcterms:created>
  <dcterms:modified xsi:type="dcterms:W3CDTF">2024-11-14T20:31:12Z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0x0101006E56B4D1795A2E4DB2F0B01679ED314A0095D80D70E5B45A468227009880107DAE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