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ersons/person.xml" ContentType="application/vnd.ms-excel.perso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sion\Accounting II\WUTC Filings\Other Rate Cases\2025 Disposal Increase\4172\"/>
    </mc:Choice>
  </mc:AlternateContent>
  <xr:revisionPtr revIDLastSave="0" documentId="13_ncr:1_{6B8D061A-B490-4C26-96A8-73EBD5771B33}" xr6:coauthVersionLast="47" xr6:coauthVersionMax="47" xr10:uidLastSave="{00000000-0000-0000-0000-000000000000}"/>
  <bookViews>
    <workbookView xWindow="-110" yWindow="-110" windowWidth="19420" windowHeight="10420" tabRatio="730" activeTab="2" xr2:uid="{00000000-000D-0000-FFFF-FFFF00000000}"/>
  </bookViews>
  <sheets>
    <sheet name="Tariff Changes" sheetId="16" r:id="rId1"/>
    <sheet name="Price Out Rates" sheetId="7" r:id="rId2"/>
    <sheet name="References" sheetId="4" r:id="rId3"/>
    <sheet name="Disposal Summary (with IC)" sheetId="1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[2]Hidden!#REF!</definedName>
    <definedName name="__ACT2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[3]Hidden!$P$11</definedName>
    <definedName name="__LYA10">[3]Hidden!$G$11</definedName>
    <definedName name="__LYA11">[3]Hidden!$F$11</definedName>
    <definedName name="__LYA12">[1]Hidden!$O$11</definedName>
    <definedName name="__LYA2">[3]Hidden!$O$11</definedName>
    <definedName name="__LYA3">[3]Hidden!$N$11</definedName>
    <definedName name="__LYA4">[3]Hidden!$M$11</definedName>
    <definedName name="__LYA5">[3]Hidden!$L$11</definedName>
    <definedName name="__LYA6">[3]Hidden!$K$11</definedName>
    <definedName name="__LYA7">[3]Hidden!$J$11</definedName>
    <definedName name="__LYA8">[3]Hidden!$I$11</definedName>
    <definedName name="__LYA9">[3]Hidden!$H$11</definedName>
    <definedName name="_123Graph_g" hidden="1">'[4]#REF'!$F$9:$F$83</definedName>
    <definedName name="_132" hidden="1">[5]XXXXXX!$B$10:$B$10</definedName>
    <definedName name="_ACT1">[2]Hidden!#REF!</definedName>
    <definedName name="_ACT2">[2]Hidden!#REF!</definedName>
    <definedName name="_ACT3">[2]Hidden!#REF!</definedName>
    <definedName name="_BUN1">'[6]2008 West Group IS'!$AJ$5</definedName>
    <definedName name="_BUN3">'[6]2008 Group Office IS'!$AJ$5</definedName>
    <definedName name="_COS1" localSheetId="3">#REF!</definedName>
    <definedName name="_COS1">#REF!</definedName>
    <definedName name="_COS2" localSheetId="3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Key1" localSheetId="3" hidden="1">#REF!</definedName>
    <definedName name="_Key1" hidden="1">#REF!</definedName>
    <definedName name="_Key2" hidden="1">'[7]GL Codes'!$G$3:$G$3</definedName>
    <definedName name="_key5" hidden="1">[5]XXXXXX!$H$10</definedName>
    <definedName name="_LYA1">[3]Hidden!$P$11</definedName>
    <definedName name="_LYA10">[3]Hidden!$G$11</definedName>
    <definedName name="_LYA11">[3]Hidden!$F$11</definedName>
    <definedName name="_LYA12">[1]Hidden!$O$11</definedName>
    <definedName name="_LYA2">[3]Hidden!$O$11</definedName>
    <definedName name="_LYA3">[3]Hidden!$N$11</definedName>
    <definedName name="_LYA4">[3]Hidden!$M$11</definedName>
    <definedName name="_LYA5">[3]Hidden!$L$11</definedName>
    <definedName name="_LYA6">[3]Hidden!$K$11</definedName>
    <definedName name="_LYA7">[3]Hidden!$J$11</definedName>
    <definedName name="_LYA8">[3]Hidden!$I$11</definedName>
    <definedName name="_LYA9">[3]Hidden!$H$11</definedName>
    <definedName name="_Order1" hidden="1">255</definedName>
    <definedName name="_Order2" hidden="1">255</definedName>
    <definedName name="_Order3" hidden="1">0</definedName>
    <definedName name="_PER1">[6]WTB!$DC$8</definedName>
    <definedName name="_PER2">'[6]2008 West Group IS'!$AH$8</definedName>
    <definedName name="_PER3">'[6]2008 West Group IS'!$AI$5</definedName>
    <definedName name="_PER4">'[6]2008 Group Office IS'!$AH$8</definedName>
    <definedName name="_PER5">'[6]2008 Group Office IS'!$AI$5</definedName>
    <definedName name="_Regression_Int">0</definedName>
    <definedName name="_SFD1">'[6]2008 West Group IS'!$AK$5</definedName>
    <definedName name="_SFD3">'[6]2008 Group Office IS'!$AK$5</definedName>
    <definedName name="_SFV1">'[6]2008 West Group IS'!$AK$4</definedName>
    <definedName name="_SFV4">'[6]2008 Group Office IS'!$AK$4</definedName>
    <definedName name="_Sort" localSheetId="3" hidden="1">#REF!</definedName>
    <definedName name="_Sort" hidden="1">#REF!</definedName>
    <definedName name="_Sort1" hidden="1">'[4]#REF'!$A$10:$Z$281</definedName>
    <definedName name="_sort3" hidden="1">[5]XXXXXX!$G$10:$J$11</definedName>
    <definedName name="a">#REF!</definedName>
    <definedName name="aa">#REF!</definedName>
    <definedName name="aaa">#REF!</definedName>
    <definedName name="aaaaa">#REF!</definedName>
    <definedName name="aaaaa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Angie" localSheetId="3" hidden="1">#REF!</definedName>
    <definedName name="Angie" hidden="1">#REF!</definedName>
    <definedName name="AprSun1" localSheetId="3">DATEVALUE("4/1/"&amp;TheYear)-WEEKDAY(DATEVALUE("4/1/"&amp;TheYear))+1</definedName>
    <definedName name="AprSun1">DATEVALUE("4/1/"&amp;TheYear)-WEEKDAY(DATEVALUE("4/1/"&amp;TheYear))+1</definedName>
    <definedName name="AugSun1" localSheetId="3">DATEVALUE("8/1/"&amp;TheYear)-WEEKDAY(DATEVALUE("8/1/"&amp;TheYear))+1</definedName>
    <definedName name="AugSun1">DATEVALUE("8/1/"&amp;TheYear)-WEEKDAY(DATEVALUE("8/1/"&amp;TheYear))+1</definedName>
    <definedName name="autemplate" localSheetId="3">'[8]AU Mapping TEMPLATE'!$A$1:$B$335</definedName>
    <definedName name="autemplate">'[9]AU Mapping TEMPLATE'!$A$1:$B$335</definedName>
    <definedName name="averaging">#REF!</definedName>
    <definedName name="BREMAIR_COST_of_SERVICE_STUDY">#REF!</definedName>
    <definedName name="BUD_CUR">[2]Hidden!#REF!</definedName>
    <definedName name="BUD_YTD">[2]Hidden!#REF!</definedName>
    <definedName name="BUN">[6]WTB!$DD$5</definedName>
    <definedName name="Calc">[6]WTB!#REF!</definedName>
    <definedName name="Calc0">[6]WTB!#REF!</definedName>
    <definedName name="Calc1">[6]WTB!#REF!</definedName>
    <definedName name="Calc10">[6]WTB!#REF!</definedName>
    <definedName name="Calc11">[6]WTB!#REF!</definedName>
    <definedName name="Calc12">[6]WTB!#REF!</definedName>
    <definedName name="Calc13">[6]WTB!#REF!</definedName>
    <definedName name="Calc14">[6]WTB!#REF!</definedName>
    <definedName name="Calc15">[6]WTB!#REF!</definedName>
    <definedName name="Calc16">[6]WTB!#REF!</definedName>
    <definedName name="Calc17">[6]WTB!#REF!</definedName>
    <definedName name="Calc18">[6]WTB!#REF!</definedName>
    <definedName name="Calc2">[6]WTB!#REF!</definedName>
    <definedName name="Calc3">[6]WTB!#REF!</definedName>
    <definedName name="Calc4">[6]WTB!#REF!</definedName>
    <definedName name="Calc5">[6]WTB!#REF!</definedName>
    <definedName name="Calc6">[6]WTB!#REF!</definedName>
    <definedName name="Calc7">[6]WTB!#REF!</definedName>
    <definedName name="Calc8">[6]WTB!#REF!</definedName>
    <definedName name="Calc9">[6]WTB!#REF!</definedName>
    <definedName name="CanCartTons">[10]CanCartTonsAllocate!$E$3</definedName>
    <definedName name="CheckTotals">#REF!</definedName>
    <definedName name="coa" localSheetId="3">'[11]lawson extract'!$D$2:$E$2761</definedName>
    <definedName name="coa">'[12]lawson extract'!$D$2:$E$2761</definedName>
    <definedName name="CoCanTons">[13]Cust_Count1!$M$28</definedName>
    <definedName name="CoComYd">'[13]Gross Yardage Worksheet'!$L$16</definedName>
    <definedName name="CoCustCnt">#REF!</definedName>
    <definedName name="colgroup">[1]Orientation!$G$6</definedName>
    <definedName name="colist" localSheetId="3">'[8]AW Co''s - Mapped only 10-23-08'!$A$2:$L$2107</definedName>
    <definedName name="colist">'[9]AW Co''s - Mapped only 10-23-08'!$A$2:$L$2107</definedName>
    <definedName name="color" localSheetId="3">#REF!</definedName>
    <definedName name="color">#REF!</definedName>
    <definedName name="colsegment">[1]Orientation!$F$6</definedName>
    <definedName name="CommlStaffPriceOut" localSheetId="3">'[14]Price Out-Reg EASTSIDE-Resi'!#REF!</definedName>
    <definedName name="CommlStaffPriceOut">'[14]Price Out-Reg EASTSIDE-Resi'!#REF!</definedName>
    <definedName name="CoMultiYd">'[13]Gross Yardage Worksheet'!$L$31</definedName>
    <definedName name="ContainerTons">[10]ContainerTonsAllocation!$E$2</definedName>
    <definedName name="COST_OF_SERVICE_STUDY">#REF!</definedName>
    <definedName name="CoXtraYds">#REF!</definedName>
    <definedName name="CR">#REF!</definedName>
    <definedName name="CRCTable">#REF!</definedName>
    <definedName name="CRCTableOLD">#REF!</definedName>
    <definedName name="CriteriaType">[15]ControlPanel!$Z$2:$Z$5</definedName>
    <definedName name="CtyCanTons">[13]Cust_Count1!$N$28</definedName>
    <definedName name="CtyComYd">'[13]Gross Yardage Worksheet'!$L$49</definedName>
    <definedName name="CtyCustCnt">#REF!</definedName>
    <definedName name="CtyMultiYd">'[13]Gross Yardage Worksheet'!$L$64</definedName>
    <definedName name="CtyXtraYds">#REF!</definedName>
    <definedName name="CURRENCY">'[6]Balance Sheet'!$AD$8</definedName>
    <definedName name="Cutomers">#REF!</definedName>
    <definedName name="Database1">#REF!</definedName>
    <definedName name="DateFrom">'[16]Finance Charges'!$I$12</definedName>
    <definedName name="DateTo">'[16]Finance Charges'!$I$13</definedName>
    <definedName name="DBxStaffPriceOut" localSheetId="3">'[14]Price Out-Reg EASTSIDE-Resi'!#REF!</definedName>
    <definedName name="DBxStaffPriceOut">'[14]Price Out-Reg EASTSIDE-Resi'!#REF!</definedName>
    <definedName name="debtP">#REF!</definedName>
    <definedName name="DecSun1" localSheetId="3">DATEVALUE("12/1/"&amp;TheYear)-WEEKDAY(DATEVALUE("12/1/"&amp;TheYear))+1</definedName>
    <definedName name="DecSun1">DATEVALUE("12/1/"&amp;TheYear)-WEEKDAY(DATEVALUE("12/1/"&amp;TheYear))+1</definedName>
    <definedName name="delete">'[17]Excluded divisions'!$C$2:$C$108</definedName>
    <definedName name="DEPT">[2]Hidden!#REF!</definedName>
    <definedName name="DetailBudYear">#REF!</definedName>
    <definedName name="DetailDistrict">#REF!</definedName>
    <definedName name="DistrictNum">#REF!</definedName>
    <definedName name="Division_Number" localSheetId="3">#REF!</definedName>
    <definedName name="Division_Number">#REF!</definedName>
    <definedName name="DivName">[18]Start!$G$2</definedName>
    <definedName name="DivNo" localSheetId="3">'[19]Cont Count Data'!#REF!</definedName>
    <definedName name="DivNo">'[20]Cont Count Data'!#REF!</definedName>
    <definedName name="drlFilter">[1]Settings!$D$27</definedName>
    <definedName name="End">#REF!</definedName>
    <definedName name="EntrieShownLimit">'[16]Finance Charges'!$D$6</definedName>
    <definedName name="EXT" localSheetId="3">#REF!</definedName>
    <definedName name="EXT">#REF!</definedName>
    <definedName name="FBTable">#REF!</definedName>
    <definedName name="FBTableOld">#REF!</definedName>
    <definedName name="fences">#REF!</definedName>
    <definedName name="FICA">'[21]Tax &amp; Ben'!$H$6</definedName>
    <definedName name="filter">[1]Settings!$B$14:$H$25</definedName>
    <definedName name="Financial">[6]WTB!#REF!</definedName>
    <definedName name="FirstColCriteria">[6]WTB!#REF!</definedName>
    <definedName name="FirstHeaderCriteria">[6]WTB!#REF!</definedName>
    <definedName name="flag">[6]WTB!#REF!</definedName>
    <definedName name="g">#REF!</definedName>
    <definedName name="gg">#REF!</definedName>
    <definedName name="ggg">#REF!</definedName>
    <definedName name="ggggg">#REF!</definedName>
    <definedName name="gggggg">#REF!</definedName>
    <definedName name="GLMappingStart">#REF!</definedName>
    <definedName name="GRETABLE">[22]Gresham!$E$12:$AI$261</definedName>
    <definedName name="Hazardous_Stops" localSheetId="3">#REF!</definedName>
    <definedName name="Hazardous_Stops">#REF!</definedName>
    <definedName name="helpp" localSheetId="3">#REF!,#REF!,#REF!,#REF!</definedName>
    <definedName name="helpp">#REF!,#REF!,#REF!,#REF!</definedName>
    <definedName name="IncomeStmnt">#REF!</definedName>
    <definedName name="infopro" localSheetId="3">#REF!,#REF!,#REF!,#REF!</definedName>
    <definedName name="infopro">#REF!,#REF!,#REF!,#REF!</definedName>
    <definedName name="INPUT" localSheetId="3">#REF!</definedName>
    <definedName name="INPUT">#REF!</definedName>
    <definedName name="INPUT1">#REF!</definedName>
    <definedName name="INPUTc" localSheetId="3">#REF!</definedName>
    <definedName name="INPUTc">#REF!</definedName>
    <definedName name="InsertColRange">[6]WTB!#REF!</definedName>
    <definedName name="Insurance">#REF!</definedName>
    <definedName name="inter2">'[23]LG Nonpublic 2018 V5.0'!$W$55</definedName>
    <definedName name="intercep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4C">'[24]5. BDI Gen Ledger Table'!$J$2:$J$4682</definedName>
    <definedName name="IS_Lines">'[24]6. V Lookup Tables'!$B$3:$D$401</definedName>
    <definedName name="JEDate">[18]Start!$B$3</definedName>
    <definedName name="JEDetail">#REF!</definedName>
    <definedName name="JEInitials">[18]Start!$B$7</definedName>
    <definedName name="JEType">#REF!</definedName>
    <definedName name="JulSun1" localSheetId="3">DATEVALUE("7/1/"&amp;TheYear)-WEEKDAY(DATEVALUE("7/1/"&amp;TheYear))+1</definedName>
    <definedName name="JulSun1">DATEVALUE("7/1/"&amp;TheYear)-WEEKDAY(DATEVALUE("7/1/"&amp;TheYear))+1</definedName>
    <definedName name="Juris1CanCount">[10]Cust_Count1!$C$60</definedName>
    <definedName name="Juris1CanTons">[10]Cust_Count1!$C$30</definedName>
    <definedName name="Juris1ComYd">'[10]Gross Yardage Worksheet'!$L$16</definedName>
    <definedName name="Juris1CustCnt">[10]Cust_Count2!$E$39</definedName>
    <definedName name="Juris1MultiYd">'[10]Gross Yardage Worksheet'!$X$16</definedName>
    <definedName name="Juris1SeasonalYds">'[10]Gross Yardage Worksheet'!$R$18</definedName>
    <definedName name="Juris1XtraYds">[10]Cust_Count2!$E$28</definedName>
    <definedName name="Juris2CanCount">[10]Cust_Count1!$D$60</definedName>
    <definedName name="Juris2CanTons">[10]Cust_Count1!$D$30</definedName>
    <definedName name="Juris2ComYd">'[10]Gross Yardage Worksheet'!$L$33</definedName>
    <definedName name="Juris2CustCnt">[10]Cust_Count2!$F$39</definedName>
    <definedName name="Juris2MultiYd">'[10]Gross Yardage Worksheet'!$X$33</definedName>
    <definedName name="Juris2SeasonalYds">'[10]Gross Yardage Worksheet'!$R$35</definedName>
    <definedName name="Juris2XtraYds">[10]Cust_Count2!$F$28</definedName>
    <definedName name="Juris3CanCount">[10]Cust_Count1!$E$60</definedName>
    <definedName name="Juris3CanTons">[10]Cust_Count1!$E$30</definedName>
    <definedName name="Juris3ComYd">'[10]Gross Yardage Worksheet'!$L$51</definedName>
    <definedName name="Juris3CustCnt">[10]Cust_Count2!$G$39</definedName>
    <definedName name="Juris3MultiYd">'[10]Gross Yardage Worksheet'!$X$51</definedName>
    <definedName name="Juris3SeasonalYds">'[10]Gross Yardage Worksheet'!$R$53</definedName>
    <definedName name="Juris3XtraYds">[10]Cust_Count2!$G$28</definedName>
    <definedName name="Juris4CanCount">[10]Cust_Count1!$F$60</definedName>
    <definedName name="Juris4CanTons">[10]Cust_Count1!$F$30</definedName>
    <definedName name="Juris4ComYd">'[10]Gross Yardage Worksheet'!$L$68</definedName>
    <definedName name="Juris4CustCnt">[10]Cust_Count2!$H$39</definedName>
    <definedName name="Juris4MultiYd">'[10]Gross Yardage Worksheet'!$X$68</definedName>
    <definedName name="Juris4SeasonalYds">'[10]Gross Yardage Worksheet'!$R$70</definedName>
    <definedName name="Juris4XtraYds">[10]Cust_Count2!$H$28</definedName>
    <definedName name="Juris5CanCount">[10]Cust_Count1!$G$60</definedName>
    <definedName name="Juris5CanTons">[10]Cust_Count1!$G$30</definedName>
    <definedName name="Juris5ComYD">'[10]Gross Yardage Worksheet'!$L$85</definedName>
    <definedName name="Juris5CustCnt">[10]Cust_Count2!$I$39</definedName>
    <definedName name="Juris5MultiYd">'[10]Gross Yardage Worksheet'!$X$85</definedName>
    <definedName name="Juris5SeasonalYds">'[10]Gross Yardage Worksheet'!$R$87</definedName>
    <definedName name="Juris5XtraYds">[10]Cust_Count2!$I$28</definedName>
    <definedName name="Jurisdiction_1">'[10]Title Inputs'!$C$5</definedName>
    <definedName name="Jurisdiction_2">'[10]Title Inputs'!$C$6</definedName>
    <definedName name="Jurisdiction_3">'[10]Title Inputs'!$C$7</definedName>
    <definedName name="Jurisdiction_4">'[10]Title Inputs'!$C$8</definedName>
    <definedName name="Jurisdiction_5">'[10]Title Inputs'!$C$9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evel">#REF!</definedName>
    <definedName name="lllllllllllllllllllll">#REF!</definedName>
    <definedName name="LU_Line">#REF!</definedName>
    <definedName name="MainDataEnd">#REF!</definedName>
    <definedName name="MainDataStart">#REF!</definedName>
    <definedName name="MapKeyStart">#REF!</definedName>
    <definedName name="master_def">#REF!</definedName>
    <definedName name="MATRIX" localSheetId="3">#REF!</definedName>
    <definedName name="MATRIX">#REF!</definedName>
    <definedName name="MEDate">[25]Calcuation!$I$3</definedName>
    <definedName name="MetaSet">[1]Orientation!$C$22</definedName>
    <definedName name="MFStaffPriceOut" localSheetId="3">'[14]Price Out-Reg EASTSIDE-Resi'!#REF!</definedName>
    <definedName name="MFStaffPriceOut">'[14]Price Out-Reg EASTSIDE-Resi'!#REF!</definedName>
    <definedName name="Month">#REF!</definedName>
    <definedName name="NewOnlyOrg">#N/A</definedName>
    <definedName name="NOTES">#REF!</definedName>
    <definedName name="NovSun1" localSheetId="3">DATEVALUE("11/1/"&amp;TheYear)-WEEKDAY(DATEVALUE("11/1/"&amp;TheYear))+1</definedName>
    <definedName name="NovSun1">DATEVALUE("11/1/"&amp;TheYear)-WEEKDAY(DATEVALUE("11/1/"&amp;TheYear))+1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observations">#REF!</definedName>
    <definedName name="OctSun1" localSheetId="3">DATEVALUE("10/1/"&amp;TheYear)-WEEKDAY(DATEVALUE("10/1/"&amp;TheYear))+1</definedName>
    <definedName name="OctSun1">DATEVALUE("10/1/"&amp;TheYear)-WEEKDAY(DATEVALUE("10/1/"&amp;TheYear))+1</definedName>
    <definedName name="OfficerSalary">#N/A</definedName>
    <definedName name="OffsetAcctBil">[26]JEexport!$L$10</definedName>
    <definedName name="OffsetAcctPmt">[26]JEexport!$L$9</definedName>
    <definedName name="OPRD" localSheetId="3">#REF!</definedName>
    <definedName name="OPRD">#REF!</definedName>
    <definedName name="Org11_13">#N/A</definedName>
    <definedName name="Org7_10">#N/A</definedName>
    <definedName name="OthCanTons">[13]Cust_Count1!$O$28</definedName>
    <definedName name="OthComYd">'[13]Gross Yardage Worksheet'!$L$82</definedName>
    <definedName name="OthCustCnt">#REF!</definedName>
    <definedName name="OthMultiYd">'[13]Gross Yardage Worksheet'!$L$98</definedName>
    <definedName name="OthXtraYds">#REF!</definedName>
    <definedName name="outliercut">#REF!</definedName>
    <definedName name="p">#REF!</definedName>
    <definedName name="Page10">#REF!</definedName>
    <definedName name="Page10a">#REF!</definedName>
    <definedName name="page11">#REF!</definedName>
    <definedName name="page12">#REF!</definedName>
    <definedName name="Page20">#REF!</definedName>
    <definedName name="page7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">[6]WTB!$DC$5</definedName>
    <definedName name="Period">#REF!</definedName>
    <definedName name="pMonth">#REF!</definedName>
    <definedName name="pOnlyShowLastTranx">#REF!</definedName>
    <definedName name="ppemeasurement">#REF!</definedName>
    <definedName name="primtbl">[1]Orientation!$C$23</definedName>
    <definedName name="Print_Area_MI" localSheetId="3">#REF!</definedName>
    <definedName name="Print_Area_MI">#REF!</definedName>
    <definedName name="Print_Area_MIc" localSheetId="3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3">'Disposal Summary (with IC)'!$3:$3</definedName>
    <definedName name="Print1">#REF!</definedName>
    <definedName name="Print2">#REF!</definedName>
    <definedName name="Print5">#REF!</definedName>
    <definedName name="ProF">'[24]5. BDI Gen Ledger Table'!$K$2:$K$4682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ange">#REF!</definedName>
    <definedName name="RCW_81.04.080">#N/A</definedName>
    <definedName name="RecyDisposal">#N/A</definedName>
    <definedName name="RefType">[18]Start!$B$5</definedName>
    <definedName name="RegROTons">'Disposal Summary (with IC)'!$T$28</definedName>
    <definedName name="RelatedSalary">#N/A</definedName>
    <definedName name="report" localSheetId="3">[27]ST97TONS!#REF!</definedName>
    <definedName name="report">[27]ST97TONS!#REF!</definedName>
    <definedName name="report_type">[1]Orientation!$C$24</definedName>
    <definedName name="Reporting_Jurisdiction">'[10]Title Inputs'!$C$4</definedName>
    <definedName name="ReportNames">[28]ControlPanel!$S$2:$S$16</definedName>
    <definedName name="ReportVersion">[1]Settings!$D$5</definedName>
    <definedName name="ReslStaffPriceOut" localSheetId="3">'[14]Price Out-Reg EASTSIDE-Resi'!#REF!</definedName>
    <definedName name="ReslStaffPriceOut">'[14]Price Out-Reg EASTSIDE-Resi'!#REF!</definedName>
    <definedName name="RetainedEarnings">#REF!</definedName>
    <definedName name="RevCust">[29]RevenuesCust!#REF!</definedName>
    <definedName name="rngBodyText">[3]Delivery!$B$15</definedName>
    <definedName name="RngBottomRight">[3]Delivery!$B$23</definedName>
    <definedName name="rngColDelChars">[3]Delivery!$B$26</definedName>
    <definedName name="rngColumnDelete">[3]Delivery!$B$26</definedName>
    <definedName name="rngCreateLog">[1]Delivery!$B$12</definedName>
    <definedName name="rngDeleteColumns">[3]Delivery!$A$29:$A$38</definedName>
    <definedName name="rngDeleteRows">[3]Delivery!$B$29:$B$38</definedName>
    <definedName name="rngEmail">[3]Delivery!$B$9</definedName>
    <definedName name="rngFileDir">[3]Delivery!$B$6</definedName>
    <definedName name="rngFileFormat">[3]Delivery!$B$4</definedName>
    <definedName name="rngFileName">[3]Delivery!$B$5</definedName>
    <definedName name="rngFilePassword">[1]Delivery!$B$6</definedName>
    <definedName name="rngPassword">[3]Delivery!$B$21</definedName>
    <definedName name="rngPasswordProtect">[3]Delivery!$B$20</definedName>
    <definedName name="rngPrint">[3]Delivery!$B$11</definedName>
    <definedName name="rngRetainFormulas">[3]Delivery!$B$19</definedName>
    <definedName name="rngSaveFile">[3]Delivery!$B$10</definedName>
    <definedName name="rngSourceTab">[1]Delivery!$E$8</definedName>
    <definedName name="rngSubjectLine">[3]Delivery!$B$14</definedName>
    <definedName name="rngTabName">[3]Delivery!$B$18</definedName>
    <definedName name="rngTopLeft">[3]Delivery!$B$22</definedName>
    <definedName name="rowgroup">[1]Orientation!$C$17</definedName>
    <definedName name="rowsegment">[1]Orientation!$B$17</definedName>
    <definedName name="RptEmailAddress">[3]Delivery!$D$4:$D$1005</definedName>
    <definedName name="search1" localSheetId="3" hidden="1">#REF!</definedName>
    <definedName name="search1" hidden="1">#REF!</definedName>
    <definedName name="search2" localSheetId="3" hidden="1">#REF!</definedName>
    <definedName name="search2" hidden="1">#REF!</definedName>
    <definedName name="SectorNme">[25]Calcuation!$I$5</definedName>
    <definedName name="SepSun1" localSheetId="3">DATEVALUE("9/1/"&amp;TheYear)-WEEKDAY(DATEVALUE("9/1/"&amp;TheYear))+1</definedName>
    <definedName name="SepSun1">DATEVALUE("9/1/"&amp;TheYear)-WEEKDAY(DATEVALUE("9/1/"&amp;TheYear))+1</definedName>
    <definedName name="Sequential_Group">[1]Settings!$J$6</definedName>
    <definedName name="Sequential_Segment">[1]Settings!$I$6</definedName>
    <definedName name="Sequential_sort">[1]Settings!$I$10:$J$11</definedName>
    <definedName name="SFD">[6]WTB!$DE$5</definedName>
    <definedName name="SFV">[6]WTB!$DE$4</definedName>
    <definedName name="SFV_CUR1">'[6]2008 West Group IS'!$AM$9</definedName>
    <definedName name="SFV_CUR5">'[6]2008 Group Office IS'!$AM$9</definedName>
    <definedName name="SIC_Table">#REF!</definedName>
    <definedName name="sics">#REF!</definedName>
    <definedName name="slope" localSheetId="3">'[30]LG Nonpublic 2018 V5.0'!$X$58</definedName>
    <definedName name="slope">'[31]LG Nonpublic 2018 V5.0'!$X$58</definedName>
    <definedName name="SLOPE1">'[23]LG Nonpublic 2018 V5.0'!$X$58</definedName>
    <definedName name="sort1" localSheetId="3">#REF!</definedName>
    <definedName name="sort1">#REF!</definedName>
    <definedName name="sortcol">#REF!</definedName>
    <definedName name="SPECIAL1" localSheetId="3" hidden="1">#REF!</definedName>
    <definedName name="SPECIAL1" hidden="1">#REF!</definedName>
    <definedName name="SPECIAL2" localSheetId="3" hidden="1">#REF!</definedName>
    <definedName name="SPECIAL2" hidden="1">#REF!</definedName>
    <definedName name="SPWS_WBID">"115966228744984"</definedName>
    <definedName name="sSRCDate">'[32]Feb''12 FAR Data'!#REF!</definedName>
    <definedName name="ssssss">#REF!</definedName>
    <definedName name="SubSystem">#REF!</definedName>
    <definedName name="Supplemental_filter">[1]Settings!$C$31</definedName>
    <definedName name="SWDisposal">#N/A</definedName>
    <definedName name="System">[33]BS_Close!$V$8</definedName>
    <definedName name="Table_SIC">#REF!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tal_Interest">'[34]Amortization Table'!$F$18</definedName>
    <definedName name="Total_ResComTonnage">'Price Out Rates'!$D$122</definedName>
    <definedName name="TotalYards">'[13]Gross Yardage Worksheet'!$N$101</definedName>
    <definedName name="TOTCONT">'[22]Sorted Master'!$K$9</definedName>
    <definedName name="TOTCRECCONT">'[22]Sorted Master'!$Z$9</definedName>
    <definedName name="TOTCRECCUST">'[35]Master IS (C)'!#REF!</definedName>
    <definedName name="TOTCRECDH">'[35]Master IS (C)'!#REF!</definedName>
    <definedName name="TOTCRECREV">'[35]Master IS (C)'!#REF!</definedName>
    <definedName name="TOTCRECTDEP">'[35]Master IS (C)'!#REF!</definedName>
    <definedName name="TOTCRECTH">'[22]Sorted Master'!$Z$8</definedName>
    <definedName name="TOTCRECTV">'[35]Master IS (C)'!#REF!</definedName>
    <definedName name="TOTCUST">'[35]Master IS (C)'!#REF!</definedName>
    <definedName name="TOTDBCONT">'[35]Master IS (C)'!#REF!</definedName>
    <definedName name="TOTDBCUST">'[35]Master IS (C)'!#REF!</definedName>
    <definedName name="TOTDBDH">'[35]Master IS (C)'!#REF!</definedName>
    <definedName name="TOTDBREV">'[35]Master IS (C)'!#REF!</definedName>
    <definedName name="TOTDBTDEP">'[35]Master IS (C)'!#REF!</definedName>
    <definedName name="TOTDBTH">'[35]Master IS (C)'!#REF!</definedName>
    <definedName name="TOTDBTV">'[35]Master IS (C)'!#REF!</definedName>
    <definedName name="TOTDEBCONT">'[35]Master IS (C)'!#REF!</definedName>
    <definedName name="TOTDEBCUST">'[35]Master IS (C)'!#REF!</definedName>
    <definedName name="TOTDEBDH">'[35]Master IS (C)'!#REF!</definedName>
    <definedName name="TOTDEBREV">'[35]Master IS (C)'!#REF!</definedName>
    <definedName name="TOTDEBTH">'[22]Sorted Master'!$AD$8</definedName>
    <definedName name="TOTDH">'[35]Master IS (C)'!#REF!</definedName>
    <definedName name="TOTFELCONT">'[35]Master IS (C)'!#REF!</definedName>
    <definedName name="TOTFELCUST">'[35]Master IS (C)'!#REF!</definedName>
    <definedName name="TOTFELDH">'[35]Master IS (C)'!#REF!</definedName>
    <definedName name="TOTFELREV">'[35]Master IS (C)'!#REF!</definedName>
    <definedName name="TOTFELTDEP">'[35]Master IS (C)'!#REF!</definedName>
    <definedName name="TOTFELTH">'[35]Master IS (C)'!#REF!</definedName>
    <definedName name="TOTFELTV">'[35]Master IS (C)'!#REF!</definedName>
    <definedName name="TOTRESCONT">'[35]Master IS (C)'!#REF!</definedName>
    <definedName name="TOTRESCUST">'[35]Master IS (C)'!#REF!</definedName>
    <definedName name="TOTRESDH">'[35]Master IS (C)'!#REF!</definedName>
    <definedName name="TOTRESRCONT">'[35]Master IS (C)'!#REF!</definedName>
    <definedName name="TOTRESRCUST">'[35]Master IS (C)'!#REF!</definedName>
    <definedName name="TOTRESRDH">'[35]Master IS (C)'!#REF!</definedName>
    <definedName name="TOTRESREV">'[35]Master IS (C)'!#REF!</definedName>
    <definedName name="TOTRESRREV">'[35]Master IS (C)'!#REF!</definedName>
    <definedName name="TOTRESRTDEP">'[35]Master IS (C)'!#REF!</definedName>
    <definedName name="TOTRESRTH">'[35]Master IS (C)'!#REF!</definedName>
    <definedName name="TOTRESRTV">'[35]Master IS (C)'!#REF!</definedName>
    <definedName name="TOTRESTDEP">'[35]Master IS (C)'!#REF!</definedName>
    <definedName name="TOTRESTH">'[35]Master IS (C)'!#REF!</definedName>
    <definedName name="TOTRESTV">'[35]Master IS (C)'!#REF!</definedName>
    <definedName name="TOTREV">'[35]Master IS (C)'!#REF!</definedName>
    <definedName name="TOTTDEP">'[35]Master IS (C)'!#REF!</definedName>
    <definedName name="TOTTH">'[35]Master IS (C)'!#REF!</definedName>
    <definedName name="TOTTV">'[35]Master IS (C)'!#REF!</definedName>
    <definedName name="Transactions">#REF!</definedName>
    <definedName name="trx_total">'[24]5. BDI Gen Ledger Table'!$N$2:$N$4682</definedName>
    <definedName name="Tukwila_Report" localSheetId="3">[27]ST97TONS!#REF!</definedName>
    <definedName name="Tukwila_Report">[27]ST97TONS!#REF!</definedName>
    <definedName name="Tukwila_Report1" localSheetId="3">[27]ST97TONS!#REF!</definedName>
    <definedName name="Tukwila_Report1">[27]ST97TONS!#REF!</definedName>
    <definedName name="UnformattedIS">#REF!</definedName>
    <definedName name="ValidFormats">[3]Delivery!$AA$4:$AA$10</definedName>
    <definedName name="WksInYr">#REF!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Table">#REF!</definedName>
    <definedName name="WTableOld">#REF!</definedName>
    <definedName name="xperiod">[1]Orientation!$G$15</definedName>
    <definedName name="xtabin">[2]Hidden!#REF!</definedName>
    <definedName name="xx">#REF!</definedName>
    <definedName name="y_inter1" localSheetId="3">'[30]LG Nonpublic 2018 V5.0'!$W$55</definedName>
    <definedName name="y_inter1">'[31]LG Nonpublic 2018 V5.0'!$W$55</definedName>
    <definedName name="y_inter2" localSheetId="3">'[30]LG Nonpublic 2018 V5.0'!$W$56</definedName>
    <definedName name="y_inter2">'[31]LG Nonpublic 2018 V5.0'!$W$56</definedName>
    <definedName name="y_inter3" localSheetId="3">'[30]LG Nonpublic 2018 V5.0'!$Y$55</definedName>
    <definedName name="y_inter3">'[31]LG Nonpublic 2018 V5.0'!$Y$55</definedName>
    <definedName name="y_inter4" localSheetId="3">'[30]LG Nonpublic 2018 V5.0'!$Y$56</definedName>
    <definedName name="y_inter4">'[31]LG Nonpublic 2018 V5.0'!$Y$56</definedName>
    <definedName name="Year" localSheetId="3">#REF!</definedName>
    <definedName name="Year">#REF!</definedName>
    <definedName name="Year_of_Review">'[10]Title Inputs'!$C$3</definedName>
    <definedName name="years">#REF!</definedName>
    <definedName name="YR_PD">'[24]5. BDI Gen Ledger Table'!$Q$2:$Q$4682</definedName>
    <definedName name="YWMedWasteDisp">#N/A</definedName>
    <definedName name="Z_2D4BA4D8_9810_4CD8_BC99_BAF8C6DC6FDE_.wvu.PrintTitles" localSheetId="3" hidden="1">'Disposal Summary (with IC)'!$3:$3</definedName>
    <definedName name="Z_E9505D05_5738_4953_8422_9EB6E0EB24BD_.wvu.PrintTitles" localSheetId="3" hidden="1">'Disposal Summary (with IC)'!$3:$3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4" l="1"/>
  <c r="K67" i="4"/>
  <c r="J78" i="4"/>
  <c r="O6" i="7" l="1"/>
  <c r="F26" i="7"/>
  <c r="D10" i="7"/>
  <c r="D9" i="7"/>
  <c r="D8" i="7"/>
  <c r="D7" i="7"/>
  <c r="D5" i="7"/>
  <c r="D6" i="7"/>
  <c r="D4" i="7"/>
  <c r="D3" i="7"/>
  <c r="D2" i="7"/>
  <c r="A115" i="16" l="1"/>
  <c r="A113" i="16"/>
  <c r="C87" i="16"/>
  <c r="C86" i="16"/>
  <c r="A87" i="16"/>
  <c r="A86" i="16"/>
  <c r="C117" i="16"/>
  <c r="A117" i="16"/>
  <c r="C112" i="16"/>
  <c r="A112" i="16"/>
  <c r="C106" i="16"/>
  <c r="A106" i="16"/>
  <c r="C104" i="16"/>
  <c r="A104" i="16"/>
  <c r="C77" i="16"/>
  <c r="A77" i="16"/>
  <c r="C39" i="16"/>
  <c r="C37" i="16"/>
  <c r="C38" i="16"/>
  <c r="C32" i="16"/>
  <c r="A32" i="16"/>
  <c r="C18" i="16"/>
  <c r="C19" i="16"/>
  <c r="C17" i="16"/>
  <c r="F40" i="7"/>
  <c r="D51" i="7"/>
  <c r="D38" i="7"/>
  <c r="F103" i="7"/>
  <c r="G62" i="7"/>
  <c r="G105" i="7" l="1"/>
  <c r="G33" i="7"/>
  <c r="G107" i="7"/>
  <c r="G32" i="7"/>
  <c r="G102" i="7"/>
  <c r="F102" i="7"/>
  <c r="H102" i="7" l="1"/>
  <c r="G103" i="7"/>
  <c r="F49" i="7"/>
  <c r="O49" i="7" s="1"/>
  <c r="G49" i="7"/>
  <c r="H49" i="7" l="1"/>
  <c r="H103" i="7"/>
  <c r="F107" i="7"/>
  <c r="F32" i="7"/>
  <c r="O32" i="7" s="1"/>
  <c r="F122" i="17"/>
  <c r="H121" i="17"/>
  <c r="F121" i="17"/>
  <c r="G113" i="17"/>
  <c r="F107" i="17"/>
  <c r="D105" i="17"/>
  <c r="C105" i="17"/>
  <c r="B105" i="17"/>
  <c r="A105" i="17"/>
  <c r="A107" i="17" s="1"/>
  <c r="C102" i="17"/>
  <c r="A102" i="17"/>
  <c r="F101" i="17"/>
  <c r="Q94" i="17"/>
  <c r="O94" i="17"/>
  <c r="K94" i="17"/>
  <c r="J94" i="17"/>
  <c r="M94" i="17"/>
  <c r="L94" i="17"/>
  <c r="T93" i="17"/>
  <c r="R94" i="17"/>
  <c r="P94" i="17"/>
  <c r="N94" i="17"/>
  <c r="I94" i="17"/>
  <c r="H94" i="17"/>
  <c r="G94" i="17"/>
  <c r="H88" i="17"/>
  <c r="I88" i="17" s="1"/>
  <c r="J88" i="17" s="1"/>
  <c r="K88" i="17" s="1"/>
  <c r="L88" i="17" s="1"/>
  <c r="F88" i="17"/>
  <c r="H87" i="17"/>
  <c r="I87" i="17" s="1"/>
  <c r="J87" i="17" s="1"/>
  <c r="K87" i="17" s="1"/>
  <c r="L87" i="17" s="1"/>
  <c r="M87" i="17" s="1"/>
  <c r="N87" i="17" s="1"/>
  <c r="O87" i="17" s="1"/>
  <c r="P87" i="17" s="1"/>
  <c r="Q87" i="17" s="1"/>
  <c r="R87" i="17" s="1"/>
  <c r="R121" i="17" s="1"/>
  <c r="F87" i="17"/>
  <c r="H86" i="17"/>
  <c r="I86" i="17" s="1"/>
  <c r="I120" i="17" s="1"/>
  <c r="F86" i="17"/>
  <c r="F120" i="17" s="1"/>
  <c r="H85" i="17"/>
  <c r="I85" i="17" s="1"/>
  <c r="J85" i="17" s="1"/>
  <c r="F85" i="17"/>
  <c r="F119" i="17" s="1"/>
  <c r="F84" i="17"/>
  <c r="F118" i="17" s="1"/>
  <c r="G83" i="17"/>
  <c r="H83" i="17" s="1"/>
  <c r="I83" i="17" s="1"/>
  <c r="J83" i="17" s="1"/>
  <c r="K83" i="17" s="1"/>
  <c r="L83" i="17" s="1"/>
  <c r="M83" i="17" s="1"/>
  <c r="N83" i="17" s="1"/>
  <c r="F83" i="17"/>
  <c r="F117" i="17" s="1"/>
  <c r="F82" i="17"/>
  <c r="F116" i="17" s="1"/>
  <c r="H80" i="17"/>
  <c r="I80" i="17" s="1"/>
  <c r="F80" i="17"/>
  <c r="F113" i="17" s="1"/>
  <c r="H79" i="17"/>
  <c r="G79" i="17"/>
  <c r="F79" i="17"/>
  <c r="F112" i="17" s="1"/>
  <c r="F78" i="17"/>
  <c r="F111" i="17" s="1"/>
  <c r="G77" i="17"/>
  <c r="H77" i="17" s="1"/>
  <c r="I77" i="17" s="1"/>
  <c r="J77" i="17" s="1"/>
  <c r="F77" i="17"/>
  <c r="F110" i="17" s="1"/>
  <c r="F76" i="17"/>
  <c r="F109" i="17" s="1"/>
  <c r="F71" i="17"/>
  <c r="F102" i="17" s="1"/>
  <c r="I70" i="17"/>
  <c r="I79" i="17" s="1"/>
  <c r="I112" i="17" s="1"/>
  <c r="H70" i="17"/>
  <c r="F70" i="17"/>
  <c r="G69" i="17"/>
  <c r="H69" i="17" s="1"/>
  <c r="I69" i="17" s="1"/>
  <c r="J69" i="17" s="1"/>
  <c r="K69" i="17" s="1"/>
  <c r="L69" i="17" s="1"/>
  <c r="M69" i="17" s="1"/>
  <c r="N69" i="17" s="1"/>
  <c r="O69" i="17" s="1"/>
  <c r="P69" i="17" s="1"/>
  <c r="Q69" i="17" s="1"/>
  <c r="R69" i="17" s="1"/>
  <c r="F69" i="17"/>
  <c r="F100" i="17" s="1"/>
  <c r="H68" i="17"/>
  <c r="I68" i="17" s="1"/>
  <c r="J68" i="17" s="1"/>
  <c r="K68" i="17" s="1"/>
  <c r="L68" i="17" s="1"/>
  <c r="M68" i="17" s="1"/>
  <c r="N68" i="17" s="1"/>
  <c r="O68" i="17" s="1"/>
  <c r="P68" i="17" s="1"/>
  <c r="Q68" i="17" s="1"/>
  <c r="R68" i="17" s="1"/>
  <c r="F68" i="17"/>
  <c r="F99" i="17" s="1"/>
  <c r="F67" i="17"/>
  <c r="F98" i="17" s="1"/>
  <c r="L60" i="17"/>
  <c r="J60" i="17"/>
  <c r="O54" i="17"/>
  <c r="F54" i="17"/>
  <c r="F53" i="17"/>
  <c r="F123" i="17" s="1"/>
  <c r="F52" i="17"/>
  <c r="H122" i="17"/>
  <c r="I121" i="17"/>
  <c r="F49" i="17"/>
  <c r="A49" i="17"/>
  <c r="A52" i="17" s="1"/>
  <c r="G120" i="17"/>
  <c r="I119" i="17"/>
  <c r="H119" i="17"/>
  <c r="G119" i="17"/>
  <c r="F46" i="17"/>
  <c r="N54" i="17"/>
  <c r="L40" i="17"/>
  <c r="F40" i="17"/>
  <c r="F39" i="17"/>
  <c r="F114" i="17" s="1"/>
  <c r="F38" i="17"/>
  <c r="A38" i="17"/>
  <c r="H113" i="17"/>
  <c r="T37" i="17"/>
  <c r="H112" i="17"/>
  <c r="G112" i="17"/>
  <c r="F35" i="17"/>
  <c r="R40" i="17"/>
  <c r="P40" i="17"/>
  <c r="O40" i="17"/>
  <c r="N40" i="17"/>
  <c r="M40" i="17"/>
  <c r="I40" i="17"/>
  <c r="H40" i="17"/>
  <c r="G40" i="17"/>
  <c r="F30" i="17"/>
  <c r="A30" i="17"/>
  <c r="F25" i="17"/>
  <c r="F103" i="17" s="1"/>
  <c r="G24" i="17" a="1"/>
  <c r="I24" i="17"/>
  <c r="G24" i="17"/>
  <c r="B23" i="17"/>
  <c r="F23" i="17" s="1"/>
  <c r="D21" i="17"/>
  <c r="C21" i="17"/>
  <c r="B20" i="17"/>
  <c r="F20" i="17" s="1"/>
  <c r="A20" i="17"/>
  <c r="A21" i="17" s="1"/>
  <c r="A23" i="17" s="1"/>
  <c r="G4" i="17"/>
  <c r="H3" i="17"/>
  <c r="H4" i="17" s="1"/>
  <c r="M88" i="17" l="1"/>
  <c r="L122" i="17"/>
  <c r="H120" i="17"/>
  <c r="J86" i="17"/>
  <c r="K86" i="17" s="1"/>
  <c r="L86" i="17" s="1"/>
  <c r="M86" i="17" s="1"/>
  <c r="N86" i="17" s="1"/>
  <c r="O86" i="17" s="1"/>
  <c r="P86" i="17" s="1"/>
  <c r="Q86" i="17" s="1"/>
  <c r="R86" i="17" s="1"/>
  <c r="J80" i="17"/>
  <c r="I113" i="17"/>
  <c r="J70" i="17"/>
  <c r="K77" i="17"/>
  <c r="J110" i="17"/>
  <c r="G84" i="17"/>
  <c r="G78" i="17"/>
  <c r="H78" i="17" s="1"/>
  <c r="H107" i="7"/>
  <c r="H32" i="7"/>
  <c r="O83" i="17"/>
  <c r="P83" i="17" s="1"/>
  <c r="N117" i="17"/>
  <c r="K85" i="17"/>
  <c r="L85" i="17" s="1"/>
  <c r="J119" i="17"/>
  <c r="I117" i="17"/>
  <c r="P60" i="17"/>
  <c r="L121" i="17"/>
  <c r="J117" i="17"/>
  <c r="J54" i="17"/>
  <c r="Q120" i="17"/>
  <c r="M121" i="17"/>
  <c r="H15" i="17"/>
  <c r="I3" i="17"/>
  <c r="R24" i="17"/>
  <c r="Q24" i="17"/>
  <c r="P24" i="17"/>
  <c r="O24" i="17"/>
  <c r="N24" i="17"/>
  <c r="M24" i="17"/>
  <c r="L24" i="17"/>
  <c r="K24" i="17"/>
  <c r="J24" i="17"/>
  <c r="H24" i="17"/>
  <c r="K117" i="17"/>
  <c r="R60" i="17"/>
  <c r="R120" i="17"/>
  <c r="N121" i="17"/>
  <c r="Q40" i="17"/>
  <c r="L117" i="17"/>
  <c r="O121" i="17"/>
  <c r="M117" i="17"/>
  <c r="P121" i="17"/>
  <c r="T34" i="17"/>
  <c r="Q121" i="17"/>
  <c r="Q54" i="17"/>
  <c r="H41" i="17"/>
  <c r="J40" i="17"/>
  <c r="O117" i="17"/>
  <c r="P54" i="17"/>
  <c r="T50" i="17"/>
  <c r="T51" i="17"/>
  <c r="T94" i="17"/>
  <c r="T92" i="17"/>
  <c r="L120" i="17"/>
  <c r="M120" i="17"/>
  <c r="I122" i="17"/>
  <c r="T44" i="17"/>
  <c r="T45" i="17"/>
  <c r="J121" i="17"/>
  <c r="J122" i="17"/>
  <c r="H117" i="17"/>
  <c r="H54" i="17"/>
  <c r="K121" i="17"/>
  <c r="K122" i="17"/>
  <c r="T36" i="17"/>
  <c r="K40" i="17"/>
  <c r="K60" i="17"/>
  <c r="B102" i="17"/>
  <c r="G121" i="17"/>
  <c r="T47" i="17"/>
  <c r="R54" i="17"/>
  <c r="M60" i="17"/>
  <c r="G122" i="17"/>
  <c r="T48" i="17"/>
  <c r="G54" i="17"/>
  <c r="N60" i="17"/>
  <c r="O60" i="17"/>
  <c r="G117" i="17"/>
  <c r="I54" i="17"/>
  <c r="G110" i="17"/>
  <c r="Q60" i="17"/>
  <c r="H110" i="17"/>
  <c r="K54" i="17"/>
  <c r="I110" i="17"/>
  <c r="G111" i="17"/>
  <c r="T33" i="17"/>
  <c r="L54" i="17"/>
  <c r="G60" i="17"/>
  <c r="M54" i="17"/>
  <c r="H60" i="17"/>
  <c r="I60" i="17"/>
  <c r="N120" i="17" l="1"/>
  <c r="P120" i="17"/>
  <c r="O120" i="17"/>
  <c r="J120" i="17"/>
  <c r="K120" i="17"/>
  <c r="T120" i="17" s="1"/>
  <c r="N88" i="17"/>
  <c r="M122" i="17"/>
  <c r="K80" i="17"/>
  <c r="J113" i="17"/>
  <c r="J79" i="17"/>
  <c r="J112" i="17" s="1"/>
  <c r="K70" i="17"/>
  <c r="I78" i="17"/>
  <c r="H111" i="17"/>
  <c r="G118" i="17"/>
  <c r="G123" i="17" s="1"/>
  <c r="H84" i="17"/>
  <c r="H114" i="17"/>
  <c r="L77" i="17"/>
  <c r="K110" i="17"/>
  <c r="T54" i="17"/>
  <c r="T40" i="17"/>
  <c r="D122" i="7"/>
  <c r="D123" i="7" s="1"/>
  <c r="H22" i="17"/>
  <c r="H71" i="17" s="1"/>
  <c r="G101" i="17"/>
  <c r="H99" i="17"/>
  <c r="H28" i="17"/>
  <c r="H73" i="17" s="1"/>
  <c r="M85" i="17"/>
  <c r="L119" i="17"/>
  <c r="H100" i="17"/>
  <c r="T60" i="17"/>
  <c r="I41" i="17"/>
  <c r="H26" i="17"/>
  <c r="G99" i="17"/>
  <c r="G57" i="17"/>
  <c r="G28" i="17"/>
  <c r="G73" i="17" s="1"/>
  <c r="G26" i="17"/>
  <c r="G22" i="17"/>
  <c r="G71" i="17" s="1"/>
  <c r="Q83" i="17"/>
  <c r="P117" i="17"/>
  <c r="G106" i="17"/>
  <c r="G114" i="17"/>
  <c r="G55" i="17"/>
  <c r="G41" i="17"/>
  <c r="G15" i="17"/>
  <c r="J3" i="17"/>
  <c r="I4" i="17"/>
  <c r="H106" i="17"/>
  <c r="H55" i="17"/>
  <c r="K119" i="17"/>
  <c r="T121" i="17"/>
  <c r="H59" i="17"/>
  <c r="H61" i="17" s="1"/>
  <c r="H101" i="17"/>
  <c r="O88" i="17" l="1"/>
  <c r="N122" i="17"/>
  <c r="L80" i="17"/>
  <c r="K113" i="17"/>
  <c r="K79" i="17"/>
  <c r="K112" i="17" s="1"/>
  <c r="L70" i="17"/>
  <c r="L110" i="17"/>
  <c r="M77" i="17"/>
  <c r="I84" i="17"/>
  <c r="H118" i="17"/>
  <c r="H123" i="17" s="1"/>
  <c r="J78" i="17"/>
  <c r="I111" i="17"/>
  <c r="I114" i="17" s="1"/>
  <c r="H29" i="17"/>
  <c r="H74" i="17"/>
  <c r="G58" i="17"/>
  <c r="N85" i="17"/>
  <c r="M119" i="17"/>
  <c r="G125" i="17"/>
  <c r="I55" i="17"/>
  <c r="R83" i="17"/>
  <c r="R117" i="17" s="1"/>
  <c r="Q117" i="17"/>
  <c r="H57" i="17"/>
  <c r="G100" i="17"/>
  <c r="G103" i="17" s="1"/>
  <c r="G29" i="17"/>
  <c r="G74" i="17" s="1"/>
  <c r="H125" i="17"/>
  <c r="H103" i="17"/>
  <c r="H127" i="17" s="1"/>
  <c r="H128" i="17" s="1"/>
  <c r="K3" i="17"/>
  <c r="J4" i="17"/>
  <c r="J55" i="17"/>
  <c r="I15" i="17"/>
  <c r="G59" i="17"/>
  <c r="G62" i="17" s="1"/>
  <c r="P88" i="17" l="1"/>
  <c r="O122" i="17"/>
  <c r="M80" i="17"/>
  <c r="L113" i="17"/>
  <c r="M70" i="17"/>
  <c r="L79" i="17"/>
  <c r="L112" i="17" s="1"/>
  <c r="N77" i="17"/>
  <c r="M110" i="17"/>
  <c r="K78" i="17"/>
  <c r="J111" i="17"/>
  <c r="J114" i="17" s="1"/>
  <c r="I118" i="17"/>
  <c r="J84" i="17"/>
  <c r="G127" i="17"/>
  <c r="G128" i="17" s="1"/>
  <c r="G63" i="17"/>
  <c r="J15" i="17"/>
  <c r="I22" i="17"/>
  <c r="I71" i="17" s="1"/>
  <c r="I99" i="17"/>
  <c r="I57" i="17"/>
  <c r="I28" i="17"/>
  <c r="I73" i="17" s="1"/>
  <c r="I26" i="17"/>
  <c r="J41" i="17"/>
  <c r="I106" i="17"/>
  <c r="O85" i="17"/>
  <c r="N119" i="17"/>
  <c r="J26" i="17"/>
  <c r="L3" i="17"/>
  <c r="K4" i="17"/>
  <c r="H58" i="17"/>
  <c r="H62" i="17"/>
  <c r="H63" i="17" s="1"/>
  <c r="I59" i="17"/>
  <c r="I61" i="17" s="1"/>
  <c r="I101" i="17"/>
  <c r="T117" i="17"/>
  <c r="G61" i="17"/>
  <c r="K41" i="17"/>
  <c r="Q88" i="17" l="1"/>
  <c r="P122" i="17"/>
  <c r="N80" i="17"/>
  <c r="M113" i="17"/>
  <c r="N70" i="17"/>
  <c r="M79" i="17"/>
  <c r="M112" i="17" s="1"/>
  <c r="L78" i="17"/>
  <c r="K111" i="17"/>
  <c r="K114" i="17" s="1"/>
  <c r="O77" i="17"/>
  <c r="N110" i="17"/>
  <c r="I123" i="17"/>
  <c r="K84" i="17"/>
  <c r="J118" i="17"/>
  <c r="J123" i="17" s="1"/>
  <c r="I29" i="17"/>
  <c r="I74" i="17"/>
  <c r="J99" i="17"/>
  <c r="J28" i="17"/>
  <c r="J29" i="17" s="1"/>
  <c r="J59" i="17"/>
  <c r="J61" i="17" s="1"/>
  <c r="J101" i="17"/>
  <c r="I100" i="17"/>
  <c r="I103" i="17" s="1"/>
  <c r="K15" i="17"/>
  <c r="J22" i="17"/>
  <c r="J71" i="17" s="1"/>
  <c r="K55" i="17"/>
  <c r="J100" i="17"/>
  <c r="I58" i="17"/>
  <c r="I62" i="17"/>
  <c r="I63" i="17" s="1"/>
  <c r="I125" i="17"/>
  <c r="K26" i="17"/>
  <c r="P85" i="17"/>
  <c r="O119" i="17"/>
  <c r="M3" i="17"/>
  <c r="L4" i="17"/>
  <c r="L55" i="17"/>
  <c r="J106" i="17"/>
  <c r="R88" i="17" l="1"/>
  <c r="R122" i="17" s="1"/>
  <c r="Q122" i="17"/>
  <c r="O80" i="17"/>
  <c r="N113" i="17"/>
  <c r="N79" i="17"/>
  <c r="N112" i="17" s="1"/>
  <c r="O70" i="17"/>
  <c r="L84" i="17"/>
  <c r="K118" i="17"/>
  <c r="K123" i="17" s="1"/>
  <c r="P77" i="17"/>
  <c r="O110" i="17"/>
  <c r="M78" i="17"/>
  <c r="L111" i="17"/>
  <c r="J73" i="17"/>
  <c r="I127" i="17"/>
  <c r="I128" i="17" s="1"/>
  <c r="J57" i="17"/>
  <c r="N3" i="17"/>
  <c r="M4" i="17"/>
  <c r="J125" i="17"/>
  <c r="J103" i="17"/>
  <c r="J127" i="17" s="1"/>
  <c r="J128" i="17" s="1"/>
  <c r="K29" i="17"/>
  <c r="K100" i="17"/>
  <c r="K22" i="17"/>
  <c r="J74" i="17"/>
  <c r="L15" i="17"/>
  <c r="L41" i="17"/>
  <c r="Q85" i="17"/>
  <c r="P119" i="17"/>
  <c r="K106" i="17"/>
  <c r="K101" i="17"/>
  <c r="K99" i="17"/>
  <c r="K28" i="17"/>
  <c r="K73" i="17" s="1"/>
  <c r="T122" i="17" l="1"/>
  <c r="P80" i="17"/>
  <c r="O113" i="17"/>
  <c r="P70" i="17"/>
  <c r="O79" i="17"/>
  <c r="O112" i="17" s="1"/>
  <c r="Q77" i="17"/>
  <c r="P110" i="17"/>
  <c r="L114" i="17"/>
  <c r="M111" i="17"/>
  <c r="M114" i="17" s="1"/>
  <c r="N78" i="17"/>
  <c r="M84" i="17"/>
  <c r="L118" i="17"/>
  <c r="L123" i="17" s="1"/>
  <c r="L57" i="17"/>
  <c r="L28" i="17"/>
  <c r="L29" i="17" s="1"/>
  <c r="L99" i="17"/>
  <c r="L101" i="17"/>
  <c r="L22" i="17"/>
  <c r="L71" i="17" s="1"/>
  <c r="L73" i="17"/>
  <c r="L106" i="17"/>
  <c r="K71" i="17"/>
  <c r="M26" i="17"/>
  <c r="M55" i="17"/>
  <c r="L100" i="17"/>
  <c r="K74" i="17"/>
  <c r="M41" i="17"/>
  <c r="L26" i="17"/>
  <c r="K57" i="17"/>
  <c r="O3" i="17"/>
  <c r="N4" i="17"/>
  <c r="K125" i="17"/>
  <c r="K103" i="17"/>
  <c r="K127" i="17" s="1"/>
  <c r="K128" i="17" s="1"/>
  <c r="R85" i="17"/>
  <c r="R119" i="17" s="1"/>
  <c r="Q119" i="17"/>
  <c r="N55" i="17"/>
  <c r="N41" i="17"/>
  <c r="K59" i="17"/>
  <c r="J58" i="17"/>
  <c r="J62" i="17"/>
  <c r="M15" i="17"/>
  <c r="Q80" i="17" l="1"/>
  <c r="P113" i="17"/>
  <c r="P79" i="17"/>
  <c r="P112" i="17" s="1"/>
  <c r="Q70" i="17"/>
  <c r="O78" i="17"/>
  <c r="N111" i="17"/>
  <c r="N114" i="17" s="1"/>
  <c r="R77" i="17"/>
  <c r="R110" i="17" s="1"/>
  <c r="Q110" i="17"/>
  <c r="N84" i="17"/>
  <c r="M118" i="17"/>
  <c r="L59" i="17"/>
  <c r="L61" i="17" s="1"/>
  <c r="K61" i="17"/>
  <c r="L74" i="17"/>
  <c r="J63" i="17"/>
  <c r="T119" i="17"/>
  <c r="M57" i="17"/>
  <c r="N15" i="17"/>
  <c r="K58" i="17"/>
  <c r="K62" i="17"/>
  <c r="K63" i="17" s="1"/>
  <c r="P3" i="17"/>
  <c r="O4" i="17"/>
  <c r="O15" i="17"/>
  <c r="O41" i="17"/>
  <c r="L125" i="17"/>
  <c r="L103" i="17"/>
  <c r="M101" i="17"/>
  <c r="M59" i="17"/>
  <c r="M61" i="17" s="1"/>
  <c r="M106" i="17"/>
  <c r="M71" i="17"/>
  <c r="L62" i="17"/>
  <c r="L63" i="17" s="1"/>
  <c r="L58" i="17"/>
  <c r="M28" i="17"/>
  <c r="M73" i="17" s="1"/>
  <c r="M99" i="17"/>
  <c r="M22" i="17"/>
  <c r="R80" i="17" l="1"/>
  <c r="R113" i="17" s="1"/>
  <c r="Q113" i="17"/>
  <c r="Q79" i="17"/>
  <c r="Q112" i="17" s="1"/>
  <c r="R70" i="17"/>
  <c r="R79" i="17" s="1"/>
  <c r="R112" i="17" s="1"/>
  <c r="T112" i="17"/>
  <c r="M123" i="17"/>
  <c r="O84" i="17"/>
  <c r="N118" i="17"/>
  <c r="N123" i="17" s="1"/>
  <c r="T110" i="17"/>
  <c r="P78" i="17"/>
  <c r="O111" i="17"/>
  <c r="O114" i="17" s="1"/>
  <c r="M62" i="17"/>
  <c r="M63" i="17" s="1"/>
  <c r="M58" i="17"/>
  <c r="O55" i="17"/>
  <c r="N106" i="17"/>
  <c r="N101" i="17"/>
  <c r="N59" i="17"/>
  <c r="N61" i="17" s="1"/>
  <c r="Q3" i="17"/>
  <c r="P4" i="17"/>
  <c r="N28" i="17"/>
  <c r="N29" i="17" s="1"/>
  <c r="N99" i="17"/>
  <c r="N22" i="17"/>
  <c r="N71" i="17" s="1"/>
  <c r="N73" i="17"/>
  <c r="P15" i="17"/>
  <c r="P41" i="17"/>
  <c r="M29" i="17"/>
  <c r="M74" i="17" s="1"/>
  <c r="O26" i="17"/>
  <c r="L127" i="17"/>
  <c r="L128" i="17" s="1"/>
  <c r="M125" i="17"/>
  <c r="M100" i="17"/>
  <c r="M103" i="17" s="1"/>
  <c r="N100" i="17"/>
  <c r="N26" i="17"/>
  <c r="T113" i="17" l="1"/>
  <c r="Q78" i="17"/>
  <c r="P111" i="17"/>
  <c r="P114" i="17" s="1"/>
  <c r="P84" i="17"/>
  <c r="O118" i="17"/>
  <c r="O123" i="17" s="1"/>
  <c r="M127" i="17"/>
  <c r="M128" i="17" s="1"/>
  <c r="O99" i="17"/>
  <c r="O28" i="17"/>
  <c r="O29" i="17" s="1"/>
  <c r="O22" i="17"/>
  <c r="P26" i="17"/>
  <c r="R3" i="17"/>
  <c r="R4" i="17" s="1"/>
  <c r="Q4" i="17"/>
  <c r="Q41" i="17"/>
  <c r="P55" i="17"/>
  <c r="O100" i="17"/>
  <c r="O101" i="17"/>
  <c r="O59" i="17"/>
  <c r="O61" i="17" s="1"/>
  <c r="N74" i="17"/>
  <c r="O71" i="17"/>
  <c r="O106" i="17"/>
  <c r="N125" i="17"/>
  <c r="N103" i="17"/>
  <c r="N127" i="17" s="1"/>
  <c r="N128" i="17" s="1"/>
  <c r="N57" i="17"/>
  <c r="Q84" i="17" l="1"/>
  <c r="P118" i="17"/>
  <c r="P123" i="17" s="1"/>
  <c r="R78" i="17"/>
  <c r="R111" i="17" s="1"/>
  <c r="Q111" i="17"/>
  <c r="Q114" i="17" s="1"/>
  <c r="N62" i="17"/>
  <c r="N63" i="17" s="1"/>
  <c r="N58" i="17"/>
  <c r="Q26" i="17"/>
  <c r="T52" i="17"/>
  <c r="T35" i="17"/>
  <c r="T49" i="17"/>
  <c r="T39" i="17"/>
  <c r="T38" i="17"/>
  <c r="T53" i="17"/>
  <c r="T46" i="17"/>
  <c r="O73" i="17"/>
  <c r="P100" i="17"/>
  <c r="P106" i="17"/>
  <c r="P101" i="17"/>
  <c r="Q55" i="17"/>
  <c r="Q15" i="17"/>
  <c r="O74" i="17"/>
  <c r="O57" i="17"/>
  <c r="P99" i="17"/>
  <c r="P28" i="17"/>
  <c r="P73" i="17" s="1"/>
  <c r="O125" i="17"/>
  <c r="O103" i="17"/>
  <c r="O127" i="17" s="1"/>
  <c r="O128" i="17" s="1"/>
  <c r="P22" i="17"/>
  <c r="P71" i="17" s="1"/>
  <c r="T14" i="17"/>
  <c r="T13" i="17"/>
  <c r="T9" i="17"/>
  <c r="T11" i="17"/>
  <c r="T111" i="17" l="1"/>
  <c r="R114" i="17"/>
  <c r="T114" i="17" s="1"/>
  <c r="R84" i="17"/>
  <c r="R118" i="17" s="1"/>
  <c r="Q118" i="17"/>
  <c r="Q123" i="17" s="1"/>
  <c r="Q101" i="17"/>
  <c r="R99" i="17"/>
  <c r="R57" i="17"/>
  <c r="R28" i="17"/>
  <c r="T28" i="17" s="1"/>
  <c r="T18" i="17"/>
  <c r="P57" i="17"/>
  <c r="R106" i="17"/>
  <c r="T107" i="17"/>
  <c r="R22" i="17"/>
  <c r="T105" i="17"/>
  <c r="T20" i="17"/>
  <c r="R41" i="17"/>
  <c r="T10" i="17"/>
  <c r="T41" i="17" s="1"/>
  <c r="O62" i="17"/>
  <c r="O63" i="17" s="1"/>
  <c r="O58" i="17"/>
  <c r="R26" i="17"/>
  <c r="T25" i="17"/>
  <c r="Q99" i="17"/>
  <c r="Q57" i="17"/>
  <c r="Q28" i="17"/>
  <c r="Q29" i="17" s="1"/>
  <c r="Q100" i="17"/>
  <c r="Q22" i="17"/>
  <c r="Q59" i="17" s="1"/>
  <c r="Q61" i="17" s="1"/>
  <c r="R15" i="17"/>
  <c r="T15" i="17" s="1"/>
  <c r="V125" i="17" s="1"/>
  <c r="T8" i="17"/>
  <c r="P125" i="17"/>
  <c r="P103" i="17"/>
  <c r="P127" i="17" s="1"/>
  <c r="P128" i="17" s="1"/>
  <c r="R55" i="17"/>
  <c r="T12" i="17"/>
  <c r="T55" i="17" s="1"/>
  <c r="P29" i="17"/>
  <c r="P74" i="17" s="1"/>
  <c r="R71" i="17"/>
  <c r="T102" i="17"/>
  <c r="R101" i="17"/>
  <c r="R59" i="17"/>
  <c r="T21" i="17"/>
  <c r="P59" i="17"/>
  <c r="P61" i="17" s="1"/>
  <c r="Q106" i="17"/>
  <c r="T30" i="17"/>
  <c r="T101" i="17" l="1"/>
  <c r="R123" i="17"/>
  <c r="T123" i="17" s="1"/>
  <c r="T118" i="17"/>
  <c r="Q71" i="17"/>
  <c r="Q62" i="17"/>
  <c r="Q63" i="17" s="1"/>
  <c r="Q58" i="17"/>
  <c r="R73" i="17"/>
  <c r="Q74" i="17"/>
  <c r="R62" i="17"/>
  <c r="R58" i="17"/>
  <c r="T57" i="17"/>
  <c r="T58" i="17" s="1"/>
  <c r="R125" i="17"/>
  <c r="T99" i="17"/>
  <c r="Q73" i="17"/>
  <c r="Q125" i="17"/>
  <c r="Q103" i="17"/>
  <c r="Q127" i="17" s="1"/>
  <c r="Q128" i="17" s="1"/>
  <c r="T22" i="17"/>
  <c r="P62" i="17"/>
  <c r="P63" i="17" s="1"/>
  <c r="P58" i="17"/>
  <c r="R29" i="17"/>
  <c r="T29" i="17" s="1"/>
  <c r="T26" i="17"/>
  <c r="R74" i="17"/>
  <c r="T106" i="17"/>
  <c r="R61" i="17"/>
  <c r="T59" i="17"/>
  <c r="T61" i="17" s="1"/>
  <c r="R100" i="17"/>
  <c r="T100" i="17" s="1"/>
  <c r="T19" i="17"/>
  <c r="T125" i="17" l="1"/>
  <c r="V126" i="17" s="1"/>
  <c r="V127" i="17" s="1"/>
  <c r="R103" i="17"/>
  <c r="R63" i="17"/>
  <c r="T62" i="17"/>
  <c r="T63" i="17" s="1"/>
  <c r="R127" i="17"/>
  <c r="R128" i="17" s="1"/>
  <c r="T103" i="17"/>
  <c r="T127" i="17" s="1"/>
  <c r="T128" i="17" s="1"/>
  <c r="G77" i="7" l="1"/>
  <c r="G76" i="7"/>
  <c r="G59" i="7"/>
  <c r="G58" i="7"/>
  <c r="G116" i="7"/>
  <c r="H116" i="7" s="1"/>
  <c r="G115" i="7"/>
  <c r="H115" i="7" s="1"/>
  <c r="G16" i="7" l="1"/>
  <c r="G47" i="4" l="1"/>
  <c r="C43" i="16"/>
  <c r="A43" i="16"/>
  <c r="C23" i="16"/>
  <c r="A23" i="16"/>
  <c r="G64" i="7"/>
  <c r="F64" i="7"/>
  <c r="G61" i="7"/>
  <c r="F61" i="7"/>
  <c r="C74" i="16"/>
  <c r="A74" i="16"/>
  <c r="C66" i="16"/>
  <c r="C67" i="16"/>
  <c r="C68" i="16"/>
  <c r="C69" i="16"/>
  <c r="C70" i="16"/>
  <c r="C71" i="16"/>
  <c r="C72" i="16"/>
  <c r="A66" i="16"/>
  <c r="A67" i="16"/>
  <c r="A68" i="16"/>
  <c r="A69" i="16"/>
  <c r="A70" i="16"/>
  <c r="A71" i="16"/>
  <c r="A72" i="16"/>
  <c r="C123" i="16"/>
  <c r="C124" i="16"/>
  <c r="C133" i="16"/>
  <c r="C134" i="16"/>
  <c r="C132" i="16"/>
  <c r="C129" i="16"/>
  <c r="C130" i="16"/>
  <c r="C128" i="16"/>
  <c r="A133" i="16"/>
  <c r="A134" i="16"/>
  <c r="A132" i="16"/>
  <c r="A129" i="16"/>
  <c r="A130" i="16"/>
  <c r="A128" i="16"/>
  <c r="C119" i="16"/>
  <c r="C116" i="16"/>
  <c r="C115" i="16"/>
  <c r="C113" i="16"/>
  <c r="C105" i="16"/>
  <c r="C103" i="16"/>
  <c r="C118" i="16"/>
  <c r="C114" i="16"/>
  <c r="C107" i="16"/>
  <c r="C108" i="16"/>
  <c r="C109" i="16"/>
  <c r="C110" i="16"/>
  <c r="C111" i="16"/>
  <c r="C94" i="16"/>
  <c r="C95" i="16"/>
  <c r="C96" i="16"/>
  <c r="C97" i="16"/>
  <c r="C98" i="16"/>
  <c r="C99" i="16"/>
  <c r="C100" i="16"/>
  <c r="C101" i="16"/>
  <c r="C102" i="16"/>
  <c r="C93" i="16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O26" i="7"/>
  <c r="F104" i="7"/>
  <c r="F105" i="7"/>
  <c r="F106" i="7"/>
  <c r="F108" i="7"/>
  <c r="F109" i="7"/>
  <c r="F110" i="7"/>
  <c r="F111" i="7"/>
  <c r="F36" i="7"/>
  <c r="O36" i="7" s="1"/>
  <c r="F112" i="7"/>
  <c r="F113" i="7"/>
  <c r="F114" i="7"/>
  <c r="F60" i="7"/>
  <c r="F63" i="7"/>
  <c r="A119" i="16"/>
  <c r="A118" i="16"/>
  <c r="A116" i="16"/>
  <c r="A114" i="16"/>
  <c r="A107" i="16"/>
  <c r="A108" i="16"/>
  <c r="A109" i="16"/>
  <c r="A110" i="16"/>
  <c r="A111" i="16"/>
  <c r="A105" i="16"/>
  <c r="A103" i="16"/>
  <c r="A94" i="16"/>
  <c r="A95" i="16"/>
  <c r="A96" i="16"/>
  <c r="A97" i="16"/>
  <c r="A98" i="16"/>
  <c r="A99" i="16"/>
  <c r="A100" i="16"/>
  <c r="A101" i="16"/>
  <c r="A102" i="16"/>
  <c r="A93" i="16"/>
  <c r="C57" i="16"/>
  <c r="C58" i="16"/>
  <c r="C59" i="16"/>
  <c r="C60" i="16"/>
  <c r="C61" i="16"/>
  <c r="C62" i="16"/>
  <c r="C63" i="16"/>
  <c r="C64" i="16"/>
  <c r="C65" i="16"/>
  <c r="C56" i="16"/>
  <c r="C82" i="16"/>
  <c r="C83" i="16"/>
  <c r="C81" i="16"/>
  <c r="C79" i="16"/>
  <c r="C78" i="16"/>
  <c r="C90" i="16"/>
  <c r="A83" i="16"/>
  <c r="A82" i="16"/>
  <c r="A81" i="16"/>
  <c r="A79" i="16"/>
  <c r="A78" i="16"/>
  <c r="G95" i="7"/>
  <c r="H95" i="7" s="1"/>
  <c r="A63" i="16"/>
  <c r="A64" i="16"/>
  <c r="A65" i="16"/>
  <c r="A57" i="16"/>
  <c r="A58" i="16"/>
  <c r="A59" i="16"/>
  <c r="A60" i="16"/>
  <c r="A61" i="16"/>
  <c r="A62" i="16"/>
  <c r="A56" i="16"/>
  <c r="C55" i="16"/>
  <c r="C53" i="16"/>
  <c r="C54" i="16"/>
  <c r="C52" i="16"/>
  <c r="C50" i="16"/>
  <c r="C51" i="16"/>
  <c r="C49" i="16"/>
  <c r="A55" i="16"/>
  <c r="A54" i="16"/>
  <c r="A53" i="16"/>
  <c r="A52" i="16"/>
  <c r="A51" i="16"/>
  <c r="A50" i="16"/>
  <c r="C47" i="16"/>
  <c r="A47" i="16"/>
  <c r="A49" i="16"/>
  <c r="C48" i="16"/>
  <c r="C46" i="16"/>
  <c r="A48" i="16"/>
  <c r="A46" i="16"/>
  <c r="C28" i="16"/>
  <c r="C29" i="16"/>
  <c r="C30" i="16"/>
  <c r="C31" i="16"/>
  <c r="C33" i="16"/>
  <c r="C34" i="16"/>
  <c r="C35" i="16"/>
  <c r="C36" i="16"/>
  <c r="C27" i="16"/>
  <c r="A38" i="16"/>
  <c r="A39" i="16"/>
  <c r="A37" i="16"/>
  <c r="A33" i="16"/>
  <c r="A34" i="16"/>
  <c r="A35" i="16"/>
  <c r="A36" i="16"/>
  <c r="A28" i="16"/>
  <c r="A29" i="16"/>
  <c r="A30" i="16"/>
  <c r="A31" i="16"/>
  <c r="A27" i="16"/>
  <c r="C12" i="16"/>
  <c r="A22" i="16"/>
  <c r="A42" i="16"/>
  <c r="C42" i="16"/>
  <c r="C22" i="16"/>
  <c r="C14" i="16"/>
  <c r="C15" i="16"/>
  <c r="C16" i="16"/>
  <c r="C13" i="16"/>
  <c r="C8" i="16"/>
  <c r="C9" i="16"/>
  <c r="C10" i="16"/>
  <c r="C11" i="16"/>
  <c r="C7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C136" i="16" l="1"/>
  <c r="O40" i="7"/>
  <c r="H61" i="7"/>
  <c r="H64" i="7"/>
  <c r="G31" i="7" l="1"/>
  <c r="F31" i="7"/>
  <c r="O31" i="7" s="1"/>
  <c r="G28" i="7"/>
  <c r="F28" i="7"/>
  <c r="O28" i="7" s="1"/>
  <c r="F45" i="7"/>
  <c r="F46" i="7"/>
  <c r="F47" i="7"/>
  <c r="F48" i="7"/>
  <c r="F41" i="7"/>
  <c r="O41" i="7" s="1"/>
  <c r="F42" i="7"/>
  <c r="F43" i="7"/>
  <c r="F44" i="7"/>
  <c r="F39" i="7"/>
  <c r="F17" i="7"/>
  <c r="F18" i="7"/>
  <c r="F19" i="7"/>
  <c r="F27" i="7"/>
  <c r="O27" i="7" s="1"/>
  <c r="F20" i="7"/>
  <c r="F33" i="7"/>
  <c r="F21" i="7"/>
  <c r="F29" i="7"/>
  <c r="F22" i="7"/>
  <c r="F30" i="7"/>
  <c r="F23" i="7"/>
  <c r="F34" i="7"/>
  <c r="F24" i="7"/>
  <c r="F25" i="7"/>
  <c r="F35" i="7"/>
  <c r="O35" i="7" s="1"/>
  <c r="F16" i="7"/>
  <c r="G35" i="7"/>
  <c r="G25" i="7"/>
  <c r="F38" i="7" l="1"/>
  <c r="F51" i="7"/>
  <c r="H31" i="7"/>
  <c r="H28" i="7"/>
  <c r="H35" i="7"/>
  <c r="D13" i="7" l="1"/>
  <c r="D52" i="7" s="1"/>
  <c r="G67" i="7" l="1"/>
  <c r="G68" i="7"/>
  <c r="G69" i="7"/>
  <c r="G70" i="7"/>
  <c r="G66" i="7"/>
  <c r="G71" i="7" l="1"/>
  <c r="G56" i="7" l="1"/>
  <c r="G100" i="7" l="1"/>
  <c r="G99" i="7"/>
  <c r="G98" i="7"/>
  <c r="G97" i="7"/>
  <c r="G96" i="7"/>
  <c r="G114" i="7"/>
  <c r="G113" i="7"/>
  <c r="G112" i="7"/>
  <c r="G36" i="7"/>
  <c r="G111" i="7"/>
  <c r="G110" i="7"/>
  <c r="G109" i="7"/>
  <c r="G26" i="7"/>
  <c r="G101" i="7"/>
  <c r="G40" i="7"/>
  <c r="G79" i="7" s="1"/>
  <c r="H79" i="7" s="1"/>
  <c r="G60" i="7"/>
  <c r="G63" i="7"/>
  <c r="H63" i="7" s="1"/>
  <c r="G57" i="7"/>
  <c r="G75" i="7" s="1"/>
  <c r="H109" i="7" l="1"/>
  <c r="H112" i="7"/>
  <c r="H113" i="7"/>
  <c r="H96" i="7"/>
  <c r="H99" i="7"/>
  <c r="H114" i="7"/>
  <c r="H111" i="7"/>
  <c r="H36" i="7"/>
  <c r="H101" i="7"/>
  <c r="H110" i="7"/>
  <c r="H26" i="7"/>
  <c r="H98" i="7"/>
  <c r="H100" i="7"/>
  <c r="H97" i="7"/>
  <c r="H60" i="7"/>
  <c r="O33" i="7" l="1"/>
  <c r="O29" i="7"/>
  <c r="O22" i="7"/>
  <c r="O30" i="7"/>
  <c r="O23" i="7"/>
  <c r="O34" i="7"/>
  <c r="O24" i="7"/>
  <c r="O25" i="7"/>
  <c r="O17" i="7"/>
  <c r="O16" i="7"/>
  <c r="G6" i="7"/>
  <c r="G43" i="7"/>
  <c r="H105" i="7" s="1"/>
  <c r="H25" i="7"/>
  <c r="G24" i="7"/>
  <c r="H24" i="7" s="1"/>
  <c r="G34" i="7"/>
  <c r="H34" i="7" s="1"/>
  <c r="G23" i="7"/>
  <c r="H23" i="7" s="1"/>
  <c r="G30" i="7"/>
  <c r="H30" i="7" s="1"/>
  <c r="G22" i="7"/>
  <c r="H22" i="7" s="1"/>
  <c r="G29" i="7"/>
  <c r="H29" i="7" s="1"/>
  <c r="G21" i="7"/>
  <c r="H21" i="7" s="1"/>
  <c r="H33" i="7"/>
  <c r="G20" i="7"/>
  <c r="G27" i="7"/>
  <c r="G19" i="7"/>
  <c r="G18" i="7"/>
  <c r="G17" i="7"/>
  <c r="G82" i="7" l="1"/>
  <c r="H82" i="7" s="1"/>
  <c r="G89" i="7"/>
  <c r="H89" i="7" s="1"/>
  <c r="O21" i="7"/>
  <c r="H18" i="7"/>
  <c r="H19" i="7"/>
  <c r="H20" i="7"/>
  <c r="H27" i="7"/>
  <c r="H17" i="7"/>
  <c r="O20" i="7"/>
  <c r="O19" i="7"/>
  <c r="O18" i="7"/>
  <c r="H16" i="7"/>
  <c r="H38" i="7" l="1"/>
  <c r="O38" i="7"/>
  <c r="B54" i="4" l="1"/>
  <c r="K68" i="4" s="1"/>
  <c r="J79" i="4" s="1"/>
  <c r="B48" i="4" s="1"/>
  <c r="E90" i="16" s="1"/>
  <c r="D90" i="16" s="1"/>
  <c r="G48" i="7" l="1"/>
  <c r="G108" i="7" s="1"/>
  <c r="H108" i="7" s="1"/>
  <c r="G47" i="7"/>
  <c r="G46" i="7"/>
  <c r="G45" i="7"/>
  <c r="G106" i="7" s="1"/>
  <c r="H106" i="7" s="1"/>
  <c r="G44" i="7"/>
  <c r="G42" i="7"/>
  <c r="G104" i="7" s="1"/>
  <c r="H104" i="7" s="1"/>
  <c r="G41" i="7"/>
  <c r="G80" i="7" s="1"/>
  <c r="H80" i="7" s="1"/>
  <c r="G39" i="7"/>
  <c r="G78" i="7" s="1"/>
  <c r="H78" i="7" s="1"/>
  <c r="G84" i="7" l="1"/>
  <c r="H84" i="7" s="1"/>
  <c r="G91" i="7"/>
  <c r="H91" i="7" s="1"/>
  <c r="G85" i="7"/>
  <c r="H85" i="7" s="1"/>
  <c r="G92" i="7"/>
  <c r="H92" i="7" s="1"/>
  <c r="G81" i="7"/>
  <c r="H81" i="7" s="1"/>
  <c r="G88" i="7"/>
  <c r="H88" i="7" s="1"/>
  <c r="G86" i="7"/>
  <c r="H86" i="7" s="1"/>
  <c r="G93" i="7"/>
  <c r="H93" i="7" s="1"/>
  <c r="G83" i="7"/>
  <c r="H83" i="7" s="1"/>
  <c r="G90" i="7"/>
  <c r="H90" i="7" s="1"/>
  <c r="G87" i="7"/>
  <c r="H87" i="7" s="1"/>
  <c r="G94" i="7"/>
  <c r="H94" i="7" s="1"/>
  <c r="O48" i="7"/>
  <c r="H48" i="7"/>
  <c r="O47" i="7"/>
  <c r="H47" i="7"/>
  <c r="G10" i="7"/>
  <c r="G74" i="7" s="1"/>
  <c r="G9" i="7"/>
  <c r="G73" i="7" s="1"/>
  <c r="G5" i="7"/>
  <c r="G4" i="7"/>
  <c r="G3" i="7"/>
  <c r="G8" i="7" l="1"/>
  <c r="G72" i="7" s="1"/>
  <c r="G7" i="7"/>
  <c r="G2" i="7"/>
  <c r="O10" i="7" l="1"/>
  <c r="O9" i="7"/>
  <c r="O8" i="7"/>
  <c r="O7" i="7"/>
  <c r="O4" i="7"/>
  <c r="O5" i="7"/>
  <c r="O45" i="7"/>
  <c r="O3" i="7" l="1"/>
  <c r="O46" i="7" l="1"/>
  <c r="B51" i="4" l="1"/>
  <c r="H45" i="7" l="1"/>
  <c r="O2" i="7" l="1"/>
  <c r="O13" i="7" s="1"/>
  <c r="H46" i="7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49" i="4" l="1"/>
  <c r="B50" i="4" s="1"/>
  <c r="D120" i="16" s="1"/>
  <c r="E120" i="16" s="1"/>
  <c r="C48" i="4"/>
  <c r="C47" i="4"/>
  <c r="B9" i="4"/>
  <c r="B8" i="4"/>
  <c r="B7" i="4"/>
  <c r="E62" i="7" l="1"/>
  <c r="F62" i="7" s="1"/>
  <c r="H62" i="7" s="1"/>
  <c r="E57" i="7"/>
  <c r="F57" i="7" s="1"/>
  <c r="E72" i="7"/>
  <c r="F72" i="7" s="1"/>
  <c r="H72" i="7" s="1"/>
  <c r="E73" i="7"/>
  <c r="F73" i="7" s="1"/>
  <c r="H73" i="7" s="1"/>
  <c r="E59" i="7"/>
  <c r="F59" i="7" s="1"/>
  <c r="H59" i="7" s="1"/>
  <c r="E74" i="7"/>
  <c r="F74" i="7" s="1"/>
  <c r="H74" i="7" s="1"/>
  <c r="E75" i="7"/>
  <c r="F75" i="7" s="1"/>
  <c r="H75" i="7" s="1"/>
  <c r="E76" i="7"/>
  <c r="F76" i="7" s="1"/>
  <c r="H76" i="7" s="1"/>
  <c r="E77" i="7"/>
  <c r="F77" i="7" s="1"/>
  <c r="H77" i="7" s="1"/>
  <c r="E58" i="7"/>
  <c r="F58" i="7" s="1"/>
  <c r="H58" i="7" s="1"/>
  <c r="E67" i="7"/>
  <c r="F67" i="7" s="1"/>
  <c r="H67" i="7" s="1"/>
  <c r="E68" i="7"/>
  <c r="F68" i="7" s="1"/>
  <c r="H68" i="7" s="1"/>
  <c r="E69" i="7"/>
  <c r="F69" i="7" s="1"/>
  <c r="H69" i="7" s="1"/>
  <c r="E70" i="7"/>
  <c r="F70" i="7" s="1"/>
  <c r="H70" i="7" s="1"/>
  <c r="E56" i="7"/>
  <c r="F56" i="7" s="1"/>
  <c r="H56" i="7" s="1"/>
  <c r="E66" i="7"/>
  <c r="F66" i="7" s="1"/>
  <c r="H66" i="7" s="1"/>
  <c r="E7" i="7"/>
  <c r="F7" i="7" s="1"/>
  <c r="E71" i="7"/>
  <c r="F71" i="7" s="1"/>
  <c r="H71" i="7" s="1"/>
  <c r="B52" i="4"/>
  <c r="D49" i="4"/>
  <c r="H40" i="7"/>
  <c r="H57" i="7"/>
  <c r="E6" i="7"/>
  <c r="F6" i="7" s="1"/>
  <c r="H6" i="7" s="1"/>
  <c r="E9" i="7"/>
  <c r="F9" i="7" s="1"/>
  <c r="H9" i="7" s="1"/>
  <c r="E10" i="7"/>
  <c r="F10" i="7" s="1"/>
  <c r="H10" i="7" s="1"/>
  <c r="E4" i="7"/>
  <c r="F4" i="7" s="1"/>
  <c r="H4" i="7" s="1"/>
  <c r="E8" i="7"/>
  <c r="F8" i="7" s="1"/>
  <c r="H8" i="7" s="1"/>
  <c r="H7" i="7"/>
  <c r="E2" i="7"/>
  <c r="E3" i="7"/>
  <c r="E5" i="7"/>
  <c r="G50" i="4"/>
  <c r="G52" i="4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B53" i="4" l="1"/>
  <c r="B55" i="4" s="1"/>
  <c r="F2" i="7"/>
  <c r="F5" i="7"/>
  <c r="H5" i="7" s="1"/>
  <c r="F3" i="7"/>
  <c r="H3" i="7" s="1"/>
  <c r="H41" i="7"/>
  <c r="H44" i="7"/>
  <c r="O44" i="7"/>
  <c r="H42" i="7"/>
  <c r="O42" i="7"/>
  <c r="F13" i="7" l="1"/>
  <c r="F52" i="7" s="1"/>
  <c r="D124" i="7" s="1"/>
  <c r="H2" i="7"/>
  <c r="H13" i="7" s="1"/>
  <c r="H39" i="7"/>
  <c r="O39" i="7"/>
  <c r="H43" i="7"/>
  <c r="O43" i="7"/>
  <c r="H51" i="7" l="1"/>
  <c r="H52" i="7" s="1"/>
  <c r="O51" i="7"/>
  <c r="O52" i="7" l="1"/>
  <c r="D125" i="7" l="1"/>
  <c r="I106" i="7" s="1"/>
  <c r="J106" i="7" s="1"/>
  <c r="K106" i="7" s="1"/>
  <c r="L106" i="7" s="1"/>
  <c r="V106" i="7" s="1"/>
  <c r="I91" i="7"/>
  <c r="J91" i="7" s="1"/>
  <c r="K91" i="7" s="1"/>
  <c r="L91" i="7" s="1"/>
  <c r="V91" i="7" s="1"/>
  <c r="I92" i="7"/>
  <c r="J92" i="7" s="1"/>
  <c r="K92" i="7" s="1"/>
  <c r="L92" i="7" s="1"/>
  <c r="V92" i="7" s="1"/>
  <c r="I94" i="7"/>
  <c r="J94" i="7" s="1"/>
  <c r="K94" i="7" s="1"/>
  <c r="L94" i="7" s="1"/>
  <c r="V94" i="7" s="1"/>
  <c r="I88" i="7"/>
  <c r="J88" i="7" s="1"/>
  <c r="K88" i="7" s="1"/>
  <c r="L88" i="7" s="1"/>
  <c r="V88" i="7" s="1"/>
  <c r="I80" i="7"/>
  <c r="J80" i="7" s="1"/>
  <c r="K80" i="7" s="1"/>
  <c r="L80" i="7" s="1"/>
  <c r="V80" i="7" s="1"/>
  <c r="I83" i="7"/>
  <c r="J83" i="7" s="1"/>
  <c r="K83" i="7" s="1"/>
  <c r="L83" i="7" s="1"/>
  <c r="V83" i="7" s="1"/>
  <c r="I79" i="7"/>
  <c r="J79" i="7" s="1"/>
  <c r="K79" i="7" s="1"/>
  <c r="L79" i="7" s="1"/>
  <c r="V79" i="7" s="1"/>
  <c r="I82" i="7"/>
  <c r="J82" i="7" s="1"/>
  <c r="K82" i="7" s="1"/>
  <c r="L82" i="7" s="1"/>
  <c r="V82" i="7" s="1"/>
  <c r="I78" i="7"/>
  <c r="J78" i="7" s="1"/>
  <c r="K78" i="7" s="1"/>
  <c r="L78" i="7" s="1"/>
  <c r="V78" i="7" s="1"/>
  <c r="I86" i="7"/>
  <c r="J86" i="7" s="1"/>
  <c r="K86" i="7" s="1"/>
  <c r="L86" i="7" s="1"/>
  <c r="V86" i="7" s="1"/>
  <c r="I84" i="7"/>
  <c r="J84" i="7" s="1"/>
  <c r="K84" i="7" s="1"/>
  <c r="L84" i="7" s="1"/>
  <c r="V84" i="7" s="1"/>
  <c r="I87" i="7"/>
  <c r="J87" i="7" s="1"/>
  <c r="K87" i="7" s="1"/>
  <c r="L87" i="7" s="1"/>
  <c r="V87" i="7" s="1"/>
  <c r="I85" i="7"/>
  <c r="J85" i="7" s="1"/>
  <c r="K85" i="7" s="1"/>
  <c r="L85" i="7" s="1"/>
  <c r="V85" i="7" s="1"/>
  <c r="I81" i="7"/>
  <c r="J81" i="7" s="1"/>
  <c r="K81" i="7" s="1"/>
  <c r="L81" i="7" s="1"/>
  <c r="V81" i="7" s="1"/>
  <c r="I28" i="7"/>
  <c r="J28" i="7" s="1"/>
  <c r="K28" i="7" s="1"/>
  <c r="L28" i="7" s="1"/>
  <c r="I35" i="7"/>
  <c r="J35" i="7" s="1"/>
  <c r="K35" i="7" s="1"/>
  <c r="L35" i="7" s="1"/>
  <c r="V35" i="7" s="1"/>
  <c r="I56" i="7"/>
  <c r="J56" i="7" s="1"/>
  <c r="K56" i="7" s="1"/>
  <c r="I70" i="7"/>
  <c r="J70" i="7" s="1"/>
  <c r="K70" i="7" s="1"/>
  <c r="I73" i="7"/>
  <c r="J73" i="7" s="1"/>
  <c r="K73" i="7" s="1"/>
  <c r="I76" i="7"/>
  <c r="J76" i="7" s="1"/>
  <c r="K76" i="7" s="1"/>
  <c r="L76" i="7" s="1"/>
  <c r="I67" i="7"/>
  <c r="J67" i="7" s="1"/>
  <c r="K67" i="7" s="1"/>
  <c r="I74" i="7"/>
  <c r="J74" i="7" s="1"/>
  <c r="K74" i="7" s="1"/>
  <c r="I68" i="7"/>
  <c r="J68" i="7" s="1"/>
  <c r="K68" i="7" s="1"/>
  <c r="I71" i="7"/>
  <c r="J71" i="7" s="1"/>
  <c r="K71" i="7" s="1"/>
  <c r="L71" i="7" s="1"/>
  <c r="I75" i="7"/>
  <c r="J75" i="7" s="1"/>
  <c r="K75" i="7" s="1"/>
  <c r="I77" i="7"/>
  <c r="J77" i="7" s="1"/>
  <c r="K77" i="7" s="1"/>
  <c r="L77" i="7" s="1"/>
  <c r="I69" i="7"/>
  <c r="J69" i="7" s="1"/>
  <c r="K69" i="7" s="1"/>
  <c r="I72" i="7"/>
  <c r="J72" i="7" s="1"/>
  <c r="K72" i="7" s="1"/>
  <c r="I66" i="7"/>
  <c r="J66" i="7" s="1"/>
  <c r="K66" i="7" s="1"/>
  <c r="I109" i="7"/>
  <c r="J109" i="7" s="1"/>
  <c r="K109" i="7" s="1"/>
  <c r="I36" i="7"/>
  <c r="J36" i="7" s="1"/>
  <c r="K36" i="7" s="1"/>
  <c r="L36" i="7" s="1"/>
  <c r="I99" i="7"/>
  <c r="J99" i="7" s="1"/>
  <c r="K99" i="7" s="1"/>
  <c r="I113" i="7"/>
  <c r="J113" i="7" s="1"/>
  <c r="K113" i="7" s="1"/>
  <c r="I114" i="7"/>
  <c r="J114" i="7" s="1"/>
  <c r="K114" i="7" s="1"/>
  <c r="I111" i="7"/>
  <c r="J111" i="7" s="1"/>
  <c r="K111" i="7" s="1"/>
  <c r="I112" i="7"/>
  <c r="J112" i="7" s="1"/>
  <c r="K112" i="7" s="1"/>
  <c r="I100" i="7"/>
  <c r="J100" i="7" s="1"/>
  <c r="K100" i="7" s="1"/>
  <c r="I98" i="7"/>
  <c r="J98" i="7" s="1"/>
  <c r="K98" i="7" s="1"/>
  <c r="I26" i="7"/>
  <c r="I110" i="7"/>
  <c r="J110" i="7" s="1"/>
  <c r="K110" i="7" s="1"/>
  <c r="I101" i="7"/>
  <c r="J101" i="7" s="1"/>
  <c r="K101" i="7" s="1"/>
  <c r="I60" i="7"/>
  <c r="J60" i="7" s="1"/>
  <c r="K60" i="7" s="1"/>
  <c r="L60" i="7" s="1"/>
  <c r="V60" i="7" s="1"/>
  <c r="I59" i="7"/>
  <c r="J59" i="7" s="1"/>
  <c r="K59" i="7" s="1"/>
  <c r="L59" i="7" s="1"/>
  <c r="I58" i="7"/>
  <c r="J58" i="7" s="1"/>
  <c r="K58" i="7" s="1"/>
  <c r="L58" i="7" s="1"/>
  <c r="I57" i="7"/>
  <c r="J57" i="7" s="1"/>
  <c r="K57" i="7" s="1"/>
  <c r="I97" i="7"/>
  <c r="J97" i="7" s="1"/>
  <c r="K97" i="7" s="1"/>
  <c r="I96" i="7"/>
  <c r="J96" i="7" s="1"/>
  <c r="K96" i="7" s="1"/>
  <c r="I40" i="7"/>
  <c r="J40" i="7" s="1"/>
  <c r="K40" i="7" s="1"/>
  <c r="L40" i="7" s="1"/>
  <c r="V40" i="7" s="1"/>
  <c r="I6" i="7"/>
  <c r="J6" i="7" s="1"/>
  <c r="K6" i="7" s="1"/>
  <c r="I29" i="7"/>
  <c r="J29" i="7" s="1"/>
  <c r="K29" i="7" s="1"/>
  <c r="I30" i="7"/>
  <c r="J30" i="7" s="1"/>
  <c r="K30" i="7" s="1"/>
  <c r="I34" i="7"/>
  <c r="J34" i="7" s="1"/>
  <c r="K34" i="7" s="1"/>
  <c r="I25" i="7"/>
  <c r="J25" i="7" s="1"/>
  <c r="K25" i="7" s="1"/>
  <c r="I21" i="7"/>
  <c r="J21" i="7" s="1"/>
  <c r="K21" i="7" s="1"/>
  <c r="I33" i="7"/>
  <c r="J33" i="7" s="1"/>
  <c r="K33" i="7" s="1"/>
  <c r="I22" i="7"/>
  <c r="J22" i="7" s="1"/>
  <c r="K22" i="7" s="1"/>
  <c r="I23" i="7"/>
  <c r="J23" i="7" s="1"/>
  <c r="K23" i="7" s="1"/>
  <c r="I24" i="7"/>
  <c r="J24" i="7" s="1"/>
  <c r="K24" i="7" s="1"/>
  <c r="I20" i="7"/>
  <c r="J20" i="7" s="1"/>
  <c r="K20" i="7" s="1"/>
  <c r="I18" i="7"/>
  <c r="J18" i="7" s="1"/>
  <c r="K18" i="7" s="1"/>
  <c r="I16" i="7"/>
  <c r="I19" i="7"/>
  <c r="J19" i="7" s="1"/>
  <c r="K19" i="7" s="1"/>
  <c r="I17" i="7"/>
  <c r="J17" i="7" s="1"/>
  <c r="K17" i="7" s="1"/>
  <c r="I27" i="7"/>
  <c r="J27" i="7" s="1"/>
  <c r="K27" i="7" s="1"/>
  <c r="I8" i="7"/>
  <c r="J8" i="7" s="1"/>
  <c r="K8" i="7" s="1"/>
  <c r="I4" i="7"/>
  <c r="J4" i="7" s="1"/>
  <c r="K4" i="7" s="1"/>
  <c r="L4" i="7" s="1"/>
  <c r="V4" i="7" s="1"/>
  <c r="I45" i="7"/>
  <c r="J45" i="7" s="1"/>
  <c r="K45" i="7" s="1"/>
  <c r="I43" i="7"/>
  <c r="J43" i="7" s="1"/>
  <c r="K43" i="7" s="1"/>
  <c r="I5" i="7"/>
  <c r="J5" i="7" s="1"/>
  <c r="K5" i="7" s="1"/>
  <c r="I39" i="7"/>
  <c r="I44" i="7"/>
  <c r="J44" i="7" s="1"/>
  <c r="K44" i="7" s="1"/>
  <c r="I47" i="7"/>
  <c r="J47" i="7" s="1"/>
  <c r="K47" i="7" s="1"/>
  <c r="I7" i="7"/>
  <c r="J7" i="7" s="1"/>
  <c r="K7" i="7" s="1"/>
  <c r="I48" i="7"/>
  <c r="J48" i="7" s="1"/>
  <c r="K48" i="7" s="1"/>
  <c r="I41" i="7"/>
  <c r="J41" i="7" s="1"/>
  <c r="K41" i="7" s="1"/>
  <c r="L41" i="7" s="1"/>
  <c r="I9" i="7"/>
  <c r="J9" i="7" s="1"/>
  <c r="K9" i="7" s="1"/>
  <c r="I46" i="7"/>
  <c r="J46" i="7" s="1"/>
  <c r="K46" i="7" s="1"/>
  <c r="I3" i="7"/>
  <c r="J3" i="7" s="1"/>
  <c r="K3" i="7" s="1"/>
  <c r="I10" i="7"/>
  <c r="J10" i="7" s="1"/>
  <c r="K10" i="7" s="1"/>
  <c r="L10" i="7" s="1"/>
  <c r="I42" i="7"/>
  <c r="J42" i="7" s="1"/>
  <c r="K42" i="7" s="1"/>
  <c r="I90" i="7" l="1"/>
  <c r="J90" i="7" s="1"/>
  <c r="K90" i="7" s="1"/>
  <c r="L90" i="7" s="1"/>
  <c r="V90" i="7" s="1"/>
  <c r="J26" i="7"/>
  <c r="K26" i="7" s="1"/>
  <c r="L26" i="7" s="1"/>
  <c r="V26" i="7" s="1"/>
  <c r="I93" i="7"/>
  <c r="J93" i="7" s="1"/>
  <c r="K93" i="7" s="1"/>
  <c r="L93" i="7" s="1"/>
  <c r="V93" i="7" s="1"/>
  <c r="I89" i="7"/>
  <c r="J89" i="7" s="1"/>
  <c r="K89" i="7" s="1"/>
  <c r="L89" i="7" s="1"/>
  <c r="V89" i="7" s="1"/>
  <c r="I31" i="7"/>
  <c r="J31" i="7" s="1"/>
  <c r="K31" i="7" s="1"/>
  <c r="L31" i="7" s="1"/>
  <c r="V31" i="7" s="1"/>
  <c r="I105" i="7"/>
  <c r="J105" i="7" s="1"/>
  <c r="K105" i="7" s="1"/>
  <c r="L105" i="7" s="1"/>
  <c r="V105" i="7" s="1"/>
  <c r="D39" i="16"/>
  <c r="E39" i="16" s="1"/>
  <c r="N77" i="7"/>
  <c r="V58" i="7"/>
  <c r="D18" i="16"/>
  <c r="E18" i="16" s="1"/>
  <c r="V59" i="7"/>
  <c r="D19" i="16"/>
  <c r="E19" i="16" s="1"/>
  <c r="N76" i="7"/>
  <c r="D38" i="16"/>
  <c r="E38" i="16" s="1"/>
  <c r="D33" i="16"/>
  <c r="E33" i="16" s="1"/>
  <c r="V71" i="7"/>
  <c r="V77" i="7"/>
  <c r="V10" i="7"/>
  <c r="N10" i="7"/>
  <c r="W10" i="7" s="1"/>
  <c r="D48" i="16"/>
  <c r="E48" i="16" s="1"/>
  <c r="V41" i="7"/>
  <c r="V76" i="7"/>
  <c r="N28" i="7"/>
  <c r="W28" i="7" s="1"/>
  <c r="V28" i="7"/>
  <c r="I108" i="7"/>
  <c r="J108" i="7" s="1"/>
  <c r="K108" i="7" s="1"/>
  <c r="L108" i="7" s="1"/>
  <c r="V108" i="7" s="1"/>
  <c r="I102" i="7"/>
  <c r="J102" i="7" s="1"/>
  <c r="K102" i="7" s="1"/>
  <c r="L102" i="7" s="1"/>
  <c r="V102" i="7" s="1"/>
  <c r="I104" i="7"/>
  <c r="J104" i="7" s="1"/>
  <c r="K104" i="7" s="1"/>
  <c r="L104" i="7" s="1"/>
  <c r="V104" i="7" s="1"/>
  <c r="I62" i="7"/>
  <c r="J62" i="7" s="1"/>
  <c r="K62" i="7" s="1"/>
  <c r="L62" i="7" s="1"/>
  <c r="D32" i="16" s="1"/>
  <c r="D9" i="16"/>
  <c r="E9" i="16" s="1"/>
  <c r="N4" i="7"/>
  <c r="W4" i="7" s="1"/>
  <c r="I103" i="7"/>
  <c r="J103" i="7" s="1"/>
  <c r="K103" i="7" s="1"/>
  <c r="L103" i="7" s="1"/>
  <c r="I95" i="7"/>
  <c r="J95" i="7" s="1"/>
  <c r="K95" i="7" s="1"/>
  <c r="L95" i="7" s="1"/>
  <c r="I49" i="7"/>
  <c r="J49" i="7" s="1"/>
  <c r="K49" i="7" s="1"/>
  <c r="L49" i="7" s="1"/>
  <c r="I107" i="7"/>
  <c r="J107" i="7" s="1"/>
  <c r="K107" i="7" s="1"/>
  <c r="L107" i="7" s="1"/>
  <c r="I2" i="7"/>
  <c r="I13" i="7" s="1"/>
  <c r="I32" i="7"/>
  <c r="J32" i="7" s="1"/>
  <c r="K32" i="7" s="1"/>
  <c r="L32" i="7" s="1"/>
  <c r="D112" i="16" s="1"/>
  <c r="I64" i="7"/>
  <c r="J64" i="7" s="1"/>
  <c r="K64" i="7" s="1"/>
  <c r="L64" i="7" s="1"/>
  <c r="I63" i="7"/>
  <c r="J63" i="7" s="1"/>
  <c r="K63" i="7" s="1"/>
  <c r="L63" i="7" s="1"/>
  <c r="I61" i="7"/>
  <c r="J61" i="7" s="1"/>
  <c r="K61" i="7" s="1"/>
  <c r="L61" i="7" s="1"/>
  <c r="I116" i="7"/>
  <c r="J116" i="7" s="1"/>
  <c r="K116" i="7" s="1"/>
  <c r="L116" i="7" s="1"/>
  <c r="D87" i="16" s="1"/>
  <c r="E87" i="16" s="1"/>
  <c r="I115" i="7"/>
  <c r="J115" i="7" s="1"/>
  <c r="K115" i="7" s="1"/>
  <c r="L115" i="7" s="1"/>
  <c r="D86" i="16" s="1"/>
  <c r="E86" i="16" s="1"/>
  <c r="N94" i="7"/>
  <c r="W94" i="7" s="1"/>
  <c r="D72" i="16"/>
  <c r="E72" i="16" s="1"/>
  <c r="N91" i="7"/>
  <c r="W91" i="7" s="1"/>
  <c r="D69" i="16"/>
  <c r="E69" i="16" s="1"/>
  <c r="D116" i="16"/>
  <c r="E116" i="16" s="1"/>
  <c r="N106" i="7"/>
  <c r="W106" i="7" s="1"/>
  <c r="N35" i="7"/>
  <c r="D123" i="16"/>
  <c r="E123" i="16" s="1"/>
  <c r="N92" i="7"/>
  <c r="W92" i="7" s="1"/>
  <c r="D70" i="16"/>
  <c r="E70" i="16" s="1"/>
  <c r="N89" i="7"/>
  <c r="W89" i="7" s="1"/>
  <c r="D67" i="16"/>
  <c r="E67" i="16" s="1"/>
  <c r="D108" i="16"/>
  <c r="E108" i="16" s="1"/>
  <c r="N90" i="7"/>
  <c r="W90" i="7" s="1"/>
  <c r="D68" i="16"/>
  <c r="E68" i="16" s="1"/>
  <c r="N88" i="7"/>
  <c r="W88" i="7" s="1"/>
  <c r="D66" i="16"/>
  <c r="E66" i="16" s="1"/>
  <c r="N93" i="7"/>
  <c r="W93" i="7" s="1"/>
  <c r="D115" i="16"/>
  <c r="E115" i="16" s="1"/>
  <c r="N87" i="7"/>
  <c r="W87" i="7" s="1"/>
  <c r="D65" i="16"/>
  <c r="E65" i="16" s="1"/>
  <c r="N82" i="7"/>
  <c r="W82" i="7" s="1"/>
  <c r="D60" i="16"/>
  <c r="E60" i="16" s="1"/>
  <c r="N84" i="7"/>
  <c r="W84" i="7" s="1"/>
  <c r="D62" i="16"/>
  <c r="E62" i="16" s="1"/>
  <c r="N79" i="7"/>
  <c r="W79" i="7" s="1"/>
  <c r="D57" i="16"/>
  <c r="E57" i="16" s="1"/>
  <c r="N81" i="7"/>
  <c r="W81" i="7" s="1"/>
  <c r="D59" i="16"/>
  <c r="E59" i="16" s="1"/>
  <c r="N86" i="7"/>
  <c r="W86" i="7" s="1"/>
  <c r="D64" i="16"/>
  <c r="E64" i="16" s="1"/>
  <c r="N83" i="7"/>
  <c r="W83" i="7" s="1"/>
  <c r="D61" i="16"/>
  <c r="E61" i="16" s="1"/>
  <c r="N85" i="7"/>
  <c r="W85" i="7" s="1"/>
  <c r="D63" i="16"/>
  <c r="E63" i="16" s="1"/>
  <c r="N78" i="7"/>
  <c r="W78" i="7" s="1"/>
  <c r="D56" i="16"/>
  <c r="E56" i="16" s="1"/>
  <c r="N80" i="7"/>
  <c r="W80" i="7" s="1"/>
  <c r="D58" i="16"/>
  <c r="E58" i="16" s="1"/>
  <c r="N59" i="7"/>
  <c r="W59" i="7" s="1"/>
  <c r="N58" i="7"/>
  <c r="W58" i="7" s="1"/>
  <c r="J39" i="7"/>
  <c r="K39" i="7" s="1"/>
  <c r="L39" i="7" s="1"/>
  <c r="L3" i="7"/>
  <c r="V3" i="7" s="1"/>
  <c r="L5" i="7"/>
  <c r="V5" i="7" s="1"/>
  <c r="L8" i="7"/>
  <c r="V8" i="7" s="1"/>
  <c r="L19" i="7"/>
  <c r="V19" i="7" s="1"/>
  <c r="L23" i="7"/>
  <c r="V23" i="7" s="1"/>
  <c r="L25" i="7"/>
  <c r="V25" i="7" s="1"/>
  <c r="L111" i="7"/>
  <c r="V111" i="7" s="1"/>
  <c r="V36" i="7"/>
  <c r="L69" i="7"/>
  <c r="V69" i="7" s="1"/>
  <c r="L68" i="7"/>
  <c r="V68" i="7" s="1"/>
  <c r="L47" i="7"/>
  <c r="V47" i="7" s="1"/>
  <c r="L43" i="7"/>
  <c r="V43" i="7" s="1"/>
  <c r="L27" i="7"/>
  <c r="V27" i="7" s="1"/>
  <c r="L22" i="7"/>
  <c r="V22" i="7" s="1"/>
  <c r="L34" i="7"/>
  <c r="V34" i="7" s="1"/>
  <c r="L6" i="7"/>
  <c r="V6" i="7" s="1"/>
  <c r="L96" i="7"/>
  <c r="V96" i="7" s="1"/>
  <c r="L98" i="7"/>
  <c r="V98" i="7" s="1"/>
  <c r="L114" i="7"/>
  <c r="V114" i="7" s="1"/>
  <c r="L109" i="7"/>
  <c r="V109" i="7" s="1"/>
  <c r="L74" i="7"/>
  <c r="V74" i="7" s="1"/>
  <c r="L73" i="7"/>
  <c r="V73" i="7" s="1"/>
  <c r="L42" i="7"/>
  <c r="V42" i="7" s="1"/>
  <c r="L46" i="7"/>
  <c r="V46" i="7" s="1"/>
  <c r="L7" i="7"/>
  <c r="V7" i="7" s="1"/>
  <c r="L44" i="7"/>
  <c r="V44" i="7" s="1"/>
  <c r="L45" i="7"/>
  <c r="V45" i="7" s="1"/>
  <c r="L18" i="7"/>
  <c r="V18" i="7" s="1"/>
  <c r="L33" i="7"/>
  <c r="V33" i="7" s="1"/>
  <c r="L30" i="7"/>
  <c r="V30" i="7" s="1"/>
  <c r="L97" i="7"/>
  <c r="V97" i="7" s="1"/>
  <c r="L100" i="7"/>
  <c r="V100" i="7" s="1"/>
  <c r="L113" i="7"/>
  <c r="V113" i="7" s="1"/>
  <c r="L66" i="7"/>
  <c r="V66" i="7" s="1"/>
  <c r="L75" i="7"/>
  <c r="L70" i="7"/>
  <c r="V70" i="7" s="1"/>
  <c r="L9" i="7"/>
  <c r="V9" i="7" s="1"/>
  <c r="L48" i="7"/>
  <c r="V48" i="7" s="1"/>
  <c r="L17" i="7"/>
  <c r="V17" i="7" s="1"/>
  <c r="L20" i="7"/>
  <c r="V20" i="7" s="1"/>
  <c r="L24" i="7"/>
  <c r="L21" i="7"/>
  <c r="V21" i="7" s="1"/>
  <c r="L29" i="7"/>
  <c r="V29" i="7" s="1"/>
  <c r="L57" i="7"/>
  <c r="L101" i="7"/>
  <c r="V101" i="7" s="1"/>
  <c r="L110" i="7"/>
  <c r="V110" i="7" s="1"/>
  <c r="L112" i="7"/>
  <c r="V112" i="7" s="1"/>
  <c r="L99" i="7"/>
  <c r="V99" i="7" s="1"/>
  <c r="L72" i="7"/>
  <c r="V72" i="7" s="1"/>
  <c r="L67" i="7"/>
  <c r="V67" i="7" s="1"/>
  <c r="L56" i="7"/>
  <c r="V56" i="7" s="1"/>
  <c r="J16" i="7"/>
  <c r="K16" i="7" s="1"/>
  <c r="N41" i="7"/>
  <c r="W41" i="7" s="1"/>
  <c r="D71" i="16" l="1"/>
  <c r="E71" i="16" s="1"/>
  <c r="D111" i="16"/>
  <c r="E111" i="16" s="1"/>
  <c r="N105" i="7"/>
  <c r="W105" i="7" s="1"/>
  <c r="N31" i="7"/>
  <c r="W31" i="7" s="1"/>
  <c r="I51" i="7"/>
  <c r="D117" i="16"/>
  <c r="E117" i="16" s="1"/>
  <c r="V107" i="7"/>
  <c r="D106" i="16"/>
  <c r="E106" i="16" s="1"/>
  <c r="V103" i="7"/>
  <c r="D104" i="16"/>
  <c r="E104" i="16" s="1"/>
  <c r="N104" i="7"/>
  <c r="W104" i="7" s="1"/>
  <c r="D113" i="16"/>
  <c r="E113" i="16" s="1"/>
  <c r="V57" i="7"/>
  <c r="D17" i="16"/>
  <c r="E17" i="16" s="1"/>
  <c r="D119" i="16"/>
  <c r="E119" i="16" s="1"/>
  <c r="V75" i="7"/>
  <c r="D37" i="16"/>
  <c r="E37" i="16" s="1"/>
  <c r="N108" i="7"/>
  <c r="W108" i="7" s="1"/>
  <c r="N107" i="7"/>
  <c r="W107" i="7" s="1"/>
  <c r="D74" i="16"/>
  <c r="E74" i="16" s="1"/>
  <c r="V95" i="7"/>
  <c r="N24" i="7"/>
  <c r="W24" i="7" s="1"/>
  <c r="V24" i="7"/>
  <c r="N103" i="7"/>
  <c r="W103" i="7" s="1"/>
  <c r="P31" i="7"/>
  <c r="Q31" i="7" s="1"/>
  <c r="N115" i="7"/>
  <c r="W115" i="7" s="1"/>
  <c r="V115" i="7"/>
  <c r="D46" i="16"/>
  <c r="E46" i="16" s="1"/>
  <c r="V39" i="7"/>
  <c r="N116" i="7"/>
  <c r="W116" i="7" s="1"/>
  <c r="V116" i="7"/>
  <c r="N62" i="7"/>
  <c r="W62" i="7" s="1"/>
  <c r="V62" i="7"/>
  <c r="D23" i="16"/>
  <c r="E23" i="16" s="1"/>
  <c r="V61" i="7"/>
  <c r="N63" i="7"/>
  <c r="W63" i="7" s="1"/>
  <c r="V63" i="7"/>
  <c r="P35" i="7"/>
  <c r="Q35" i="7" s="1"/>
  <c r="W35" i="7"/>
  <c r="D43" i="16"/>
  <c r="E43" i="16" s="1"/>
  <c r="V64" i="7"/>
  <c r="N32" i="7"/>
  <c r="W32" i="7" s="1"/>
  <c r="V32" i="7"/>
  <c r="P41" i="7"/>
  <c r="Q41" i="7" s="1"/>
  <c r="R41" i="7"/>
  <c r="S41" i="7" s="1"/>
  <c r="T41" i="7" s="1"/>
  <c r="R28" i="7"/>
  <c r="S28" i="7" s="1"/>
  <c r="T28" i="7" s="1"/>
  <c r="P28" i="7"/>
  <c r="Q28" i="7" s="1"/>
  <c r="N95" i="7"/>
  <c r="W95" i="7" s="1"/>
  <c r="J2" i="7"/>
  <c r="K2" i="7" s="1"/>
  <c r="L2" i="7" s="1"/>
  <c r="N102" i="7"/>
  <c r="W102" i="7" s="1"/>
  <c r="I38" i="7"/>
  <c r="I52" i="7" s="1"/>
  <c r="D77" i="16"/>
  <c r="E77" i="16" s="1"/>
  <c r="N64" i="7"/>
  <c r="W64" i="7" s="1"/>
  <c r="N61" i="7"/>
  <c r="W61" i="7" s="1"/>
  <c r="R31" i="7"/>
  <c r="S31" i="7" s="1"/>
  <c r="T31" i="7" s="1"/>
  <c r="R35" i="7"/>
  <c r="S35" i="7" s="1"/>
  <c r="T35" i="7" s="1"/>
  <c r="N29" i="7"/>
  <c r="D109" i="16"/>
  <c r="E109" i="16" s="1"/>
  <c r="N114" i="7"/>
  <c r="W114" i="7" s="1"/>
  <c r="D134" i="16"/>
  <c r="E134" i="16" s="1"/>
  <c r="N25" i="7"/>
  <c r="D102" i="16"/>
  <c r="E102" i="16" s="1"/>
  <c r="N110" i="7"/>
  <c r="W110" i="7" s="1"/>
  <c r="D128" i="16"/>
  <c r="E128" i="16" s="1"/>
  <c r="N17" i="7"/>
  <c r="D94" i="16"/>
  <c r="E94" i="16" s="1"/>
  <c r="N101" i="7"/>
  <c r="W101" i="7" s="1"/>
  <c r="D103" i="16"/>
  <c r="E103" i="16" s="1"/>
  <c r="N21" i="7"/>
  <c r="D98" i="16"/>
  <c r="E98" i="16" s="1"/>
  <c r="N30" i="7"/>
  <c r="D110" i="16"/>
  <c r="E110" i="16" s="1"/>
  <c r="N34" i="7"/>
  <c r="D118" i="16"/>
  <c r="E118" i="16" s="1"/>
  <c r="N36" i="7"/>
  <c r="D130" i="16"/>
  <c r="E130" i="16" s="1"/>
  <c r="N23" i="7"/>
  <c r="D100" i="16"/>
  <c r="E100" i="16" s="1"/>
  <c r="N33" i="7"/>
  <c r="D114" i="16"/>
  <c r="E114" i="16" s="1"/>
  <c r="N22" i="7"/>
  <c r="D99" i="16"/>
  <c r="E99" i="16" s="1"/>
  <c r="N111" i="7"/>
  <c r="W111" i="7" s="1"/>
  <c r="D129" i="16"/>
  <c r="E129" i="16" s="1"/>
  <c r="N19" i="7"/>
  <c r="D96" i="16"/>
  <c r="E96" i="16" s="1"/>
  <c r="D101" i="16"/>
  <c r="E101" i="16" s="1"/>
  <c r="N112" i="7"/>
  <c r="W112" i="7" s="1"/>
  <c r="D132" i="16"/>
  <c r="E132" i="16" s="1"/>
  <c r="N20" i="7"/>
  <c r="D97" i="16"/>
  <c r="E97" i="16" s="1"/>
  <c r="N113" i="7"/>
  <c r="W113" i="7" s="1"/>
  <c r="D133" i="16"/>
  <c r="E133" i="16" s="1"/>
  <c r="N18" i="7"/>
  <c r="D95" i="16"/>
  <c r="E95" i="16" s="1"/>
  <c r="N109" i="7"/>
  <c r="W109" i="7" s="1"/>
  <c r="D124" i="16"/>
  <c r="E124" i="16" s="1"/>
  <c r="N27" i="7"/>
  <c r="W27" i="7" s="1"/>
  <c r="D107" i="16"/>
  <c r="E107" i="16" s="1"/>
  <c r="N26" i="7"/>
  <c r="D105" i="16"/>
  <c r="E105" i="16" s="1"/>
  <c r="E112" i="16"/>
  <c r="N99" i="7"/>
  <c r="W99" i="7" s="1"/>
  <c r="D82" i="16"/>
  <c r="E82" i="16" s="1"/>
  <c r="N97" i="7"/>
  <c r="W97" i="7" s="1"/>
  <c r="D79" i="16"/>
  <c r="E79" i="16" s="1"/>
  <c r="N96" i="7"/>
  <c r="W96" i="7" s="1"/>
  <c r="D78" i="16"/>
  <c r="E78" i="16" s="1"/>
  <c r="N100" i="7"/>
  <c r="W100" i="7" s="1"/>
  <c r="D83" i="16"/>
  <c r="E83" i="16" s="1"/>
  <c r="N98" i="7"/>
  <c r="W98" i="7" s="1"/>
  <c r="D81" i="16"/>
  <c r="E81" i="16" s="1"/>
  <c r="N44" i="7"/>
  <c r="D51" i="16"/>
  <c r="E51" i="16" s="1"/>
  <c r="N46" i="7"/>
  <c r="D53" i="16"/>
  <c r="E53" i="16" s="1"/>
  <c r="N48" i="7"/>
  <c r="D55" i="16"/>
  <c r="E55" i="16" s="1"/>
  <c r="N47" i="7"/>
  <c r="D54" i="16"/>
  <c r="E54" i="16" s="1"/>
  <c r="N45" i="7"/>
  <c r="D52" i="16"/>
  <c r="E52" i="16" s="1"/>
  <c r="N42" i="7"/>
  <c r="D49" i="16"/>
  <c r="E49" i="16" s="1"/>
  <c r="N43" i="7"/>
  <c r="D50" i="16"/>
  <c r="E50" i="16" s="1"/>
  <c r="N39" i="7"/>
  <c r="N67" i="7"/>
  <c r="W67" i="7" s="1"/>
  <c r="D28" i="16"/>
  <c r="E28" i="16" s="1"/>
  <c r="D42" i="16"/>
  <c r="E42" i="16" s="1"/>
  <c r="N72" i="7"/>
  <c r="W72" i="7" s="1"/>
  <c r="D34" i="16"/>
  <c r="E34" i="16" s="1"/>
  <c r="N75" i="7"/>
  <c r="W75" i="7" s="1"/>
  <c r="N73" i="7"/>
  <c r="W73" i="7" s="1"/>
  <c r="D35" i="16"/>
  <c r="E35" i="16" s="1"/>
  <c r="N3" i="7"/>
  <c r="D8" i="16"/>
  <c r="E8" i="16" s="1"/>
  <c r="E32" i="16"/>
  <c r="N6" i="7"/>
  <c r="D11" i="16"/>
  <c r="E11" i="16" s="1"/>
  <c r="N69" i="7"/>
  <c r="D30" i="16"/>
  <c r="E30" i="16" s="1"/>
  <c r="N5" i="7"/>
  <c r="D10" i="16"/>
  <c r="E10" i="16" s="1"/>
  <c r="N57" i="7"/>
  <c r="W57" i="7" s="1"/>
  <c r="N9" i="7"/>
  <c r="D15" i="16"/>
  <c r="E15" i="16" s="1"/>
  <c r="N66" i="7"/>
  <c r="W66" i="7" s="1"/>
  <c r="D27" i="16"/>
  <c r="E27" i="16" s="1"/>
  <c r="N60" i="7"/>
  <c r="W60" i="7" s="1"/>
  <c r="D22" i="16"/>
  <c r="E22" i="16" s="1"/>
  <c r="N7" i="7"/>
  <c r="D13" i="16"/>
  <c r="E13" i="16" s="1"/>
  <c r="N74" i="7"/>
  <c r="W74" i="7" s="1"/>
  <c r="D36" i="16"/>
  <c r="E36" i="16" s="1"/>
  <c r="R10" i="7"/>
  <c r="S10" i="7" s="1"/>
  <c r="T10" i="7" s="1"/>
  <c r="D16" i="16"/>
  <c r="E16" i="16" s="1"/>
  <c r="N56" i="7"/>
  <c r="W56" i="7" s="1"/>
  <c r="D12" i="16"/>
  <c r="E12" i="16" s="1"/>
  <c r="N40" i="7"/>
  <c r="W40" i="7" s="1"/>
  <c r="D47" i="16"/>
  <c r="E47" i="16" s="1"/>
  <c r="N70" i="7"/>
  <c r="W70" i="7" s="1"/>
  <c r="D31" i="16"/>
  <c r="E31" i="16" s="1"/>
  <c r="N68" i="7"/>
  <c r="D29" i="16"/>
  <c r="E29" i="16" s="1"/>
  <c r="N8" i="7"/>
  <c r="D14" i="16"/>
  <c r="E14" i="16" s="1"/>
  <c r="L16" i="7"/>
  <c r="P4" i="7"/>
  <c r="Q4" i="7" s="1"/>
  <c r="R4" i="7"/>
  <c r="S4" i="7" s="1"/>
  <c r="T4" i="7" s="1"/>
  <c r="P6" i="7" l="1"/>
  <c r="Q6" i="7" s="1"/>
  <c r="R6" i="7"/>
  <c r="S6" i="7" s="1"/>
  <c r="T6" i="7" s="1"/>
  <c r="W36" i="7"/>
  <c r="P36" i="7"/>
  <c r="Q36" i="7" s="1"/>
  <c r="R36" i="7"/>
  <c r="S36" i="7" s="1"/>
  <c r="T36" i="7" s="1"/>
  <c r="W26" i="7"/>
  <c r="R26" i="7"/>
  <c r="S26" i="7" s="1"/>
  <c r="T26" i="7" s="1"/>
  <c r="P26" i="7"/>
  <c r="Q26" i="7" s="1"/>
  <c r="R24" i="7"/>
  <c r="S24" i="7" s="1"/>
  <c r="T24" i="7" s="1"/>
  <c r="P32" i="7"/>
  <c r="Q32" i="7" s="1"/>
  <c r="R32" i="7"/>
  <c r="S32" i="7" s="1"/>
  <c r="T32" i="7" s="1"/>
  <c r="N2" i="7"/>
  <c r="W2" i="7" s="1"/>
  <c r="V2" i="7"/>
  <c r="R42" i="7"/>
  <c r="S42" i="7" s="1"/>
  <c r="T42" i="7" s="1"/>
  <c r="W42" i="7"/>
  <c r="R33" i="7"/>
  <c r="S33" i="7" s="1"/>
  <c r="T33" i="7" s="1"/>
  <c r="W33" i="7"/>
  <c r="R5" i="7"/>
  <c r="S5" i="7" s="1"/>
  <c r="T5" i="7" s="1"/>
  <c r="W5" i="7"/>
  <c r="R45" i="7"/>
  <c r="S45" i="7" s="1"/>
  <c r="T45" i="7" s="1"/>
  <c r="W45" i="7"/>
  <c r="R23" i="7"/>
  <c r="S23" i="7" s="1"/>
  <c r="T23" i="7" s="1"/>
  <c r="W23" i="7"/>
  <c r="P17" i="7"/>
  <c r="Q17" i="7" s="1"/>
  <c r="W17" i="7"/>
  <c r="W76" i="7"/>
  <c r="W68" i="7"/>
  <c r="W77" i="7"/>
  <c r="W69" i="7"/>
  <c r="R47" i="7"/>
  <c r="S47" i="7" s="1"/>
  <c r="T47" i="7" s="1"/>
  <c r="W47" i="7"/>
  <c r="R19" i="7"/>
  <c r="S19" i="7" s="1"/>
  <c r="T19" i="7" s="1"/>
  <c r="W19" i="7"/>
  <c r="R48" i="7"/>
  <c r="S48" i="7" s="1"/>
  <c r="T48" i="7" s="1"/>
  <c r="W48" i="7"/>
  <c r="P29" i="7"/>
  <c r="Q29" i="7" s="1"/>
  <c r="W29" i="7"/>
  <c r="R18" i="7"/>
  <c r="S18" i="7" s="1"/>
  <c r="T18" i="7" s="1"/>
  <c r="W18" i="7"/>
  <c r="R34" i="7"/>
  <c r="S34" i="7" s="1"/>
  <c r="T34" i="7" s="1"/>
  <c r="W34" i="7"/>
  <c r="R25" i="7"/>
  <c r="S25" i="7" s="1"/>
  <c r="T25" i="7" s="1"/>
  <c r="W25" i="7"/>
  <c r="P8" i="7"/>
  <c r="Q8" i="7" s="1"/>
  <c r="W8" i="7"/>
  <c r="P7" i="7"/>
  <c r="Q7" i="7" s="1"/>
  <c r="W7" i="7"/>
  <c r="W6" i="7"/>
  <c r="R39" i="7"/>
  <c r="S39" i="7" s="1"/>
  <c r="T39" i="7" s="1"/>
  <c r="W39" i="7"/>
  <c r="R46" i="7"/>
  <c r="S46" i="7" s="1"/>
  <c r="T46" i="7" s="1"/>
  <c r="W46" i="7"/>
  <c r="N49" i="7"/>
  <c r="V49" i="7"/>
  <c r="R21" i="7"/>
  <c r="S21" i="7" s="1"/>
  <c r="T21" i="7" s="1"/>
  <c r="W21" i="7"/>
  <c r="P3" i="7"/>
  <c r="Q3" i="7" s="1"/>
  <c r="W3" i="7"/>
  <c r="R22" i="7"/>
  <c r="S22" i="7" s="1"/>
  <c r="T22" i="7" s="1"/>
  <c r="W22" i="7"/>
  <c r="P30" i="7"/>
  <c r="Q30" i="7" s="1"/>
  <c r="W30" i="7"/>
  <c r="N16" i="7"/>
  <c r="W16" i="7" s="1"/>
  <c r="V16" i="7"/>
  <c r="R20" i="7"/>
  <c r="S20" i="7" s="1"/>
  <c r="T20" i="7" s="1"/>
  <c r="W20" i="7"/>
  <c r="P9" i="7"/>
  <c r="Q9" i="7" s="1"/>
  <c r="W9" i="7"/>
  <c r="P43" i="7"/>
  <c r="Q43" i="7" s="1"/>
  <c r="W43" i="7"/>
  <c r="R44" i="7"/>
  <c r="S44" i="7" s="1"/>
  <c r="T44" i="7" s="1"/>
  <c r="W44" i="7"/>
  <c r="P40" i="7"/>
  <c r="Q40" i="7" s="1"/>
  <c r="R40" i="7"/>
  <c r="S40" i="7" s="1"/>
  <c r="T40" i="7" s="1"/>
  <c r="R27" i="7"/>
  <c r="S27" i="7" s="1"/>
  <c r="T27" i="7" s="1"/>
  <c r="P27" i="7"/>
  <c r="Q27" i="7" s="1"/>
  <c r="P23" i="7"/>
  <c r="Q23" i="7" s="1"/>
  <c r="P18" i="7"/>
  <c r="Q18" i="7" s="1"/>
  <c r="R17" i="7"/>
  <c r="S17" i="7" s="1"/>
  <c r="T17" i="7" s="1"/>
  <c r="P24" i="7"/>
  <c r="Q24" i="7" s="1"/>
  <c r="R29" i="7"/>
  <c r="S29" i="7" s="1"/>
  <c r="T29" i="7" s="1"/>
  <c r="P25" i="7"/>
  <c r="Q25" i="7" s="1"/>
  <c r="P21" i="7"/>
  <c r="Q21" i="7" s="1"/>
  <c r="P34" i="7"/>
  <c r="Q34" i="7" s="1"/>
  <c r="P20" i="7"/>
  <c r="Q20" i="7" s="1"/>
  <c r="P45" i="7"/>
  <c r="Q45" i="7" s="1"/>
  <c r="P48" i="7"/>
  <c r="Q48" i="7" s="1"/>
  <c r="P19" i="7"/>
  <c r="Q19" i="7" s="1"/>
  <c r="P22" i="7"/>
  <c r="Q22" i="7" s="1"/>
  <c r="P33" i="7"/>
  <c r="Q33" i="7" s="1"/>
  <c r="R43" i="7"/>
  <c r="S43" i="7" s="1"/>
  <c r="T43" i="7" s="1"/>
  <c r="R30" i="7"/>
  <c r="S30" i="7" s="1"/>
  <c r="T30" i="7" s="1"/>
  <c r="P44" i="7"/>
  <c r="Q44" i="7" s="1"/>
  <c r="D93" i="16"/>
  <c r="E93" i="16" s="1"/>
  <c r="P47" i="7"/>
  <c r="Q47" i="7" s="1"/>
  <c r="P46" i="7"/>
  <c r="Q46" i="7" s="1"/>
  <c r="P42" i="7"/>
  <c r="Q42" i="7" s="1"/>
  <c r="P39" i="7"/>
  <c r="Q39" i="7" s="1"/>
  <c r="P10" i="7"/>
  <c r="Q10" i="7" s="1"/>
  <c r="N71" i="7"/>
  <c r="W71" i="7" s="1"/>
  <c r="R7" i="7"/>
  <c r="S7" i="7" s="1"/>
  <c r="T7" i="7" s="1"/>
  <c r="P5" i="7"/>
  <c r="Q5" i="7" s="1"/>
  <c r="R8" i="7"/>
  <c r="S8" i="7" s="1"/>
  <c r="T8" i="7" s="1"/>
  <c r="R3" i="7"/>
  <c r="S3" i="7" s="1"/>
  <c r="T3" i="7" s="1"/>
  <c r="R9" i="7"/>
  <c r="S9" i="7" s="1"/>
  <c r="T9" i="7" s="1"/>
  <c r="D7" i="16"/>
  <c r="P2" i="7" l="1"/>
  <c r="Q2" i="7" s="1"/>
  <c r="W49" i="7"/>
  <c r="P49" i="7"/>
  <c r="Q49" i="7" s="1"/>
  <c r="Q51" i="7" s="1"/>
  <c r="R49" i="7"/>
  <c r="S49" i="7" s="1"/>
  <c r="T49" i="7" s="1"/>
  <c r="T51" i="7" s="1"/>
  <c r="D136" i="16"/>
  <c r="R16" i="7"/>
  <c r="S16" i="7" s="1"/>
  <c r="T16" i="7" s="1"/>
  <c r="T38" i="7" s="1"/>
  <c r="P16" i="7"/>
  <c r="Q16" i="7" s="1"/>
  <c r="Q38" i="7" s="1"/>
  <c r="E7" i="16"/>
  <c r="E136" i="16" s="1"/>
  <c r="R2" i="7"/>
  <c r="S2" i="7" s="1"/>
  <c r="T2" i="7" s="1"/>
  <c r="T13" i="7" s="1"/>
  <c r="P13" i="7" l="1"/>
  <c r="P51" i="7"/>
  <c r="S51" i="7"/>
  <c r="S38" i="7"/>
  <c r="P38" i="7"/>
  <c r="T52" i="7"/>
  <c r="B60" i="4" s="1"/>
  <c r="S13" i="7"/>
  <c r="P52" i="7" l="1"/>
  <c r="S52" i="7"/>
  <c r="T53" i="7"/>
  <c r="B61" i="4"/>
  <c r="Q13" i="7"/>
  <c r="Q5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tc={7AD42632-31EE-49FC-A092-B82E6D2589BB}</author>
  </authors>
  <commentList>
    <comment ref="G20" authorId="0" shapeId="0" xr:uid="{7AD42632-31EE-49FC-A092-B82E6D2589BB}">
      <text>
        <t>[Threaded comment]
Your version of Excel allows you to read this threaded comment; however, any edits to it will get removed if the file is opened in a newer version of Excel. Learn more: https://go.microsoft.com/fwlink/?linkid=870924
Comment:
    Staff accepts this calculation for 1.25-Yard weight. Calculation divides the increase in weight from 1-Yard to 1.5-Yard weights by 2, then adds to 1-Yard Meeks weight.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B48" authorId="0" shapeId="0" xr:uid="{FF8A27EF-5D86-4C75-903A-A573466C9A06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This represents the rate per ton plus an allocation of the fixed charges per ton per the King Co FAC Allocation Schedule
</t>
        </r>
      </text>
    </comment>
  </commentList>
</comments>
</file>

<file path=xl/sharedStrings.xml><?xml version="1.0" encoding="utf-8"?>
<sst xmlns="http://schemas.openxmlformats.org/spreadsheetml/2006/main" count="591" uniqueCount="270">
  <si>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</si>
  <si>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</si>
  <si>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</si>
  <si>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</si>
  <si>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</si>
  <si>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</si>
  <si>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</si>
  <si>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</si>
  <si>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</si>
  <si>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</si>
  <si>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</si>
  <si>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</si>
  <si>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</si>
  <si>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</si>
  <si>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</si>
  <si>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</si>
  <si>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</si>
  <si>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</si>
  <si>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</si>
  <si>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</si>
  <si>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</si>
  <si>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</si>
  <si>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</si>
  <si>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</si>
  <si>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</si>
  <si>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</si>
  <si>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</si>
  <si>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</si>
  <si>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</si>
  <si>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</si>
  <si>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</si>
  <si>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</si>
  <si>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</si>
  <si>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</si>
  <si>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</si>
  <si>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</si>
  <si>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</si>
  <si>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</si>
  <si>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</si>
  <si>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</si>
  <si>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</si>
  <si>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</si>
  <si>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</si>
  <si>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</si>
  <si>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</si>
  <si>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</si>
  <si>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</si>
  <si>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</si>
  <si>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</si>
  <si>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</si>
  <si>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</si>
  <si>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</si>
  <si>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</si>
  <si>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</si>
  <si>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</si>
  <si>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</si>
  <si>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</si>
  <si>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</si>
  <si>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</si>
  <si>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</si>
  <si>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</si>
  <si>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</si>
  <si>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</si>
  <si>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</si>
  <si>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</si>
  <si>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</si>
  <si>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</si>
  <si>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</si>
  <si>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</si>
  <si>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</si>
  <si>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</si>
  <si>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</si>
  <si>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</si>
  <si>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</si>
  <si>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</si>
  <si>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</si>
  <si>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</si>
  <si>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</si>
  <si>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</si>
  <si>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</si>
  <si>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</si>
  <si>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</si>
  <si>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</si>
  <si>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</si>
  <si>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</si>
  <si>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</si>
  <si>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</si>
  <si>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</si>
  <si>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</si>
  <si>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</si>
  <si>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</si>
  <si>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</si>
  <si>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</si>
  <si>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</si>
  <si>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</si>
  <si>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</si>
  <si>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1 Can Monthly</t>
  </si>
  <si>
    <t>* not on meeks - calculated by staff in previous cases</t>
  </si>
  <si>
    <t>1 Can wk</t>
  </si>
  <si>
    <t>2  Can wk</t>
  </si>
  <si>
    <t>3 Can wk</t>
  </si>
  <si>
    <t>4 Can wk</t>
  </si>
  <si>
    <t>32 Gal Tote wk</t>
  </si>
  <si>
    <t>60 Gal Tote wk</t>
  </si>
  <si>
    <t>Multi-Family</t>
  </si>
  <si>
    <t>King County</t>
  </si>
  <si>
    <t>Item 240, pg 40</t>
  </si>
  <si>
    <t>Item 105, pg 27</t>
  </si>
  <si>
    <t>TOTAL</t>
  </si>
  <si>
    <t>5 Can wk</t>
  </si>
  <si>
    <t>64 Gal Bear Proof Toter</t>
  </si>
  <si>
    <t>96 Gal Bear Proof Toter</t>
  </si>
  <si>
    <t>32 Gal Bear Proof Toter</t>
  </si>
  <si>
    <t>Item 100, pg 22</t>
  </si>
  <si>
    <t>32 Gal extra</t>
  </si>
  <si>
    <t>Item 100, pg 21 Appendix A</t>
  </si>
  <si>
    <t>Item 100, pg 23 Appendix B</t>
  </si>
  <si>
    <t>Item 100, pg 24</t>
  </si>
  <si>
    <t>3 yd Special Pickup</t>
  </si>
  <si>
    <t>4 yd Special Pickup</t>
  </si>
  <si>
    <t>6 yd Special Pickup</t>
  </si>
  <si>
    <t>32 Gal Can</t>
  </si>
  <si>
    <t>32 Gal Can Special Pick Up</t>
  </si>
  <si>
    <t>No Customers</t>
  </si>
  <si>
    <t>Item 245, pg 41, Cust-owned</t>
  </si>
  <si>
    <t>Item 106, pg 30 Compacted</t>
  </si>
  <si>
    <t xml:space="preserve">Item 255, pg 42, Compacted </t>
  </si>
  <si>
    <t>96 Gal Tote wk</t>
  </si>
  <si>
    <t>*Note Appendix B customers consolidated to Appendix A for disposal model ease</t>
  </si>
  <si>
    <t>64 Gal Tote wk</t>
  </si>
  <si>
    <t>LOB</t>
  </si>
  <si>
    <t>Matrl</t>
  </si>
  <si>
    <t>Rev Dist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</si>
  <si>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</si>
  <si>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</si>
  <si>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</si>
  <si>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</si>
  <si>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</si>
  <si>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</si>
  <si>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</si>
  <si>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</si>
  <si>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Residential YW</t>
  </si>
  <si>
    <t>Roll-off / Industrial</t>
  </si>
  <si>
    <t>I</t>
  </si>
  <si>
    <t>MSW</t>
  </si>
  <si>
    <t>2B</t>
  </si>
  <si>
    <t>2D</t>
  </si>
  <si>
    <t>Regulated Garbage</t>
  </si>
  <si>
    <t>SUBTRACT</t>
  </si>
  <si>
    <t>CHNC</t>
  </si>
  <si>
    <t>FANC</t>
  </si>
  <si>
    <t>HONC</t>
  </si>
  <si>
    <t>Unregulated Garbage</t>
  </si>
  <si>
    <t>RCY</t>
  </si>
  <si>
    <t>Regulated RCY (MF)</t>
  </si>
  <si>
    <t>2G</t>
  </si>
  <si>
    <t>Unregulated RCY / COGS</t>
  </si>
  <si>
    <t>YW</t>
  </si>
  <si>
    <t>(Account #)</t>
  </si>
  <si>
    <t>LESS: King County Transfer Hauls</t>
  </si>
  <si>
    <t>Variance to GL</t>
  </si>
  <si>
    <t>Regulated Pass Thru Disposal Tons</t>
  </si>
  <si>
    <t>Unregulated Pass Thru Disposal Tons</t>
  </si>
  <si>
    <t>R</t>
  </si>
  <si>
    <t>U</t>
  </si>
  <si>
    <t>C</t>
  </si>
  <si>
    <t>Regulated Yardwaste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</si>
  <si>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</si>
  <si>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</si>
  <si>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</si>
  <si>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</si>
  <si>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</si>
  <si>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</si>
  <si>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</si>
  <si>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</si>
  <si>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</si>
  <si>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</si>
  <si>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</si>
  <si>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</si>
  <si>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</si>
  <si>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</si>
  <si>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Regulated Pass Thru Disposal $</t>
  </si>
  <si>
    <t>Unregulated Pass Thru Disposal $</t>
  </si>
  <si>
    <t>TOTAL REGULATED DISP COST</t>
  </si>
  <si>
    <t>TOTAL CALC'D DISP COST</t>
  </si>
  <si>
    <t>Monthly Pickups</t>
  </si>
  <si>
    <t>20 gallon can</t>
  </si>
  <si>
    <t>3 yd  Special PIckup</t>
  </si>
  <si>
    <t>32 Gal Toter Special PIckup</t>
  </si>
  <si>
    <t>96 Gal Toter Special PIckup</t>
  </si>
  <si>
    <t>8 yd Special PIckup</t>
  </si>
  <si>
    <t>2 yd Special Pickup</t>
  </si>
  <si>
    <t>Annual Frequency</t>
  </si>
  <si>
    <t>6 yd Temporary</t>
  </si>
  <si>
    <t>2 yd Temporary</t>
  </si>
  <si>
    <t>1 yd Special Pickup</t>
  </si>
  <si>
    <t>no customers</t>
  </si>
  <si>
    <t>Company</t>
  </si>
  <si>
    <t>Current</t>
  </si>
  <si>
    <t>Proposed Increase</t>
  </si>
  <si>
    <t>Proposed</t>
  </si>
  <si>
    <t>Tariff</t>
  </si>
  <si>
    <t>Each</t>
  </si>
  <si>
    <t>Item 230, pg 39</t>
  </si>
  <si>
    <t>King County TS</t>
  </si>
  <si>
    <t>Per ton</t>
  </si>
  <si>
    <t>64 Gal Toter First Pickup</t>
  </si>
  <si>
    <t>32 Gal Toter First Pickup/Additional</t>
  </si>
  <si>
    <t>96 Gal Toter First Pickup/Additional</t>
  </si>
  <si>
    <t>1.25 yd First Pickup/Additional</t>
  </si>
  <si>
    <t>2 yd First Pickup/Additional</t>
  </si>
  <si>
    <t>3 yd First Pickup/Additional</t>
  </si>
  <si>
    <t>4 yd First Pickup/Additional</t>
  </si>
  <si>
    <t>6 yd First Pickup/Additional</t>
  </si>
  <si>
    <t>8 yd First Pickup/Additional</t>
  </si>
  <si>
    <t>1 yd First Pickup/Additional</t>
  </si>
  <si>
    <t>1.25 yd Special Pickup</t>
  </si>
  <si>
    <t>1 yd Temporary</t>
  </si>
  <si>
    <t>1.25 yd Temporary</t>
  </si>
  <si>
    <t>3 yd Temporary</t>
  </si>
  <si>
    <t>4 yd Temporary</t>
  </si>
  <si>
    <t>8 yd Temporary</t>
  </si>
  <si>
    <t>3 yd Pickup/Additional</t>
  </si>
  <si>
    <t>4 yd Pickup/Additional</t>
  </si>
  <si>
    <t>6 yd Pickup/Additional</t>
  </si>
  <si>
    <t>64 Gal Toter First Pickup/Additional</t>
  </si>
  <si>
    <t>32 Gal Can First Pickup/Additional</t>
  </si>
  <si>
    <t>Item 106, pg 30</t>
  </si>
  <si>
    <t>Bag Extra</t>
  </si>
  <si>
    <t>Check</t>
  </si>
  <si>
    <t>Merged into Appendix A Customer Count</t>
  </si>
  <si>
    <t>Item 150, pg 33</t>
  </si>
  <si>
    <t>Bulky Materials, per yard</t>
  </si>
  <si>
    <t>Loose Materials, per yard</t>
  </si>
  <si>
    <t>Disposal Summary Report</t>
  </si>
  <si>
    <t>increase in disposal fees.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</si>
  <si>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</si>
  <si>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</si>
  <si>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</si>
  <si>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</si>
  <si>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</si>
  <si>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</si>
  <si>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</si>
  <si>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</si>
  <si>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</si>
  <si>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</si>
  <si>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</si>
  <si>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</si>
  <si>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8 yd Special Pickup</t>
  </si>
  <si>
    <t>% increase check</t>
  </si>
  <si>
    <t>Rate check</t>
  </si>
  <si>
    <t>X</t>
  </si>
  <si>
    <t>64 Gal Toter Special Pickup</t>
  </si>
  <si>
    <t>Per yard</t>
  </si>
  <si>
    <t>32 Gal Special Pickup</t>
  </si>
  <si>
    <t>64 Gal Special Pickup</t>
  </si>
  <si>
    <t>96 Gal Special Pickup</t>
  </si>
  <si>
    <t>Extra - overfilled containers</t>
  </si>
  <si>
    <t>Yard</t>
  </si>
  <si>
    <t>From most recent general rate case effective May 1, 2024</t>
  </si>
  <si>
    <t>Disposal Increase Effective 1/1/2025</t>
  </si>
  <si>
    <t>Enter current rate manually</t>
  </si>
  <si>
    <t>See '2025 FAC Allocation Data -Final.xlsx'</t>
  </si>
  <si>
    <t>See 'New King County Solid Waste Disposal Rates for 2025.pdf'</t>
  </si>
  <si>
    <t xml:space="preserve">RO </t>
  </si>
  <si>
    <t>Tons</t>
  </si>
  <si>
    <t>Total Reg Tons per last GRC</t>
  </si>
  <si>
    <t>Total FAC $ Allocated</t>
  </si>
  <si>
    <t>FAC per GRC Reg Tons</t>
  </si>
  <si>
    <t>New Rate per ton (see calculations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</si>
</sst>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B050"/>
      <name val="Arial"/>
      <family val="2"/>
    </font>
    <font>
      <u/>
      <sz val="11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59" fillId="10" borderId="15" applyNumberFormat="0" applyFont="0" applyAlignment="0" applyProtection="0"/>
    <xf numFmtId="0" fontId="29" fillId="12" borderId="16" applyNumberFormat="0" applyAlignment="0" applyProtection="0"/>
    <xf numFmtId="9" fontId="59" fillId="0" borderId="0" applyFont="0" applyFill="0" applyBorder="0" applyAlignment="0" applyProtection="0"/>
    <xf numFmtId="37" fontId="60" fillId="0" borderId="0"/>
    <xf numFmtId="0" fontId="1" fillId="39" borderId="39" applyNumberFormat="0" applyFont="0" applyAlignment="0" applyProtection="0"/>
    <xf numFmtId="43" fontId="1" fillId="0" borderId="0" applyFont="0" applyFill="0" applyBorder="0" applyAlignment="0" applyProtection="0"/>
    <xf numFmtId="0" fontId="2" fillId="0" borderId="0"/>
    <xf numFmtId="9" fontId="28" fillId="0" borderId="0" applyFont="0" applyFill="0" applyBorder="0" applyAlignment="0" applyProtection="0"/>
    <xf numFmtId="0" fontId="28" fillId="39" borderId="3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8" fillId="0" borderId="0" applyFont="0" applyFill="0" applyBorder="0" applyAlignment="0" applyProtection="0"/>
    <xf numFmtId="0" fontId="78" fillId="0" borderId="0" applyNumberFormat="0" applyFill="0" applyBorder="0" applyAlignment="0" applyProtection="0"/>
  </cellStyleXfs>
  <cellXfs count="297">
    <xf numFmtId="0" fontId="0" fillId="0" borderId="0" xfId="0"/>
    <xf numFmtId="43" fontId="0" fillId="0" borderId="0" xfId="1" applyFont="1"/>
    <xf numFmtId="0" fontId="3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inden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168" fontId="0" fillId="0" borderId="0" xfId="0" applyNumberFormat="1"/>
    <xf numFmtId="44" fontId="0" fillId="0" borderId="0" xfId="0" applyNumberFormat="1"/>
    <xf numFmtId="170" fontId="0" fillId="0" borderId="0" xfId="0" applyNumberFormat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3" fillId="6" borderId="1" xfId="0" applyFont="1" applyFill="1" applyBorder="1"/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textRotation="90"/>
    </xf>
    <xf numFmtId="0" fontId="12" fillId="0" borderId="0" xfId="4" applyFont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3" xfId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1" fillId="0" borderId="0" xfId="274" applyFont="1" applyAlignment="1">
      <alignment horizontal="left"/>
    </xf>
    <xf numFmtId="0" fontId="9" fillId="0" borderId="0" xfId="4" applyFont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ill="1" applyBorder="1" applyAlignment="1">
      <alignment horizontal="center"/>
    </xf>
    <xf numFmtId="0" fontId="0" fillId="0" borderId="21" xfId="0" applyBorder="1"/>
    <xf numFmtId="44" fontId="1" fillId="0" borderId="22" xfId="2" applyFont="1" applyBorder="1"/>
    <xf numFmtId="0" fontId="0" fillId="0" borderId="23" xfId="0" applyBorder="1" applyAlignment="1">
      <alignment horizontal="left"/>
    </xf>
    <xf numFmtId="44" fontId="0" fillId="0" borderId="24" xfId="2" applyFont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3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3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166" fontId="11" fillId="0" borderId="0" xfId="1" applyNumberFormat="1" applyFont="1"/>
    <xf numFmtId="44" fontId="3" fillId="6" borderId="1" xfId="2" applyFont="1" applyFill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36" xfId="0" applyFill="1" applyBorder="1"/>
    <xf numFmtId="0" fontId="0" fillId="6" borderId="33" xfId="0" applyFill="1" applyBorder="1" applyAlignment="1">
      <alignment horizontal="center"/>
    </xf>
    <xf numFmtId="0" fontId="3" fillId="6" borderId="33" xfId="0" applyFont="1" applyFill="1" applyBorder="1"/>
    <xf numFmtId="0" fontId="0" fillId="6" borderId="33" xfId="0" applyFill="1" applyBorder="1" applyAlignment="1">
      <alignment horizontal="right"/>
    </xf>
    <xf numFmtId="0" fontId="0" fillId="6" borderId="33" xfId="0" applyFill="1" applyBorder="1"/>
    <xf numFmtId="166" fontId="0" fillId="6" borderId="33" xfId="1" applyNumberFormat="1" applyFont="1" applyFill="1" applyBorder="1" applyAlignment="1">
      <alignment horizontal="left" indent="2"/>
    </xf>
    <xf numFmtId="166" fontId="0" fillId="6" borderId="33" xfId="1" applyNumberFormat="1" applyFont="1" applyFill="1" applyBorder="1"/>
    <xf numFmtId="44" fontId="0" fillId="6" borderId="33" xfId="1" applyNumberFormat="1" applyFont="1" applyFill="1" applyBorder="1"/>
    <xf numFmtId="0" fontId="0" fillId="0" borderId="37" xfId="0" applyBorder="1"/>
    <xf numFmtId="166" fontId="11" fillId="0" borderId="0" xfId="1" applyNumberFormat="1" applyFont="1" applyBorder="1" applyAlignment="1">
      <alignment horizontal="left" indent="2"/>
    </xf>
    <xf numFmtId="0" fontId="0" fillId="0" borderId="37" xfId="0" applyBorder="1" applyAlignment="1">
      <alignment vertical="center" textRotation="90"/>
    </xf>
    <xf numFmtId="0" fontId="0" fillId="0" borderId="38" xfId="0" applyBorder="1" applyAlignment="1">
      <alignment vertical="center" textRotation="90"/>
    </xf>
    <xf numFmtId="0" fontId="0" fillId="0" borderId="1" xfId="0" applyBorder="1" applyAlignment="1">
      <alignment horizontal="left"/>
    </xf>
    <xf numFmtId="0" fontId="11" fillId="0" borderId="1" xfId="274" applyFont="1" applyBorder="1" applyAlignment="1">
      <alignment horizontal="left"/>
    </xf>
    <xf numFmtId="166" fontId="11" fillId="0" borderId="1" xfId="373" applyNumberFormat="1" applyFont="1" applyBorder="1"/>
    <xf numFmtId="43" fontId="0" fillId="0" borderId="1" xfId="1" applyFont="1" applyFill="1" applyBorder="1"/>
    <xf numFmtId="37" fontId="11" fillId="0" borderId="1" xfId="4" applyNumberFormat="1" applyFont="1" applyBorder="1" applyAlignment="1">
      <alignment horizontal="right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165" fontId="0" fillId="0" borderId="1" xfId="2" applyNumberFormat="1" applyFont="1" applyFill="1" applyBorder="1"/>
    <xf numFmtId="165" fontId="0" fillId="0" borderId="0" xfId="2" applyNumberFormat="1" applyFont="1" applyFill="1"/>
    <xf numFmtId="44" fontId="0" fillId="0" borderId="0" xfId="2" applyFont="1" applyFill="1"/>
    <xf numFmtId="0" fontId="0" fillId="0" borderId="0" xfId="0" applyAlignment="1">
      <alignment horizontal="left" vertical="center" wrapText="1"/>
    </xf>
    <xf numFmtId="0" fontId="3" fillId="6" borderId="1" xfId="0" applyFont="1" applyFill="1" applyBorder="1" applyAlignment="1">
      <alignment horizontal="center"/>
    </xf>
    <xf numFmtId="167" fontId="0" fillId="40" borderId="0" xfId="1" applyNumberFormat="1" applyFont="1" applyFill="1"/>
    <xf numFmtId="167" fontId="0" fillId="40" borderId="0" xfId="1" applyNumberFormat="1" applyFont="1" applyFill="1" applyBorder="1"/>
    <xf numFmtId="167" fontId="0" fillId="40" borderId="1" xfId="1" applyNumberFormat="1" applyFont="1" applyFill="1" applyBorder="1"/>
    <xf numFmtId="0" fontId="0" fillId="6" borderId="0" xfId="0" applyFill="1" applyAlignment="1">
      <alignment vertical="center" textRotation="90"/>
    </xf>
    <xf numFmtId="0" fontId="0" fillId="6" borderId="0" xfId="0" applyFill="1" applyAlignment="1">
      <alignment horizontal="center" vertical="center"/>
    </xf>
    <xf numFmtId="0" fontId="12" fillId="6" borderId="0" xfId="4" applyFont="1" applyFill="1" applyAlignment="1">
      <alignment horizontal="left"/>
    </xf>
    <xf numFmtId="3" fontId="3" fillId="6" borderId="0" xfId="0" applyNumberFormat="1" applyFont="1" applyFill="1" applyAlignment="1">
      <alignment horizontal="right"/>
    </xf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Alignment="1">
      <alignment horizontal="center"/>
    </xf>
    <xf numFmtId="166" fontId="0" fillId="40" borderId="0" xfId="1" applyNumberFormat="1" applyFont="1" applyFill="1" applyBorder="1"/>
    <xf numFmtId="0" fontId="1" fillId="0" borderId="0" xfId="23"/>
    <xf numFmtId="0" fontId="3" fillId="0" borderId="0" xfId="23" applyFont="1"/>
    <xf numFmtId="172" fontId="3" fillId="39" borderId="39" xfId="404" applyNumberFormat="1" applyFont="1"/>
    <xf numFmtId="172" fontId="3" fillId="0" borderId="0" xfId="23" applyNumberFormat="1" applyFont="1"/>
    <xf numFmtId="0" fontId="61" fillId="0" borderId="0" xfId="23" applyFont="1" applyAlignment="1">
      <alignment horizontal="center"/>
    </xf>
    <xf numFmtId="0" fontId="61" fillId="0" borderId="0" xfId="23" applyFont="1"/>
    <xf numFmtId="0" fontId="62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1" fillId="0" borderId="0" xfId="405" applyNumberFormat="1" applyFont="1"/>
    <xf numFmtId="166" fontId="3" fillId="0" borderId="0" xfId="23" applyNumberFormat="1" applyFont="1"/>
    <xf numFmtId="0" fontId="1" fillId="0" borderId="1" xfId="23" applyBorder="1"/>
    <xf numFmtId="166" fontId="11" fillId="0" borderId="1" xfId="405" applyNumberFormat="1" applyFont="1" applyBorder="1"/>
    <xf numFmtId="166" fontId="3" fillId="0" borderId="1" xfId="23" applyNumberFormat="1" applyFont="1" applyBorder="1"/>
    <xf numFmtId="166" fontId="1" fillId="0" borderId="0" xfId="23" applyNumberFormat="1"/>
    <xf numFmtId="166" fontId="11" fillId="0" borderId="0" xfId="405" applyNumberFormat="1" applyFont="1" applyBorder="1"/>
    <xf numFmtId="0" fontId="11" fillId="39" borderId="39" xfId="404" applyFont="1" applyAlignment="1">
      <alignment horizontal="center"/>
    </xf>
    <xf numFmtId="0" fontId="63" fillId="0" borderId="40" xfId="23" applyFont="1" applyBorder="1" applyAlignment="1">
      <alignment horizontal="center"/>
    </xf>
    <xf numFmtId="0" fontId="1" fillId="0" borderId="40" xfId="23" applyBorder="1" applyAlignment="1">
      <alignment horizontal="center"/>
    </xf>
    <xf numFmtId="0" fontId="63" fillId="0" borderId="40" xfId="23" applyFont="1" applyBorder="1"/>
    <xf numFmtId="166" fontId="63" fillId="0" borderId="40" xfId="405" applyNumberFormat="1" applyFont="1" applyBorder="1"/>
    <xf numFmtId="166" fontId="64" fillId="0" borderId="40" xfId="23" applyNumberFormat="1" applyFont="1" applyBorder="1"/>
    <xf numFmtId="166" fontId="63" fillId="0" borderId="0" xfId="405" applyNumberFormat="1" applyFont="1"/>
    <xf numFmtId="0" fontId="63" fillId="0" borderId="0" xfId="23" applyFont="1"/>
    <xf numFmtId="171" fontId="11" fillId="0" borderId="0" xfId="407" applyNumberFormat="1" applyFont="1"/>
    <xf numFmtId="0" fontId="65" fillId="0" borderId="40" xfId="23" applyFont="1" applyBorder="1" applyAlignment="1">
      <alignment horizontal="center"/>
    </xf>
    <xf numFmtId="0" fontId="65" fillId="0" borderId="40" xfId="23" applyFont="1" applyBorder="1"/>
    <xf numFmtId="1" fontId="65" fillId="39" borderId="39" xfId="408" applyNumberFormat="1" applyFont="1" applyAlignment="1">
      <alignment horizontal="center"/>
    </xf>
    <xf numFmtId="0" fontId="65" fillId="0" borderId="0" xfId="23" applyFont="1"/>
    <xf numFmtId="166" fontId="65" fillId="0" borderId="0" xfId="405" applyNumberFormat="1" applyFont="1"/>
    <xf numFmtId="166" fontId="66" fillId="0" borderId="0" xfId="405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05" applyNumberFormat="1" applyFont="1" applyBorder="1"/>
    <xf numFmtId="166" fontId="3" fillId="0" borderId="3" xfId="23" applyNumberFormat="1" applyFont="1" applyBorder="1"/>
    <xf numFmtId="0" fontId="63" fillId="0" borderId="0" xfId="409" applyNumberFormat="1" applyFont="1"/>
    <xf numFmtId="171" fontId="63" fillId="0" borderId="0" xfId="409" applyNumberFormat="1" applyFont="1"/>
    <xf numFmtId="171" fontId="63" fillId="0" borderId="0" xfId="409" applyNumberFormat="1" applyFont="1" applyFill="1"/>
    <xf numFmtId="166" fontId="3" fillId="0" borderId="0" xfId="405" applyNumberFormat="1" applyFont="1"/>
    <xf numFmtId="0" fontId="1" fillId="0" borderId="41" xfId="23" applyBorder="1" applyAlignment="1">
      <alignment horizontal="center"/>
    </xf>
    <xf numFmtId="166" fontId="12" fillId="0" borderId="41" xfId="405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173" fontId="11" fillId="41" borderId="35" xfId="405" applyNumberFormat="1" applyFont="1" applyFill="1" applyBorder="1"/>
    <xf numFmtId="173" fontId="11" fillId="0" borderId="35" xfId="405" applyNumberFormat="1" applyFont="1" applyBorder="1"/>
    <xf numFmtId="0" fontId="11" fillId="39" borderId="42" xfId="404" applyFont="1" applyBorder="1" applyAlignment="1">
      <alignment horizontal="center"/>
    </xf>
    <xf numFmtId="0" fontId="63" fillId="2" borderId="40" xfId="23" applyFont="1" applyFill="1" applyBorder="1"/>
    <xf numFmtId="166" fontId="63" fillId="2" borderId="40" xfId="405" applyNumberFormat="1" applyFont="1" applyFill="1" applyBorder="1"/>
    <xf numFmtId="166" fontId="64" fillId="2" borderId="40" xfId="23" applyNumberFormat="1" applyFont="1" applyFill="1" applyBorder="1"/>
    <xf numFmtId="173" fontId="63" fillId="0" borderId="35" xfId="405" applyNumberFormat="1" applyFont="1" applyBorder="1"/>
    <xf numFmtId="0" fontId="63" fillId="0" borderId="43" xfId="23" applyFont="1" applyBorder="1"/>
    <xf numFmtId="166" fontId="63" fillId="0" borderId="35" xfId="405" applyNumberFormat="1" applyFont="1" applyBorder="1"/>
    <xf numFmtId="0" fontId="1" fillId="2" borderId="3" xfId="23" applyFill="1" applyBorder="1"/>
    <xf numFmtId="166" fontId="11" fillId="2" borderId="3" xfId="405" applyNumberFormat="1" applyFont="1" applyFill="1" applyBorder="1"/>
    <xf numFmtId="166" fontId="3" fillId="2" borderId="3" xfId="23" applyNumberFormat="1" applyFont="1" applyFill="1" applyBorder="1"/>
    <xf numFmtId="166" fontId="11" fillId="0" borderId="35" xfId="405" applyNumberFormat="1" applyFont="1" applyBorder="1"/>
    <xf numFmtId="173" fontId="1" fillId="41" borderId="35" xfId="23" applyNumberFormat="1" applyFill="1" applyBorder="1"/>
    <xf numFmtId="173" fontId="12" fillId="0" borderId="41" xfId="405" applyNumberFormat="1" applyFont="1" applyBorder="1"/>
    <xf numFmtId="0" fontId="9" fillId="0" borderId="0" xfId="23" applyFont="1"/>
    <xf numFmtId="0" fontId="65" fillId="0" borderId="0" xfId="409" applyNumberFormat="1" applyFont="1"/>
    <xf numFmtId="43" fontId="11" fillId="0" borderId="0" xfId="405" applyFont="1"/>
    <xf numFmtId="0" fontId="9" fillId="0" borderId="3" xfId="23" applyFont="1" applyBorder="1"/>
    <xf numFmtId="44" fontId="11" fillId="39" borderId="39" xfId="404" applyNumberFormat="1" applyFont="1"/>
    <xf numFmtId="44" fontId="11" fillId="0" borderId="0" xfId="410" applyFont="1"/>
    <xf numFmtId="44" fontId="3" fillId="0" borderId="0" xfId="410" applyFont="1"/>
    <xf numFmtId="0" fontId="67" fillId="38" borderId="34" xfId="23" applyFont="1" applyFill="1" applyBorder="1"/>
    <xf numFmtId="166" fontId="67" fillId="38" borderId="34" xfId="405" applyNumberFormat="1" applyFont="1" applyFill="1" applyBorder="1"/>
    <xf numFmtId="166" fontId="68" fillId="38" borderId="34" xfId="23" applyNumberFormat="1" applyFont="1" applyFill="1" applyBorder="1"/>
    <xf numFmtId="9" fontId="3" fillId="0" borderId="0" xfId="407" applyFont="1"/>
    <xf numFmtId="43" fontId="1" fillId="0" borderId="0" xfId="1" applyFont="1"/>
    <xf numFmtId="0" fontId="71" fillId="0" borderId="0" xfId="412" applyFont="1"/>
    <xf numFmtId="0" fontId="72" fillId="0" borderId="0" xfId="411" applyFont="1"/>
    <xf numFmtId="43" fontId="49" fillId="0" borderId="0" xfId="1" applyFont="1" applyFill="1" applyBorder="1"/>
    <xf numFmtId="43" fontId="2" fillId="0" borderId="0" xfId="1" applyFont="1"/>
    <xf numFmtId="0" fontId="2" fillId="0" borderId="0" xfId="412"/>
    <xf numFmtId="0" fontId="0" fillId="5" borderId="0" xfId="0" applyFill="1"/>
    <xf numFmtId="43" fontId="71" fillId="0" borderId="0" xfId="1" applyFont="1" applyFill="1" applyAlignment="1">
      <alignment horizontal="center"/>
    </xf>
    <xf numFmtId="43" fontId="71" fillId="0" borderId="0" xfId="1" applyFont="1" applyAlignment="1">
      <alignment horizontal="center"/>
    </xf>
    <xf numFmtId="0" fontId="2" fillId="0" borderId="0" xfId="412" applyAlignment="1">
      <alignment horizontal="center"/>
    </xf>
    <xf numFmtId="0" fontId="71" fillId="0" borderId="0" xfId="412" applyFont="1" applyAlignment="1">
      <alignment horizontal="center"/>
    </xf>
    <xf numFmtId="14" fontId="2" fillId="0" borderId="0" xfId="412" applyNumberFormat="1" applyAlignment="1">
      <alignment horizontal="center"/>
    </xf>
    <xf numFmtId="14" fontId="3" fillId="0" borderId="0" xfId="1" applyNumberFormat="1" applyFont="1" applyAlignment="1">
      <alignment horizontal="center"/>
    </xf>
    <xf numFmtId="14" fontId="3" fillId="0" borderId="0" xfId="1" applyNumberFormat="1" applyFont="1"/>
    <xf numFmtId="14" fontId="3" fillId="0" borderId="0" xfId="0" applyNumberFormat="1" applyFont="1"/>
    <xf numFmtId="43" fontId="2" fillId="0" borderId="0" xfId="1" applyFont="1" applyFill="1"/>
    <xf numFmtId="4" fontId="2" fillId="0" borderId="0" xfId="412" applyNumberFormat="1"/>
    <xf numFmtId="0" fontId="2" fillId="5" borderId="0" xfId="412" applyFill="1"/>
    <xf numFmtId="43" fontId="2" fillId="5" borderId="0" xfId="1" applyFont="1" applyFill="1"/>
    <xf numFmtId="0" fontId="2" fillId="0" borderId="0" xfId="378"/>
    <xf numFmtId="44" fontId="2" fillId="0" borderId="0" xfId="10" applyFont="1" applyFill="1"/>
    <xf numFmtId="43" fontId="2" fillId="0" borderId="0" xfId="412" applyNumberFormat="1"/>
    <xf numFmtId="43" fontId="73" fillId="0" borderId="0" xfId="1" applyFont="1" applyFill="1"/>
    <xf numFmtId="44" fontId="0" fillId="42" borderId="0" xfId="2" applyFont="1" applyFill="1"/>
    <xf numFmtId="44" fontId="0" fillId="42" borderId="1" xfId="2" applyFont="1" applyFill="1" applyBorder="1"/>
    <xf numFmtId="169" fontId="0" fillId="0" borderId="0" xfId="0" applyNumberFormat="1"/>
    <xf numFmtId="166" fontId="11" fillId="42" borderId="0" xfId="1" applyNumberFormat="1" applyFont="1" applyFill="1" applyAlignment="1">
      <alignment horizontal="left" indent="2"/>
    </xf>
    <xf numFmtId="166" fontId="11" fillId="42" borderId="0" xfId="1" applyNumberFormat="1" applyFont="1" applyFill="1" applyBorder="1" applyAlignment="1">
      <alignment horizontal="left" indent="2"/>
    </xf>
    <xf numFmtId="0" fontId="0" fillId="43" borderId="0" xfId="0" applyFill="1" applyAlignment="1">
      <alignment horizontal="left" vertical="center"/>
    </xf>
    <xf numFmtId="0" fontId="11" fillId="43" borderId="0" xfId="4" applyFont="1" applyFill="1" applyAlignment="1">
      <alignment horizontal="left"/>
    </xf>
    <xf numFmtId="43" fontId="0" fillId="43" borderId="0" xfId="1" applyFont="1" applyFill="1" applyBorder="1"/>
    <xf numFmtId="37" fontId="11" fillId="43" borderId="0" xfId="4" applyNumberFormat="1" applyFont="1" applyFill="1" applyAlignment="1">
      <alignment horizontal="right"/>
    </xf>
    <xf numFmtId="166" fontId="11" fillId="43" borderId="0" xfId="1" applyNumberFormat="1" applyFont="1" applyFill="1" applyBorder="1" applyAlignment="1">
      <alignment horizontal="left" indent="2"/>
    </xf>
    <xf numFmtId="166" fontId="0" fillId="43" borderId="0" xfId="1" applyNumberFormat="1" applyFont="1" applyFill="1" applyBorder="1"/>
    <xf numFmtId="166" fontId="0" fillId="43" borderId="0" xfId="1" applyNumberFormat="1" applyFont="1" applyFill="1" applyBorder="1" applyAlignment="1">
      <alignment horizontal="center" wrapText="1"/>
    </xf>
    <xf numFmtId="44" fontId="0" fillId="43" borderId="0" xfId="2" applyFont="1" applyFill="1" applyBorder="1"/>
    <xf numFmtId="166" fontId="11" fillId="42" borderId="1" xfId="1" applyNumberFormat="1" applyFont="1" applyFill="1" applyBorder="1" applyAlignment="1">
      <alignment horizontal="left" indent="2"/>
    </xf>
    <xf numFmtId="44" fontId="0" fillId="42" borderId="0" xfId="2" applyFont="1" applyFill="1" applyBorder="1"/>
    <xf numFmtId="44" fontId="11" fillId="42" borderId="0" xfId="10" applyFont="1" applyFill="1" applyBorder="1"/>
    <xf numFmtId="0" fontId="3" fillId="0" borderId="0" xfId="23" applyFont="1" applyAlignment="1">
      <alignment horizontal="center"/>
    </xf>
    <xf numFmtId="166" fontId="11" fillId="0" borderId="0" xfId="405" applyNumberFormat="1" applyFont="1" applyFill="1"/>
    <xf numFmtId="166" fontId="11" fillId="0" borderId="1" xfId="405" applyNumberFormat="1" applyFont="1" applyFill="1" applyBorder="1"/>
    <xf numFmtId="43" fontId="1" fillId="0" borderId="0" xfId="23" applyNumberFormat="1"/>
    <xf numFmtId="0" fontId="75" fillId="0" borderId="0" xfId="23" applyFont="1" applyAlignment="1">
      <alignment horizontal="left" vertical="center"/>
    </xf>
    <xf numFmtId="8" fontId="11" fillId="39" borderId="39" xfId="404" applyNumberFormat="1" applyFont="1"/>
    <xf numFmtId="44" fontId="11" fillId="0" borderId="0" xfId="413" applyFont="1"/>
    <xf numFmtId="44" fontId="11" fillId="0" borderId="0" xfId="410" applyFont="1" applyFill="1"/>
    <xf numFmtId="166" fontId="9" fillId="0" borderId="1" xfId="405" applyNumberFormat="1" applyFont="1" applyFill="1" applyBorder="1"/>
    <xf numFmtId="0" fontId="1" fillId="44" borderId="0" xfId="23" applyFill="1" applyAlignment="1">
      <alignment horizontal="center"/>
    </xf>
    <xf numFmtId="0" fontId="1" fillId="44" borderId="0" xfId="23" applyFill="1"/>
    <xf numFmtId="166" fontId="11" fillId="44" borderId="0" xfId="405" applyNumberFormat="1" applyFont="1" applyFill="1"/>
    <xf numFmtId="166" fontId="3" fillId="44" borderId="0" xfId="23" applyNumberFormat="1" applyFont="1" applyFill="1"/>
    <xf numFmtId="166" fontId="11" fillId="0" borderId="44" xfId="405" applyNumberFormat="1" applyFont="1" applyBorder="1"/>
    <xf numFmtId="166" fontId="11" fillId="0" borderId="45" xfId="405" applyNumberFormat="1" applyFont="1" applyBorder="1"/>
    <xf numFmtId="166" fontId="11" fillId="0" borderId="46" xfId="405" applyNumberFormat="1" applyFont="1" applyBorder="1"/>
    <xf numFmtId="166" fontId="11" fillId="0" borderId="47" xfId="405" applyNumberFormat="1" applyFont="1" applyBorder="1"/>
    <xf numFmtId="166" fontId="11" fillId="0" borderId="22" xfId="405" applyNumberFormat="1" applyFont="1" applyBorder="1"/>
    <xf numFmtId="166" fontId="12" fillId="45" borderId="48" xfId="405" applyNumberFormat="1" applyFont="1" applyFill="1" applyBorder="1"/>
    <xf numFmtId="166" fontId="12" fillId="45" borderId="2" xfId="405" applyNumberFormat="1" applyFont="1" applyFill="1" applyBorder="1"/>
    <xf numFmtId="166" fontId="12" fillId="45" borderId="24" xfId="405" applyNumberFormat="1" applyFont="1" applyFill="1" applyBorder="1"/>
    <xf numFmtId="44" fontId="11" fillId="0" borderId="0" xfId="10" applyFont="1" applyFill="1" applyBorder="1"/>
    <xf numFmtId="169" fontId="0" fillId="0" borderId="0" xfId="2" applyNumberFormat="1" applyFont="1" applyFill="1"/>
    <xf numFmtId="166" fontId="0" fillId="0" borderId="3" xfId="1" applyNumberFormat="1" applyFont="1" applyFill="1" applyBorder="1"/>
    <xf numFmtId="166" fontId="0" fillId="0" borderId="3" xfId="1" applyNumberFormat="1" applyFont="1" applyFill="1" applyBorder="1" applyAlignment="1">
      <alignment horizontal="center" wrapText="1"/>
    </xf>
    <xf numFmtId="166" fontId="11" fillId="42" borderId="0" xfId="373" applyNumberFormat="1" applyFont="1" applyFill="1"/>
    <xf numFmtId="166" fontId="0" fillId="42" borderId="0" xfId="1" applyNumberFormat="1" applyFont="1" applyFill="1" applyBorder="1"/>
    <xf numFmtId="44" fontId="11" fillId="42" borderId="3" xfId="10" applyFont="1" applyFill="1" applyBorder="1"/>
    <xf numFmtId="10" fontId="0" fillId="0" borderId="0" xfId="3" applyNumberFormat="1" applyFont="1" applyFill="1"/>
    <xf numFmtId="171" fontId="0" fillId="0" borderId="0" xfId="3" applyNumberFormat="1" applyFont="1" applyFill="1" applyBorder="1"/>
    <xf numFmtId="10" fontId="0" fillId="0" borderId="0" xfId="3" applyNumberFormat="1" applyFont="1" applyFill="1" applyBorder="1"/>
    <xf numFmtId="0" fontId="76" fillId="6" borderId="0" xfId="0" applyFont="1" applyFill="1" applyAlignment="1">
      <alignment horizontal="center" wrapText="1"/>
    </xf>
    <xf numFmtId="0" fontId="7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4" fontId="3" fillId="0" borderId="0" xfId="2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 vertical="center" textRotation="90"/>
    </xf>
    <xf numFmtId="0" fontId="0" fillId="0" borderId="3" xfId="0" applyBorder="1" applyAlignment="1">
      <alignment vertical="center" textRotation="90"/>
    </xf>
    <xf numFmtId="8" fontId="0" fillId="43" borderId="0" xfId="2" applyNumberFormat="1" applyFont="1" applyFill="1" applyBorder="1"/>
    <xf numFmtId="43" fontId="2" fillId="46" borderId="0" xfId="1" applyFont="1" applyFill="1"/>
    <xf numFmtId="43" fontId="77" fillId="0" borderId="0" xfId="1" applyFont="1" applyFill="1"/>
    <xf numFmtId="44" fontId="0" fillId="0" borderId="0" xfId="2" applyFont="1"/>
    <xf numFmtId="44" fontId="0" fillId="0" borderId="1" xfId="2" applyFont="1" applyBorder="1"/>
    <xf numFmtId="0" fontId="79" fillId="0" borderId="0" xfId="0" applyFont="1"/>
    <xf numFmtId="166" fontId="9" fillId="0" borderId="0" xfId="0" applyNumberFormat="1" applyFont="1"/>
    <xf numFmtId="44" fontId="9" fillId="0" borderId="0" xfId="2" applyFont="1"/>
    <xf numFmtId="166" fontId="78" fillId="0" borderId="0" xfId="414" applyNumberFormat="1"/>
    <xf numFmtId="166" fontId="78" fillId="0" borderId="1" xfId="414" applyNumberFormat="1" applyBorder="1"/>
    <xf numFmtId="44" fontId="9" fillId="0" borderId="0" xfId="0" applyNumberFormat="1" applyFont="1"/>
    <xf numFmtId="0" fontId="0" fillId="6" borderId="0" xfId="0" applyFill="1" applyAlignment="1">
      <alignment horizontal="center"/>
    </xf>
    <xf numFmtId="0" fontId="0" fillId="0" borderId="3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3" fillId="6" borderId="1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  <xf numFmtId="0" fontId="3" fillId="5" borderId="0" xfId="23" applyFont="1" applyFill="1" applyAlignment="1">
      <alignment horizontal="left"/>
    </xf>
  </cellXfs>
  <cellStyles count="415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1" xfId="396" xr:uid="{00000000-0005-0000-0000-00006C000000}"/>
    <cellStyle name="Comma 3" xfId="9" xr:uid="{00000000-0005-0000-0000-00006D000000}"/>
    <cellStyle name="Comma 3 2" xfId="106" xr:uid="{00000000-0005-0000-0000-00006E000000}"/>
    <cellStyle name="Comma 3 2 2" xfId="107" xr:uid="{00000000-0005-0000-0000-00006F000000}"/>
    <cellStyle name="Comma 3 3" xfId="287" xr:uid="{00000000-0005-0000-0000-000070000000}"/>
    <cellStyle name="Comma 3 4" xfId="322" xr:uid="{00000000-0005-0000-0000-000071000000}"/>
    <cellStyle name="Comma 4" xfId="108" xr:uid="{00000000-0005-0000-0000-000072000000}"/>
    <cellStyle name="Comma 4 2" xfId="109" xr:uid="{00000000-0005-0000-0000-000073000000}"/>
    <cellStyle name="Comma 4 2 2" xfId="288" xr:uid="{00000000-0005-0000-0000-000074000000}"/>
    <cellStyle name="Comma 4 3" xfId="110" xr:uid="{00000000-0005-0000-0000-000075000000}"/>
    <cellStyle name="Comma 4 3 2" xfId="289" xr:uid="{00000000-0005-0000-0000-000076000000}"/>
    <cellStyle name="Comma 4 4" xfId="290" xr:uid="{00000000-0005-0000-0000-000077000000}"/>
    <cellStyle name="Comma 4 5" xfId="111" xr:uid="{00000000-0005-0000-0000-000078000000}"/>
    <cellStyle name="Comma 4 6" xfId="280" xr:uid="{00000000-0005-0000-0000-000079000000}"/>
    <cellStyle name="Comma 5" xfId="112" xr:uid="{00000000-0005-0000-0000-00007A000000}"/>
    <cellStyle name="Comma 6" xfId="113" xr:uid="{00000000-0005-0000-0000-00007B000000}"/>
    <cellStyle name="Comma 6 2" xfId="323" xr:uid="{00000000-0005-0000-0000-00007C000000}"/>
    <cellStyle name="Comma 7" xfId="114" xr:uid="{00000000-0005-0000-0000-00007D000000}"/>
    <cellStyle name="Comma 7 2" xfId="405" xr:uid="{F7825E2E-B097-49F7-A0EC-FECA4C1B829C}"/>
    <cellStyle name="Comma 8" xfId="115" xr:uid="{00000000-0005-0000-0000-00007E000000}"/>
    <cellStyle name="Comma 9" xfId="116" xr:uid="{00000000-0005-0000-0000-00007F000000}"/>
    <cellStyle name="Comma(2)" xfId="117" xr:uid="{00000000-0005-0000-0000-000080000000}"/>
    <cellStyle name="Comma0 - Style2" xfId="118" xr:uid="{00000000-0005-0000-0000-000081000000}"/>
    <cellStyle name="Comma1 - Style1" xfId="119" xr:uid="{00000000-0005-0000-0000-000082000000}"/>
    <cellStyle name="Comments" xfId="120" xr:uid="{00000000-0005-0000-0000-000083000000}"/>
    <cellStyle name="Currency" xfId="2" builtinId="4"/>
    <cellStyle name="Currency 10" xfId="324" xr:uid="{00000000-0005-0000-0000-000085000000}"/>
    <cellStyle name="Currency 11" xfId="371" xr:uid="{00000000-0005-0000-0000-000086000000}"/>
    <cellStyle name="Currency 12" xfId="397" xr:uid="{00000000-0005-0000-0000-000087000000}"/>
    <cellStyle name="Currency 13" xfId="413" xr:uid="{DB06B991-BB4E-429F-8B48-D420E189666A}"/>
    <cellStyle name="Currency 2" xfId="10" xr:uid="{00000000-0005-0000-0000-000088000000}"/>
    <cellStyle name="Currency 2 2" xfId="11" xr:uid="{00000000-0005-0000-0000-000089000000}"/>
    <cellStyle name="Currency 2 2 2" xfId="123" xr:uid="{00000000-0005-0000-0000-00008A000000}"/>
    <cellStyle name="Currency 2 3" xfId="122" xr:uid="{00000000-0005-0000-0000-00008B000000}"/>
    <cellStyle name="Currency 2 3 2" xfId="325" xr:uid="{00000000-0005-0000-0000-00008C000000}"/>
    <cellStyle name="Currency 2 6" xfId="12" xr:uid="{00000000-0005-0000-0000-00008D000000}"/>
    <cellStyle name="Currency 2 6 2" xfId="13" xr:uid="{00000000-0005-0000-0000-00008E000000}"/>
    <cellStyle name="Currency 3" xfId="14" xr:uid="{00000000-0005-0000-0000-00008F000000}"/>
    <cellStyle name="Currency 3 2" xfId="125" xr:uid="{00000000-0005-0000-0000-000090000000}"/>
    <cellStyle name="Currency 3 3" xfId="124" xr:uid="{00000000-0005-0000-0000-000091000000}"/>
    <cellStyle name="Currency 3 4" xfId="291" xr:uid="{00000000-0005-0000-0000-000092000000}"/>
    <cellStyle name="Currency 4" xfId="15" xr:uid="{00000000-0005-0000-0000-000093000000}"/>
    <cellStyle name="Currency 4 2" xfId="16" xr:uid="{00000000-0005-0000-0000-000094000000}"/>
    <cellStyle name="Currency 5" xfId="121" xr:uid="{00000000-0005-0000-0000-000095000000}"/>
    <cellStyle name="Currency 5 2" xfId="276" xr:uid="{00000000-0005-0000-0000-000096000000}"/>
    <cellStyle name="Currency 5 3" xfId="292" xr:uid="{00000000-0005-0000-0000-000097000000}"/>
    <cellStyle name="Currency 6" xfId="293" xr:uid="{00000000-0005-0000-0000-000098000000}"/>
    <cellStyle name="Currency 7" xfId="294" xr:uid="{00000000-0005-0000-0000-000099000000}"/>
    <cellStyle name="Currency 7 2" xfId="410" xr:uid="{898510EC-5DD1-428F-82C6-564A49ED963E}"/>
    <cellStyle name="Currency 8" xfId="326" xr:uid="{00000000-0005-0000-0000-00009A000000}"/>
    <cellStyle name="Currency 9" xfId="327" xr:uid="{00000000-0005-0000-0000-00009B000000}"/>
    <cellStyle name="Data Enter" xfId="126" xr:uid="{00000000-0005-0000-0000-00009C000000}"/>
    <cellStyle name="date" xfId="328" xr:uid="{00000000-0005-0000-0000-00009D000000}"/>
    <cellStyle name="Explanatory Text 2" xfId="128" xr:uid="{00000000-0005-0000-0000-00009E000000}"/>
    <cellStyle name="Explanatory Text 3" xfId="127" xr:uid="{00000000-0005-0000-0000-00009F000000}"/>
    <cellStyle name="FactSheet" xfId="129" xr:uid="{00000000-0005-0000-0000-0000A0000000}"/>
    <cellStyle name="fish" xfId="329" xr:uid="{00000000-0005-0000-0000-0000A1000000}"/>
    <cellStyle name="Good 2" xfId="131" xr:uid="{00000000-0005-0000-0000-0000A2000000}"/>
    <cellStyle name="Good 3" xfId="130" xr:uid="{00000000-0005-0000-0000-0000A3000000}"/>
    <cellStyle name="Heading 1 2" xfId="133" xr:uid="{00000000-0005-0000-0000-0000A4000000}"/>
    <cellStyle name="Heading 1 2 2" xfId="330" xr:uid="{00000000-0005-0000-0000-0000A5000000}"/>
    <cellStyle name="Heading 1 3" xfId="132" xr:uid="{00000000-0005-0000-0000-0000A6000000}"/>
    <cellStyle name="Heading 1 3 2" xfId="331" xr:uid="{00000000-0005-0000-0000-0000A7000000}"/>
    <cellStyle name="Heading 2 2" xfId="135" xr:uid="{00000000-0005-0000-0000-0000A8000000}"/>
    <cellStyle name="Heading 2 2 2" xfId="332" xr:uid="{00000000-0005-0000-0000-0000A9000000}"/>
    <cellStyle name="Heading 2 3" xfId="134" xr:uid="{00000000-0005-0000-0000-0000AA000000}"/>
    <cellStyle name="Heading 2 3 2" xfId="333" xr:uid="{00000000-0005-0000-0000-0000AB000000}"/>
    <cellStyle name="Heading 3 2" xfId="137" xr:uid="{00000000-0005-0000-0000-0000AC000000}"/>
    <cellStyle name="Heading 3 2 2" xfId="334" xr:uid="{00000000-0005-0000-0000-0000AD000000}"/>
    <cellStyle name="Heading 3 3" xfId="136" xr:uid="{00000000-0005-0000-0000-0000AE000000}"/>
    <cellStyle name="Heading 3 3 2" xfId="335" xr:uid="{00000000-0005-0000-0000-0000AF000000}"/>
    <cellStyle name="Heading 4 2" xfId="139" xr:uid="{00000000-0005-0000-0000-0000B0000000}"/>
    <cellStyle name="Heading 4 3" xfId="138" xr:uid="{00000000-0005-0000-0000-0000B1000000}"/>
    <cellStyle name="Heading 4 4" xfId="398" xr:uid="{00000000-0005-0000-0000-0000B2000000}"/>
    <cellStyle name="Hyperlink" xfId="414" builtinId="8"/>
    <cellStyle name="Hyperlink 2" xfId="140" xr:uid="{00000000-0005-0000-0000-0000B3000000}"/>
    <cellStyle name="Hyperlink 3" xfId="141" xr:uid="{00000000-0005-0000-0000-0000B4000000}"/>
    <cellStyle name="Hyperlink 3 2" xfId="295" xr:uid="{00000000-0005-0000-0000-0000B5000000}"/>
    <cellStyle name="Input 2" xfId="143" xr:uid="{00000000-0005-0000-0000-0000B6000000}"/>
    <cellStyle name="Input 3" xfId="142" xr:uid="{00000000-0005-0000-0000-0000B7000000}"/>
    <cellStyle name="Input 4" xfId="399" xr:uid="{00000000-0005-0000-0000-0000B8000000}"/>
    <cellStyle name="input(0)" xfId="144" xr:uid="{00000000-0005-0000-0000-0000B9000000}"/>
    <cellStyle name="Input(2)" xfId="145" xr:uid="{00000000-0005-0000-0000-0000BA000000}"/>
    <cellStyle name="Linked Cell 2" xfId="147" xr:uid="{00000000-0005-0000-0000-0000BB000000}"/>
    <cellStyle name="Linked Cell 2 2" xfId="336" xr:uid="{00000000-0005-0000-0000-0000BC000000}"/>
    <cellStyle name="Linked Cell 3" xfId="146" xr:uid="{00000000-0005-0000-0000-0000BD000000}"/>
    <cellStyle name="Neutral 2" xfId="149" xr:uid="{00000000-0005-0000-0000-0000BE000000}"/>
    <cellStyle name="Neutral 2 2" xfId="337" xr:uid="{00000000-0005-0000-0000-0000BF000000}"/>
    <cellStyle name="Neutral 3" xfId="148" xr:uid="{00000000-0005-0000-0000-0000C0000000}"/>
    <cellStyle name="New_normal" xfId="150" xr:uid="{00000000-0005-0000-0000-0000C1000000}"/>
    <cellStyle name="Normal" xfId="0" builtinId="0"/>
    <cellStyle name="Normal - Style1" xfId="151" xr:uid="{00000000-0005-0000-0000-0000C3000000}"/>
    <cellStyle name="Normal - Style2" xfId="152" xr:uid="{00000000-0005-0000-0000-0000C4000000}"/>
    <cellStyle name="Normal - Style3" xfId="153" xr:uid="{00000000-0005-0000-0000-0000C5000000}"/>
    <cellStyle name="Normal - Style4" xfId="154" xr:uid="{00000000-0005-0000-0000-0000C6000000}"/>
    <cellStyle name="Normal - Style5" xfId="155" xr:uid="{00000000-0005-0000-0000-0000C7000000}"/>
    <cellStyle name="Normal 10" xfId="156" xr:uid="{00000000-0005-0000-0000-0000C8000000}"/>
    <cellStyle name="Normal 10 2" xfId="17" xr:uid="{00000000-0005-0000-0000-0000C9000000}"/>
    <cellStyle name="Normal 10 2 2" xfId="339" xr:uid="{00000000-0005-0000-0000-0000CA000000}"/>
    <cellStyle name="Normal 10 2 3" xfId="338" xr:uid="{00000000-0005-0000-0000-0000CB000000}"/>
    <cellStyle name="Normal 10_2112 DF Schedule" xfId="340" xr:uid="{00000000-0005-0000-0000-0000CC000000}"/>
    <cellStyle name="Normal 100" xfId="380" xr:uid="{00000000-0005-0000-0000-0000CD000000}"/>
    <cellStyle name="Normal 101" xfId="382" xr:uid="{00000000-0005-0000-0000-0000CE000000}"/>
    <cellStyle name="Normal 102" xfId="383" xr:uid="{00000000-0005-0000-0000-0000CF000000}"/>
    <cellStyle name="Normal 103" xfId="384" xr:uid="{00000000-0005-0000-0000-0000D0000000}"/>
    <cellStyle name="Normal 104" xfId="385" xr:uid="{00000000-0005-0000-0000-0000D1000000}"/>
    <cellStyle name="Normal 105" xfId="381" xr:uid="{00000000-0005-0000-0000-0000D2000000}"/>
    <cellStyle name="Normal 106" xfId="386" xr:uid="{00000000-0005-0000-0000-0000D3000000}"/>
    <cellStyle name="Normal 107" xfId="387" xr:uid="{00000000-0005-0000-0000-0000D4000000}"/>
    <cellStyle name="Normal 108" xfId="388" xr:uid="{00000000-0005-0000-0000-0000D5000000}"/>
    <cellStyle name="Normal 109" xfId="389" xr:uid="{00000000-0005-0000-0000-0000D6000000}"/>
    <cellStyle name="Normal 11" xfId="157" xr:uid="{00000000-0005-0000-0000-0000D7000000}"/>
    <cellStyle name="Normal 12" xfId="158" xr:uid="{00000000-0005-0000-0000-0000D8000000}"/>
    <cellStyle name="Normal 12 2" xfId="341" xr:uid="{00000000-0005-0000-0000-0000D9000000}"/>
    <cellStyle name="Normal 13" xfId="159" xr:uid="{00000000-0005-0000-0000-0000DA000000}"/>
    <cellStyle name="Normal 13 2" xfId="342" xr:uid="{00000000-0005-0000-0000-0000DB000000}"/>
    <cellStyle name="Normal 14" xfId="160" xr:uid="{00000000-0005-0000-0000-0000DC000000}"/>
    <cellStyle name="Normal 14 2" xfId="343" xr:uid="{00000000-0005-0000-0000-0000DD000000}"/>
    <cellStyle name="Normal 15" xfId="161" xr:uid="{00000000-0005-0000-0000-0000DE000000}"/>
    <cellStyle name="Normal 15 2" xfId="344" xr:uid="{00000000-0005-0000-0000-0000DF000000}"/>
    <cellStyle name="Normal 16" xfId="162" xr:uid="{00000000-0005-0000-0000-0000E0000000}"/>
    <cellStyle name="Normal 16 2" xfId="345" xr:uid="{00000000-0005-0000-0000-0000E1000000}"/>
    <cellStyle name="Normal 163" xfId="406" xr:uid="{27DB31C2-0860-4A82-BA18-914633BFB6E6}"/>
    <cellStyle name="Normal 17" xfId="163" xr:uid="{00000000-0005-0000-0000-0000E2000000}"/>
    <cellStyle name="Normal 17 2" xfId="346" xr:uid="{00000000-0005-0000-0000-0000E3000000}"/>
    <cellStyle name="Normal 18" xfId="164" xr:uid="{00000000-0005-0000-0000-0000E4000000}"/>
    <cellStyle name="Normal 18 2" xfId="347" xr:uid="{00000000-0005-0000-0000-0000E5000000}"/>
    <cellStyle name="Normal 19" xfId="165" xr:uid="{00000000-0005-0000-0000-0000E6000000}"/>
    <cellStyle name="Normal 19 2" xfId="348" xr:uid="{00000000-0005-0000-0000-0000E7000000}"/>
    <cellStyle name="Normal 2" xfId="18" xr:uid="{00000000-0005-0000-0000-0000E8000000}"/>
    <cellStyle name="Normal 2 2" xfId="19" xr:uid="{00000000-0005-0000-0000-0000E9000000}"/>
    <cellStyle name="Normal 2 2 2" xfId="167" xr:uid="{00000000-0005-0000-0000-0000EA000000}"/>
    <cellStyle name="Normal 2 2 3" xfId="166" xr:uid="{00000000-0005-0000-0000-0000EB000000}"/>
    <cellStyle name="Normal 2 2_Actual_Fuel" xfId="168" xr:uid="{00000000-0005-0000-0000-0000EC000000}"/>
    <cellStyle name="Normal 2 3" xfId="169" xr:uid="{00000000-0005-0000-0000-0000ED000000}"/>
    <cellStyle name="Normal 2 3 2" xfId="170" xr:uid="{00000000-0005-0000-0000-0000EE000000}"/>
    <cellStyle name="Normal 2 3 3" xfId="296" xr:uid="{00000000-0005-0000-0000-0000EF000000}"/>
    <cellStyle name="Normal 2 4" xfId="297" xr:uid="{00000000-0005-0000-0000-0000F0000000}"/>
    <cellStyle name="Normal 2 5" xfId="298" xr:uid="{00000000-0005-0000-0000-0000F1000000}"/>
    <cellStyle name="Normal 2_2012-10" xfId="171" xr:uid="{00000000-0005-0000-0000-0000F2000000}"/>
    <cellStyle name="Normal 20" xfId="172" xr:uid="{00000000-0005-0000-0000-0000F3000000}"/>
    <cellStyle name="Normal 21" xfId="173" xr:uid="{00000000-0005-0000-0000-0000F4000000}"/>
    <cellStyle name="Normal 22" xfId="174" xr:uid="{00000000-0005-0000-0000-0000F5000000}"/>
    <cellStyle name="Normal 23" xfId="175" xr:uid="{00000000-0005-0000-0000-0000F6000000}"/>
    <cellStyle name="Normal 24" xfId="176" xr:uid="{00000000-0005-0000-0000-0000F7000000}"/>
    <cellStyle name="Normal 25" xfId="177" xr:uid="{00000000-0005-0000-0000-0000F8000000}"/>
    <cellStyle name="Normal 26" xfId="178" xr:uid="{00000000-0005-0000-0000-0000F9000000}"/>
    <cellStyle name="Normal 27" xfId="179" xr:uid="{00000000-0005-0000-0000-0000FA000000}"/>
    <cellStyle name="Normal 28" xfId="180" xr:uid="{00000000-0005-0000-0000-0000FB000000}"/>
    <cellStyle name="Normal 29" xfId="181" xr:uid="{00000000-0005-0000-0000-0000FC000000}"/>
    <cellStyle name="Normal 3" xfId="20" xr:uid="{00000000-0005-0000-0000-0000FD000000}"/>
    <cellStyle name="Normal 3 2" xfId="183" xr:uid="{00000000-0005-0000-0000-0000FE000000}"/>
    <cellStyle name="Normal 3 3" xfId="182" xr:uid="{00000000-0005-0000-0000-0000FF000000}"/>
    <cellStyle name="Normal 3 4" xfId="281" xr:uid="{00000000-0005-0000-0000-000000010000}"/>
    <cellStyle name="Normal 3_2012 PR" xfId="184" xr:uid="{00000000-0005-0000-0000-000001010000}"/>
    <cellStyle name="Normal 30" xfId="185" xr:uid="{00000000-0005-0000-0000-000002010000}"/>
    <cellStyle name="Normal 31" xfId="186" xr:uid="{00000000-0005-0000-0000-000003010000}"/>
    <cellStyle name="Normal 32" xfId="187" xr:uid="{00000000-0005-0000-0000-000004010000}"/>
    <cellStyle name="Normal 33" xfId="188" xr:uid="{00000000-0005-0000-0000-000005010000}"/>
    <cellStyle name="Normal 34" xfId="189" xr:uid="{00000000-0005-0000-0000-000006010000}"/>
    <cellStyle name="Normal 35" xfId="190" xr:uid="{00000000-0005-0000-0000-000007010000}"/>
    <cellStyle name="Normal 36" xfId="191" xr:uid="{00000000-0005-0000-0000-000008010000}"/>
    <cellStyle name="Normal 37" xfId="192" xr:uid="{00000000-0005-0000-0000-000009010000}"/>
    <cellStyle name="Normal 38" xfId="193" xr:uid="{00000000-0005-0000-0000-00000A010000}"/>
    <cellStyle name="Normal 39" xfId="194" xr:uid="{00000000-0005-0000-0000-00000B010000}"/>
    <cellStyle name="Normal 4" xfId="21" xr:uid="{00000000-0005-0000-0000-00000C010000}"/>
    <cellStyle name="Normal 4 2" xfId="195" xr:uid="{00000000-0005-0000-0000-00000D010000}"/>
    <cellStyle name="Normal 40" xfId="196" xr:uid="{00000000-0005-0000-0000-00000E010000}"/>
    <cellStyle name="Normal 41" xfId="197" xr:uid="{00000000-0005-0000-0000-00000F010000}"/>
    <cellStyle name="Normal 42" xfId="198" xr:uid="{00000000-0005-0000-0000-000010010000}"/>
    <cellStyle name="Normal 43" xfId="199" xr:uid="{00000000-0005-0000-0000-000011010000}"/>
    <cellStyle name="Normal 44" xfId="200" xr:uid="{00000000-0005-0000-0000-000012010000}"/>
    <cellStyle name="Normal 45" xfId="201" xr:uid="{00000000-0005-0000-0000-000013010000}"/>
    <cellStyle name="Normal 46" xfId="202" xr:uid="{00000000-0005-0000-0000-000014010000}"/>
    <cellStyle name="Normal 47" xfId="203" xr:uid="{00000000-0005-0000-0000-000015010000}"/>
    <cellStyle name="Normal 48" xfId="204" xr:uid="{00000000-0005-0000-0000-000016010000}"/>
    <cellStyle name="Normal 49" xfId="205" xr:uid="{00000000-0005-0000-0000-000017010000}"/>
    <cellStyle name="Normal 5" xfId="22" xr:uid="{00000000-0005-0000-0000-000018010000}"/>
    <cellStyle name="Normal 5 2" xfId="206" xr:uid="{00000000-0005-0000-0000-000019010000}"/>
    <cellStyle name="Normal 5_2112 DF Schedule" xfId="349" xr:uid="{00000000-0005-0000-0000-00001A010000}"/>
    <cellStyle name="Normal 50" xfId="207" xr:uid="{00000000-0005-0000-0000-00001B010000}"/>
    <cellStyle name="Normal 51" xfId="208" xr:uid="{00000000-0005-0000-0000-00001C010000}"/>
    <cellStyle name="Normal 52" xfId="209" xr:uid="{00000000-0005-0000-0000-00001D010000}"/>
    <cellStyle name="Normal 53" xfId="210" xr:uid="{00000000-0005-0000-0000-00001E010000}"/>
    <cellStyle name="Normal 54" xfId="211" xr:uid="{00000000-0005-0000-0000-00001F010000}"/>
    <cellStyle name="Normal 55" xfId="212" xr:uid="{00000000-0005-0000-0000-000020010000}"/>
    <cellStyle name="Normal 56" xfId="213" xr:uid="{00000000-0005-0000-0000-000021010000}"/>
    <cellStyle name="Normal 57" xfId="214" xr:uid="{00000000-0005-0000-0000-000022010000}"/>
    <cellStyle name="Normal 58" xfId="215" xr:uid="{00000000-0005-0000-0000-000023010000}"/>
    <cellStyle name="Normal 59" xfId="216" xr:uid="{00000000-0005-0000-0000-000024010000}"/>
    <cellStyle name="Normal 6" xfId="23" xr:uid="{00000000-0005-0000-0000-000025010000}"/>
    <cellStyle name="Normal 6 2" xfId="217" xr:uid="{00000000-0005-0000-0000-000026010000}"/>
    <cellStyle name="Normal 60" xfId="218" xr:uid="{00000000-0005-0000-0000-000027010000}"/>
    <cellStyle name="Normal 61" xfId="219" xr:uid="{00000000-0005-0000-0000-000028010000}"/>
    <cellStyle name="Normal 62" xfId="220" xr:uid="{00000000-0005-0000-0000-000029010000}"/>
    <cellStyle name="Normal 63" xfId="221" xr:uid="{00000000-0005-0000-0000-00002A010000}"/>
    <cellStyle name="Normal 64" xfId="222" xr:uid="{00000000-0005-0000-0000-00002B010000}"/>
    <cellStyle name="Normal 65" xfId="223" xr:uid="{00000000-0005-0000-0000-00002C010000}"/>
    <cellStyle name="Normal 66" xfId="224" xr:uid="{00000000-0005-0000-0000-00002D010000}"/>
    <cellStyle name="Normal 67" xfId="225" xr:uid="{00000000-0005-0000-0000-00002E010000}"/>
    <cellStyle name="Normal 68" xfId="226" xr:uid="{00000000-0005-0000-0000-00002F010000}"/>
    <cellStyle name="Normal 69" xfId="227" xr:uid="{00000000-0005-0000-0000-000030010000}"/>
    <cellStyle name="Normal 7" xfId="228" xr:uid="{00000000-0005-0000-0000-000031010000}"/>
    <cellStyle name="Normal 70" xfId="229" xr:uid="{00000000-0005-0000-0000-000032010000}"/>
    <cellStyle name="Normal 71" xfId="230" xr:uid="{00000000-0005-0000-0000-000033010000}"/>
    <cellStyle name="Normal 72" xfId="231" xr:uid="{00000000-0005-0000-0000-000034010000}"/>
    <cellStyle name="Normal 73" xfId="232" xr:uid="{00000000-0005-0000-0000-000035010000}"/>
    <cellStyle name="Normal 74" xfId="233" xr:uid="{00000000-0005-0000-0000-000036010000}"/>
    <cellStyle name="Normal 75" xfId="234" xr:uid="{00000000-0005-0000-0000-000037010000}"/>
    <cellStyle name="Normal 76" xfId="235" xr:uid="{00000000-0005-0000-0000-000038010000}"/>
    <cellStyle name="Normal 77" xfId="236" xr:uid="{00000000-0005-0000-0000-000039010000}"/>
    <cellStyle name="Normal 78" xfId="237" xr:uid="{00000000-0005-0000-0000-00003A010000}"/>
    <cellStyle name="Normal 79" xfId="238" xr:uid="{00000000-0005-0000-0000-00003B010000}"/>
    <cellStyle name="Normal 8" xfId="239" xr:uid="{00000000-0005-0000-0000-00003C010000}"/>
    <cellStyle name="Normal 80" xfId="240" xr:uid="{00000000-0005-0000-0000-00003D010000}"/>
    <cellStyle name="Normal 81" xfId="241" xr:uid="{00000000-0005-0000-0000-00003E010000}"/>
    <cellStyle name="Normal 82" xfId="242" xr:uid="{00000000-0005-0000-0000-00003F010000}"/>
    <cellStyle name="Normal 83" xfId="243" xr:uid="{00000000-0005-0000-0000-000040010000}"/>
    <cellStyle name="Normal 84" xfId="38" xr:uid="{00000000-0005-0000-0000-000041010000}"/>
    <cellStyle name="Normal 84 2" xfId="278" xr:uid="{00000000-0005-0000-0000-000042010000}"/>
    <cellStyle name="Normal 84 3" xfId="350" xr:uid="{00000000-0005-0000-0000-000043010000}"/>
    <cellStyle name="Normal 85" xfId="252" xr:uid="{00000000-0005-0000-0000-000044010000}"/>
    <cellStyle name="Normal 86" xfId="270" xr:uid="{00000000-0005-0000-0000-000045010000}"/>
    <cellStyle name="Normal 87" xfId="271" xr:uid="{00000000-0005-0000-0000-000046010000}"/>
    <cellStyle name="Normal 88" xfId="272" xr:uid="{00000000-0005-0000-0000-000047010000}"/>
    <cellStyle name="Normal 89" xfId="273" xr:uid="{00000000-0005-0000-0000-000048010000}"/>
    <cellStyle name="Normal 9" xfId="244" xr:uid="{00000000-0005-0000-0000-000049010000}"/>
    <cellStyle name="Normal 90" xfId="274" xr:uid="{00000000-0005-0000-0000-00004A010000}"/>
    <cellStyle name="Normal 91" xfId="279" xr:uid="{00000000-0005-0000-0000-00004B010000}"/>
    <cellStyle name="Normal 92" xfId="369" xr:uid="{00000000-0005-0000-0000-00004C010000}"/>
    <cellStyle name="Normal 93" xfId="373" xr:uid="{00000000-0005-0000-0000-00004D010000}"/>
    <cellStyle name="Normal 94" xfId="374" xr:uid="{00000000-0005-0000-0000-00004E010000}"/>
    <cellStyle name="Normal 95" xfId="375" xr:uid="{00000000-0005-0000-0000-00004F010000}"/>
    <cellStyle name="Normal 96" xfId="376" xr:uid="{00000000-0005-0000-0000-000050010000}"/>
    <cellStyle name="Normal 97" xfId="377" xr:uid="{00000000-0005-0000-0000-000051010000}"/>
    <cellStyle name="Normal 98" xfId="378" xr:uid="{00000000-0005-0000-0000-000052010000}"/>
    <cellStyle name="Normal 99" xfId="379" xr:uid="{00000000-0005-0000-0000-000053010000}"/>
    <cellStyle name="Normal_Book3" xfId="411" xr:uid="{CF235244-5536-4607-BD38-51847A4C31D3}"/>
    <cellStyle name="Normal_Price out" xfId="4" xr:uid="{00000000-0005-0000-0000-000056010000}"/>
    <cellStyle name="Normal_Sheet1" xfId="412" xr:uid="{6BE6EE55-52E1-4DB2-B64C-F09CB44875C9}"/>
    <cellStyle name="Note 2" xfId="246" xr:uid="{00000000-0005-0000-0000-000058010000}"/>
    <cellStyle name="Note 2 2" xfId="351" xr:uid="{00000000-0005-0000-0000-000059010000}"/>
    <cellStyle name="Note 3" xfId="245" xr:uid="{00000000-0005-0000-0000-00005A010000}"/>
    <cellStyle name="Note 3 2" xfId="352" xr:uid="{00000000-0005-0000-0000-00005B010000}"/>
    <cellStyle name="Note 4" xfId="400" xr:uid="{00000000-0005-0000-0000-00005C010000}"/>
    <cellStyle name="Note 5" xfId="408" xr:uid="{056BFE33-85C5-4EC8-B336-1BD3290479EA}"/>
    <cellStyle name="Note 6" xfId="404" xr:uid="{BFB5EAA5-2047-4037-911D-54FA3488D61B}"/>
    <cellStyle name="Notes" xfId="247" xr:uid="{00000000-0005-0000-0000-00005D010000}"/>
    <cellStyle name="Output 2" xfId="249" xr:uid="{00000000-0005-0000-0000-00005E010000}"/>
    <cellStyle name="Output 3" xfId="248" xr:uid="{00000000-0005-0000-0000-00005F010000}"/>
    <cellStyle name="Output 4" xfId="401" xr:uid="{00000000-0005-0000-0000-000060010000}"/>
    <cellStyle name="Percent" xfId="3" builtinId="5"/>
    <cellStyle name="Percent 10" xfId="402" xr:uid="{00000000-0005-0000-0000-000062010000}"/>
    <cellStyle name="Percent 11" xfId="407" xr:uid="{76512B36-3F7B-4D2A-84D8-95157A1109BE}"/>
    <cellStyle name="Percent 2" xfId="24" xr:uid="{00000000-0005-0000-0000-000063010000}"/>
    <cellStyle name="Percent 2 2" xfId="25" xr:uid="{00000000-0005-0000-0000-000064010000}"/>
    <cellStyle name="Percent 2 2 2" xfId="251" xr:uid="{00000000-0005-0000-0000-000065010000}"/>
    <cellStyle name="Percent 2 3" xfId="353" xr:uid="{00000000-0005-0000-0000-000066010000}"/>
    <cellStyle name="Percent 2 6" xfId="26" xr:uid="{00000000-0005-0000-0000-000067010000}"/>
    <cellStyle name="Percent 3" xfId="27" xr:uid="{00000000-0005-0000-0000-000068010000}"/>
    <cellStyle name="Percent 3 2" xfId="28" xr:uid="{00000000-0005-0000-0000-000069010000}"/>
    <cellStyle name="Percent 4" xfId="29" xr:uid="{00000000-0005-0000-0000-00006A010000}"/>
    <cellStyle name="Percent 4 2" xfId="355" xr:uid="{00000000-0005-0000-0000-00006B010000}"/>
    <cellStyle name="Percent 4 3" xfId="354" xr:uid="{00000000-0005-0000-0000-00006C010000}"/>
    <cellStyle name="Percent 5" xfId="253" xr:uid="{00000000-0005-0000-0000-00006D010000}"/>
    <cellStyle name="Percent 5 2" xfId="409" xr:uid="{A0FAB871-4DAE-44C1-AD5A-9FFFFBF298B8}"/>
    <cellStyle name="Percent 6" xfId="254" xr:uid="{00000000-0005-0000-0000-00006E010000}"/>
    <cellStyle name="Percent 7" xfId="250" xr:uid="{00000000-0005-0000-0000-00006F010000}"/>
    <cellStyle name="Percent 7 2" xfId="275" xr:uid="{00000000-0005-0000-0000-000070010000}"/>
    <cellStyle name="Percent 7 3" xfId="356" xr:uid="{00000000-0005-0000-0000-000071010000}"/>
    <cellStyle name="Percent 8" xfId="357" xr:uid="{00000000-0005-0000-0000-000072010000}"/>
    <cellStyle name="Percent 9" xfId="372" xr:uid="{00000000-0005-0000-0000-000073010000}"/>
    <cellStyle name="Percent(1)" xfId="255" xr:uid="{00000000-0005-0000-0000-000074010000}"/>
    <cellStyle name="Percent(2)" xfId="256" xr:uid="{00000000-0005-0000-0000-000075010000}"/>
    <cellStyle name="PRM" xfId="257" xr:uid="{00000000-0005-0000-0000-000076010000}"/>
    <cellStyle name="PRM 2" xfId="258" xr:uid="{00000000-0005-0000-0000-000077010000}"/>
    <cellStyle name="PRM 3" xfId="259" xr:uid="{00000000-0005-0000-0000-000078010000}"/>
    <cellStyle name="PRM_2011-11" xfId="260" xr:uid="{00000000-0005-0000-0000-000079010000}"/>
    <cellStyle name="PS_Comma" xfId="30" xr:uid="{00000000-0005-0000-0000-00007A010000}"/>
    <cellStyle name="PSChar" xfId="31" xr:uid="{00000000-0005-0000-0000-00007B010000}"/>
    <cellStyle name="PSDate" xfId="32" xr:uid="{00000000-0005-0000-0000-00007C010000}"/>
    <cellStyle name="PSDec" xfId="33" xr:uid="{00000000-0005-0000-0000-00007D010000}"/>
    <cellStyle name="PSHeading" xfId="34" xr:uid="{00000000-0005-0000-0000-00007E010000}"/>
    <cellStyle name="PSInt" xfId="35" xr:uid="{00000000-0005-0000-0000-00007F010000}"/>
    <cellStyle name="PSSpacer" xfId="36" xr:uid="{00000000-0005-0000-0000-000080010000}"/>
    <cellStyle name="STYL0 - Style1" xfId="358" xr:uid="{00000000-0005-0000-0000-000081010000}"/>
    <cellStyle name="STYL1 - Style2" xfId="359" xr:uid="{00000000-0005-0000-0000-000082010000}"/>
    <cellStyle name="STYL2 - Style3" xfId="360" xr:uid="{00000000-0005-0000-0000-000083010000}"/>
    <cellStyle name="STYL3 - Style4" xfId="361" xr:uid="{00000000-0005-0000-0000-000084010000}"/>
    <cellStyle name="STYL4 - Style5" xfId="362" xr:uid="{00000000-0005-0000-0000-000085010000}"/>
    <cellStyle name="STYL5 - Style6" xfId="363" xr:uid="{00000000-0005-0000-0000-000086010000}"/>
    <cellStyle name="STYL6 - Style7" xfId="364" xr:uid="{00000000-0005-0000-0000-000087010000}"/>
    <cellStyle name="STYL7 - Style8" xfId="365" xr:uid="{00000000-0005-0000-0000-000088010000}"/>
    <cellStyle name="Style 1" xfId="261" xr:uid="{00000000-0005-0000-0000-000089010000}"/>
    <cellStyle name="Style 1 2" xfId="262" xr:uid="{00000000-0005-0000-0000-00008A010000}"/>
    <cellStyle name="STYLE1" xfId="263" xr:uid="{00000000-0005-0000-0000-00008B010000}"/>
    <cellStyle name="sub heading" xfId="366" xr:uid="{00000000-0005-0000-0000-00008C010000}"/>
    <cellStyle name="Title 2" xfId="265" xr:uid="{00000000-0005-0000-0000-00008D010000}"/>
    <cellStyle name="Title 3" xfId="264" xr:uid="{00000000-0005-0000-0000-00008E010000}"/>
    <cellStyle name="title 4" xfId="403" xr:uid="{00000000-0005-0000-0000-00008F010000}"/>
    <cellStyle name="Total 2" xfId="267" xr:uid="{00000000-0005-0000-0000-000090010000}"/>
    <cellStyle name="Total 2 2" xfId="367" xr:uid="{00000000-0005-0000-0000-000091010000}"/>
    <cellStyle name="Total 3" xfId="266" xr:uid="{00000000-0005-0000-0000-000092010000}"/>
    <cellStyle name="Total 3 2" xfId="368" xr:uid="{00000000-0005-0000-0000-000093010000}"/>
    <cellStyle name="Warning Text 2" xfId="269" xr:uid="{00000000-0005-0000-0000-000094010000}"/>
    <cellStyle name="Warning Text 3" xfId="268" xr:uid="{00000000-0005-0000-0000-000095010000}"/>
    <cellStyle name="WM_STANDARD" xfId="37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microsoft.com/office/2017/10/relationships/person" Target="persons/person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6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5</xdr:col>
      <xdr:colOff>877362</xdr:colOff>
      <xdr:row>110</xdr:row>
      <xdr:rowOff>94131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474796-E86B-2169-68AE-5EDECF99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49550"/>
          <a:ext cx="7611537" cy="563006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152400</xdr:rowOff>
    </xdr:from>
    <xdr:to>
      <xdr:col>8</xdr:col>
      <xdr:colOff>1541145</xdr:colOff>
      <xdr:row>76</xdr:row>
      <xdr:rowOff>38182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1EF932-B7A0-898A-1FDB-DAD79F309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11572875"/>
          <a:ext cx="11475720" cy="22384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Nanette\My%20Documents\Excess%20Disposal\UTIL\TRANS\Waste%20Management%20-%20Filings\Ellensburg\Year%202009\TG-091472%20(GRC)\Staff\TG-091472%20WM%20of%20Ellensburg%20(Workpapers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FE199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Infin%20to%20Laws%20Co-AU%20Mapping%201-5-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Infin%20to%20Laws%20Co-AU%20Mapping%201-5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AW%20P&amp;L%20map%200811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AW%20P&amp;L%20map%2008112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District\Joe_Garza\mark%20gregg\WUTC%20Files\Eastside\Eastside%20Rate%20Case%202006\Eastside%20RC%202006%20Filing%20Docs\Proforma%20Eastside%202005%204.17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WUTC\WIP%20Files\2149%20Mason%20County\2021\General%20Rate%20Filing\2019.12-2020.11%20Mason%20County%20Price%20Out%20Templat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obi\AppData\Local\Microsoft\Windows\Temporary%20Internet%20Files\Content.Outlook\R1VAHYB7\4172\2017.10%20_%204172%20Eastside%20Recycle%20Credits-Revised.xlsb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easlema\AppData\Local\Temp\639ecb29-571f-4b75-9b72-d3c625fd9265_STAFF%20OP%20Copy%20of%20FINAL%20Staff%2003-WUTC%20Model%20-%20Bellevue%20031523%20(adj%20priceout%20KR).zip.265\STAFF%20OP%20Copy%20of%20FINAL%20Staff%2003-WUTC%20Model%20-%20Bellevue%20031523%20(adj%20priceout%20KR).xlsx?4B84DB85" TargetMode="External"/><Relationship Id="rId1" Type="http://schemas.openxmlformats.org/officeDocument/2006/relationships/externalLinkPath" Target="file:///\\4B84DB85\STAFF%20OP%20Copy%20of%20FINAL%20Staff%2003-WUTC%20Model%20-%20Bellevue%20031523%20(adj%20priceout%20KR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/Accounting%20II/WUTC%20Filings/Other%20Rate%20Cases/2022%20Disposal%20Increase/TG-210258%20Staff%20Workbook%205-18%20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ControllerDir\JoeW\My%20Local%20Documents\OPF\Rate%20Reviews\2016\2016%20OPF%20Master%20DCR%20V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dkermode/Documents/+2018/LG%20replacement/SolidWaste-NonPublic%20LG%202018%20V5.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Weldon/AppData/Local/Microsoft/Windows/Temporary%20Internet%20Files/Content.Outlook/2IU5EPBL/BDI_WUTC-GeneralRateCase_2017-Jan_v02%204%20(CB%20new)%20(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172-01\Share\Division\Accounting\2014\Accounts%20Receivable\County%20&amp;%20City%20Reporting\172%20-%20Eastside\Bellevue\12%20December\2014%20Bellevue%20Monthly%20Report%20December-Diane.xlsb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PUBLIC\EXCEL\97SEATAC\SKM97T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dkermode\Documents\+2018\LG%20replacement\SolidWaste-NonPublic%20LG%202018%20V5.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ermode\Documents\+2018\LG%20replacement\SolidWaste-NonPublic%20LG%202018%20V5.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Nanette\My%20Documents\Excess%20Disposal\W_COMP\Rosario\2007%20rate%20case\Worksheets\070944%20Loan%20Recalcula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l\Desktop\Mason_GRC_Pro_forma_11.30.20_-_(C)_Reda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  <sheetName val="OH Analysis (2008)"/>
      <sheetName val="Corp. Office OH 2008"/>
      <sheetName val="Legal"/>
      <sheetName val="Lurito 25 bpi (Rollof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R Customer Count"/>
      <sheetName val="Container Count"/>
      <sheetName val="Revenue Summary"/>
      <sheetName val="2019 P&amp;L"/>
      <sheetName val="2020 P&amp;L"/>
      <sheetName val="Nov '19 DO025 Entry"/>
      <sheetName val="Nov '20 DO025 Entry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CD068"/>
      <sheetName val="Key"/>
      <sheetName val="Bill Area Lay Out"/>
      <sheetName val="Kits Reg Svc Codes Jan 2020"/>
      <sheetName val="Service Codes"/>
      <sheetName val="Service Codes 08-2020"/>
      <sheetName val="Service Codes 01-2019"/>
      <sheetName val="Finance Charges"/>
      <sheetName val="Service Code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Staff Restate adj."/>
      <sheetName val="PF Restate"/>
      <sheetName val="Staff Proforma Adj."/>
      <sheetName val="PF Adj"/>
      <sheetName val="PR Narrative"/>
      <sheetName val="Summary &amp; PF"/>
      <sheetName val="PR vs GL"/>
      <sheetName val="Summary Calc &amp; Lookup"/>
      <sheetName val="RSA Labor Expense"/>
      <sheetName val="Alloc Impact"/>
      <sheetName val="PA340"/>
      <sheetName val="Walkback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SQL Revenue Analysis"/>
      <sheetName val="7R Summary"/>
      <sheetName val="OTH Rev Sumry"/>
      <sheetName val="Rev Ref Tables"/>
      <sheetName val="Price Out Summ"/>
      <sheetName val="Resi Price Out"/>
      <sheetName val="Resi Charge Codes"/>
      <sheetName val="Comm (+MF) Price Out"/>
      <sheetName val="Comm Charge Codes"/>
      <sheetName val="IND (+MF) Price Out"/>
      <sheetName val="RO Charge Codes"/>
      <sheetName val="IR Revenue"/>
      <sheetName val="RO Revenue"/>
      <sheetName val="Route Hrs Instructions"/>
      <sheetName val="Truck Hrs Sum"/>
      <sheetName val="Resi Comm Hours Summary"/>
      <sheetName val="Pivot Ops Dec 22"/>
      <sheetName val="CommResiHrs"/>
      <sheetName val="Detail Dec 22"/>
      <sheetName val="IND Hrs Sum"/>
      <sheetName val="IND Hrs Data"/>
      <sheetName val="Route Analysis"/>
      <sheetName val="Contract Ref Table"/>
      <sheetName val="Fuel Calc"/>
      <sheetName val="Fuel Invoice Data Entry"/>
      <sheetName val="Disposal Instructions"/>
      <sheetName val="Disposal Summary (with IC)"/>
      <sheetName val="IND Sum Confirm"/>
      <sheetName val="Summary Disposal Data"/>
      <sheetName val="Disposal Ref Tables"/>
      <sheetName val="Avg Invest Instructions"/>
      <sheetName val="Avg Invest Summary-Staff Revise"/>
      <sheetName val="Staff Depn Output Summary"/>
      <sheetName val="Staff Depn Input and Calc"/>
      <sheetName val="Asset Listing"/>
      <sheetName val="Asset Register data"/>
      <sheetName val="Asset Type Tables"/>
      <sheetName val="Cont Count Instructions"/>
      <sheetName val="InfoPro Container Count Instr"/>
      <sheetName val="Container Counts"/>
      <sheetName val="Cont Count Data"/>
      <sheetName val="Cont Ref Tables"/>
      <sheetName val="Customer Allocation"/>
      <sheetName val="Tons Master Report &gt;"/>
      <sheetName val="Tons File Summary"/>
      <sheetName val="Resi MSW Tons"/>
      <sheetName val="Resi Recycle Tons"/>
      <sheetName val="Resi Yard Waste Tons"/>
      <sheetName val="2021 Com-MF-Resi Tons"/>
      <sheetName val="2021 Multifamily Yards"/>
      <sheetName val="2021 Commercial Yards"/>
      <sheetName val="2021 Resi Counts"/>
      <sheetName val="2021 Multifamily Counts"/>
      <sheetName val="2021 Commercial Counts"/>
      <sheetName val="2022 Com-MF-Resi Tons"/>
      <sheetName val="2022 Multifamily Yards"/>
      <sheetName val="2022 Commercial Yards"/>
      <sheetName val="2022 Resi Counts"/>
      <sheetName val="2022 Multifamily Counts"/>
      <sheetName val="2022 Commercial Counts"/>
      <sheetName val="CoS"/>
      <sheetName val="Meeks"/>
      <sheetName val="Essbase Instructions"/>
      <sheetName val="Essbase P&amp;L"/>
      <sheetName val="4172 Balance Sheet"/>
      <sheetName val="Essbase Stats"/>
      <sheetName val="4584 P&amp;L - Aff. Co. MRF"/>
      <sheetName val="4584 BS - Aff. Co. MRF"/>
      <sheetName val="G-12 FS (Smartview)"/>
      <sheetName val="ALGL prior years history"/>
      <sheetName val="WRRA"/>
      <sheetName val="Regulated City Taxes"/>
      <sheetName val="Permit Fees Recap"/>
      <sheetName val="HW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Disposal Summary (with IC)"/>
      <sheetName val="King CO MSW Increase"/>
      <sheetName val="MRF Increase Proforma"/>
      <sheetName val="Permit Fees Recap"/>
      <sheetName val="Permit Fees 2020"/>
      <sheetName val="PR Narrative"/>
      <sheetName val="Summary &amp; PF"/>
      <sheetName val="PR vs GL"/>
      <sheetName val="Summary Calc &amp; Lookup"/>
      <sheetName val="Driver Adds"/>
      <sheetName val="Customer Service"/>
      <sheetName val="RSA Labor Expense"/>
      <sheetName val="2020-2021 Admin Time"/>
      <sheetName val="2019-2020 Admin Time"/>
      <sheetName val="Alloc Impact"/>
      <sheetName val="PA340"/>
      <sheetName val="PR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7R Summary"/>
      <sheetName val="OTH Rev Sumry"/>
      <sheetName val="SQL Revenue Analysis"/>
      <sheetName val="Rev Ref Tables"/>
      <sheetName val="Price Out Summ"/>
      <sheetName val="Resi Price Out"/>
      <sheetName val="Comm (+MF) Price Out"/>
      <sheetName val="IND (+MF) Price Out"/>
      <sheetName val="IND Hrs Data"/>
      <sheetName val="Truck Hrs Sum"/>
      <sheetName val="Route Hrs Instructions"/>
      <sheetName val="Resi Com Hours Summary"/>
      <sheetName val="Sheet1"/>
      <sheetName val="Pivot Tons"/>
      <sheetName val="Detail"/>
      <sheetName val="Operation"/>
      <sheetName val="Resi Update"/>
      <sheetName val="Com"/>
      <sheetName val="Resi Hours Summary"/>
      <sheetName val="Resi Route Hours Detail"/>
      <sheetName val="Resi Allocation"/>
      <sheetName val="Comm Hours Summary"/>
      <sheetName val="Comm Route Hours Detail"/>
      <sheetName val="Comm Route MF Rec"/>
      <sheetName val="Comm Allocation"/>
      <sheetName val="IND Hrs Sum"/>
      <sheetName val="IND Sum Confirm"/>
      <sheetName val="Route Analysis"/>
      <sheetName val="Truck Use Pivot"/>
      <sheetName val="Contract Ref Table"/>
      <sheetName val="Fuel Calc"/>
      <sheetName val="Fuel Invoice Data Entry"/>
      <sheetName val="Disposal Narrative"/>
      <sheetName val="Disposal Adjustment"/>
      <sheetName val="Summary Disposal Data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Cont Count Narrative"/>
      <sheetName val="Container Counts"/>
      <sheetName val="Cont Count Data"/>
      <sheetName val="Cont Ref Tables"/>
      <sheetName val="InfoPro Container SQL Narrative"/>
      <sheetName val="Tons Master Report &gt;"/>
      <sheetName val="Tons File Summary"/>
      <sheetName val="Resi MSW Tons"/>
      <sheetName val="Resi Recycle Tons"/>
      <sheetName val="Resi Yard Waste Tons"/>
      <sheetName val="4172 2020 Com-MF-Resi Tons"/>
      <sheetName val="4172 2020 Multi-Family Yards"/>
      <sheetName val="4172 2020 Commercial Yards"/>
      <sheetName val="4172 2020 Resi Counts"/>
      <sheetName val="RSA Spend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G-12 FS"/>
      <sheetName val="Filing Specific Tabs &gt;"/>
      <sheetName val="SeaTac Contract Financials"/>
      <sheetName val="GL for WRRA Dues"/>
      <sheetName val="Reg City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6">
          <cell r="D106">
            <v>13206.09960000002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F1" t="str">
            <v>Total Weight (Calculated)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7">
          <cell r="E7">
            <v>583941.19999999995</v>
          </cell>
        </row>
      </sheetData>
      <sheetData sheetId="56" refreshError="1"/>
      <sheetData sheetId="57" refreshError="1"/>
      <sheetData sheetId="58">
        <row r="16">
          <cell r="C16">
            <v>35682.951500000003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>
        <row r="1">
          <cell r="E1">
            <v>42816.395000000033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A1" t="str">
            <v>Reg'd or Unreg'd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>
        <row r="25">
          <cell r="C25" t="str">
            <v>R</v>
          </cell>
        </row>
      </sheetData>
      <sheetData sheetId="86">
        <row r="43">
          <cell r="C43" t="str">
            <v>Code</v>
          </cell>
        </row>
      </sheetData>
      <sheetData sheetId="87">
        <row r="63">
          <cell r="C63" t="str">
            <v>R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34">
          <cell r="C434">
            <v>-19428.2</v>
          </cell>
        </row>
      </sheetData>
      <sheetData sheetId="97" refreshError="1"/>
      <sheetData sheetId="98" refreshError="1"/>
      <sheetData sheetId="99">
        <row r="26">
          <cell r="D26">
            <v>1609.7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Nonpublic 2018 V5.0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_Version"/>
      <sheetName val="1. BDI Rev &amp; Exp Total Sheet"/>
      <sheetName val="2. 12 Month Income Stmt. 4(c)"/>
      <sheetName val="3. ProForma"/>
      <sheetName val="4. Matrix"/>
      <sheetName val="5. BDI Gen Ledger Table"/>
      <sheetName val="6. V Lookup Tables"/>
      <sheetName val="7. GL Pivot"/>
      <sheetName val="Recon"/>
      <sheetName val="8. BDI_IS_2015-16"/>
      <sheetName val="8.1 BDI_IS_2016"/>
      <sheetName val="8.2 BDI_IS for 2015"/>
      <sheetName val="9. BDI Balance Sheet"/>
      <sheetName val="Consolidated Balance Sheet 4(g)"/>
      <sheetName val="Sheet5"/>
      <sheetName val="Sheet6"/>
      <sheetName val="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  <row r="5">
          <cell r="I5" t="str">
            <v>Single Family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97TONS"/>
      <sheetName val="KM97TONS"/>
      <sheetName val="ST97TONS"/>
      <sheetName val="MV97TONS"/>
      <sheetName val="KT97TONS"/>
      <sheetName val="KC_STATS"/>
      <sheetName val="BURIEN"/>
      <sheetName val="DESMOINES"/>
      <sheetName val="KENT"/>
      <sheetName val="NORMANDY"/>
      <sheetName val="TUKWILA"/>
      <sheetName val="PRICES"/>
      <sheetName val="ComRec"/>
      <sheetName val="C&amp;MFCUST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49 IS (C)"/>
      <sheetName val="Master IS (C)"/>
      <sheetName val="Mason LOB (C)"/>
      <sheetName val="Restating Adj (C)"/>
      <sheetName val="Pro forma Adj (C)"/>
      <sheetName val="Allocators (C)"/>
      <sheetName val="Rate Sheet"/>
      <sheetName val="Payroll Summary (C)"/>
      <sheetName val="Depr Summary (C)"/>
      <sheetName val="Mason Co. Regulated - Price Out"/>
      <sheetName val="Kitsap Regulated - Price Out"/>
      <sheetName val="Shelton Regulated - Price Out"/>
      <sheetName val="Disposal Schedule"/>
      <sheetName val="Recycle Breakout"/>
      <sheetName val="2149_BS 11.2019"/>
      <sheetName val="2149_BS 11.2020"/>
      <sheetName val="Interject_LastPulledValues"/>
      <sheetName val="LG Total"/>
      <sheetName val="LG MSW"/>
      <sheetName val="LG Recycle"/>
      <sheetName val="LG BRG - Total"/>
      <sheetName val="LG BRG - MSW"/>
      <sheetName val="LG BRG - Recycle"/>
      <sheetName val="2184 Pro Forma-Bale Fee (C)"/>
      <sheetName val="Flow Control - Fuel Adj"/>
      <sheetName val="Tractor Haul Wages"/>
      <sheetName val="401k Accts JE Query"/>
      <sheetName val="43001 JE Query"/>
      <sheetName val="70255 JE Query"/>
      <sheetName val="70195 JE Query"/>
      <sheetName val="91010 JE Query"/>
      <sheetName val="DVP-DivCon Allocs  (C)"/>
      <sheetName val="Region OH (C)"/>
      <sheetName val="Corp-OH (C)"/>
      <sheetName val="Corp IS-B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arbono, Benjamin (UTC)" id="{EB9B13F1-A81F-4432-ADB3-D375979B5C15}" userId="Sharbono, Benjamin (UTC)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0" dT="2022-12-02T01:54:27.03" personId="{EB9B13F1-A81F-4432-ADB3-D375979B5C15}" id="{7AD42632-31EE-49FC-A092-B82E6D2589BB}">
    <text>Staff accepts this calculation for 1.25-Yard weight. Calculation divides the increase in weight from 1-Yard to 1.5-Yard weights by 2, then adds to 1-Yard Meeks weight.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CD5C-79B3-41E1-AAC3-27C968EC8F9B}">
  <dimension ref="A1:W139"/>
  <sheetViews>
    <sheetView zoomScaleNormal="100" workbookViewId="0">
      <selection activeCell="E7" sqref="E7"/>
    </sheetView>
  </sheetViews>
  <sheetFormatPr defaultRowHeight="14.5"/>
  <cols>
    <col min="1" max="1" width="68.54296875" bestFit="1" customWidth="1"/>
    <col min="2" max="2" width="16.26953125" bestFit="1" customWidth="1"/>
    <col min="3" max="3" width="9.26953125" style="202" bestFit="1" customWidth="1"/>
    <col min="4" max="4" width="19.26953125" style="202" bestFit="1" customWidth="1"/>
    <col min="5" max="5" width="10.7265625" style="202" bestFit="1" customWidth="1"/>
    <col min="6" max="6" width="18.81640625" style="202" customWidth="1"/>
    <col min="7" max="7" width="11.1796875" bestFit="1" customWidth="1"/>
    <col min="8" max="8" width="26.81640625" customWidth="1"/>
    <col min="257" max="257" width="68.54296875" bestFit="1" customWidth="1"/>
    <col min="258" max="258" width="12.54296875" bestFit="1" customWidth="1"/>
    <col min="259" max="259" width="8.81640625" bestFit="1" customWidth="1"/>
    <col min="260" max="260" width="19.26953125" bestFit="1" customWidth="1"/>
    <col min="261" max="261" width="10.7265625" bestFit="1" customWidth="1"/>
    <col min="262" max="262" width="18.81640625" customWidth="1"/>
    <col min="263" max="263" width="11.1796875" bestFit="1" customWidth="1"/>
    <col min="264" max="264" width="26.81640625" customWidth="1"/>
    <col min="513" max="513" width="68.54296875" bestFit="1" customWidth="1"/>
    <col min="514" max="514" width="12.54296875" bestFit="1" customWidth="1"/>
    <col min="515" max="515" width="8.81640625" bestFit="1" customWidth="1"/>
    <col min="516" max="516" width="19.26953125" bestFit="1" customWidth="1"/>
    <col min="517" max="517" width="10.7265625" bestFit="1" customWidth="1"/>
    <col min="518" max="518" width="18.81640625" customWidth="1"/>
    <col min="519" max="519" width="11.1796875" bestFit="1" customWidth="1"/>
    <col min="520" max="520" width="26.81640625" customWidth="1"/>
    <col min="769" max="769" width="68.54296875" bestFit="1" customWidth="1"/>
    <col min="770" max="770" width="12.54296875" bestFit="1" customWidth="1"/>
    <col min="771" max="771" width="8.81640625" bestFit="1" customWidth="1"/>
    <col min="772" max="772" width="19.26953125" bestFit="1" customWidth="1"/>
    <col min="773" max="773" width="10.7265625" bestFit="1" customWidth="1"/>
    <col min="774" max="774" width="18.81640625" customWidth="1"/>
    <col min="775" max="775" width="11.1796875" bestFit="1" customWidth="1"/>
    <col min="776" max="776" width="26.81640625" customWidth="1"/>
    <col min="1025" max="1025" width="68.54296875" bestFit="1" customWidth="1"/>
    <col min="1026" max="1026" width="12.54296875" bestFit="1" customWidth="1"/>
    <col min="1027" max="1027" width="8.81640625" bestFit="1" customWidth="1"/>
    <col min="1028" max="1028" width="19.26953125" bestFit="1" customWidth="1"/>
    <col min="1029" max="1029" width="10.7265625" bestFit="1" customWidth="1"/>
    <col min="1030" max="1030" width="18.81640625" customWidth="1"/>
    <col min="1031" max="1031" width="11.1796875" bestFit="1" customWidth="1"/>
    <col min="1032" max="1032" width="26.81640625" customWidth="1"/>
    <col min="1281" max="1281" width="68.54296875" bestFit="1" customWidth="1"/>
    <col min="1282" max="1282" width="12.54296875" bestFit="1" customWidth="1"/>
    <col min="1283" max="1283" width="8.81640625" bestFit="1" customWidth="1"/>
    <col min="1284" max="1284" width="19.26953125" bestFit="1" customWidth="1"/>
    <col min="1285" max="1285" width="10.7265625" bestFit="1" customWidth="1"/>
    <col min="1286" max="1286" width="18.81640625" customWidth="1"/>
    <col min="1287" max="1287" width="11.1796875" bestFit="1" customWidth="1"/>
    <col min="1288" max="1288" width="26.81640625" customWidth="1"/>
    <col min="1537" max="1537" width="68.54296875" bestFit="1" customWidth="1"/>
    <col min="1538" max="1538" width="12.54296875" bestFit="1" customWidth="1"/>
    <col min="1539" max="1539" width="8.81640625" bestFit="1" customWidth="1"/>
    <col min="1540" max="1540" width="19.26953125" bestFit="1" customWidth="1"/>
    <col min="1541" max="1541" width="10.7265625" bestFit="1" customWidth="1"/>
    <col min="1542" max="1542" width="18.81640625" customWidth="1"/>
    <col min="1543" max="1543" width="11.1796875" bestFit="1" customWidth="1"/>
    <col min="1544" max="1544" width="26.81640625" customWidth="1"/>
    <col min="1793" max="1793" width="68.54296875" bestFit="1" customWidth="1"/>
    <col min="1794" max="1794" width="12.54296875" bestFit="1" customWidth="1"/>
    <col min="1795" max="1795" width="8.81640625" bestFit="1" customWidth="1"/>
    <col min="1796" max="1796" width="19.26953125" bestFit="1" customWidth="1"/>
    <col min="1797" max="1797" width="10.7265625" bestFit="1" customWidth="1"/>
    <col min="1798" max="1798" width="18.81640625" customWidth="1"/>
    <col min="1799" max="1799" width="11.1796875" bestFit="1" customWidth="1"/>
    <col min="1800" max="1800" width="26.81640625" customWidth="1"/>
    <col min="2049" max="2049" width="68.54296875" bestFit="1" customWidth="1"/>
    <col min="2050" max="2050" width="12.54296875" bestFit="1" customWidth="1"/>
    <col min="2051" max="2051" width="8.81640625" bestFit="1" customWidth="1"/>
    <col min="2052" max="2052" width="19.26953125" bestFit="1" customWidth="1"/>
    <col min="2053" max="2053" width="10.7265625" bestFit="1" customWidth="1"/>
    <col min="2054" max="2054" width="18.81640625" customWidth="1"/>
    <col min="2055" max="2055" width="11.1796875" bestFit="1" customWidth="1"/>
    <col min="2056" max="2056" width="26.81640625" customWidth="1"/>
    <col min="2305" max="2305" width="68.54296875" bestFit="1" customWidth="1"/>
    <col min="2306" max="2306" width="12.54296875" bestFit="1" customWidth="1"/>
    <col min="2307" max="2307" width="8.81640625" bestFit="1" customWidth="1"/>
    <col min="2308" max="2308" width="19.26953125" bestFit="1" customWidth="1"/>
    <col min="2309" max="2309" width="10.7265625" bestFit="1" customWidth="1"/>
    <col min="2310" max="2310" width="18.81640625" customWidth="1"/>
    <col min="2311" max="2311" width="11.1796875" bestFit="1" customWidth="1"/>
    <col min="2312" max="2312" width="26.81640625" customWidth="1"/>
    <col min="2561" max="2561" width="68.54296875" bestFit="1" customWidth="1"/>
    <col min="2562" max="2562" width="12.54296875" bestFit="1" customWidth="1"/>
    <col min="2563" max="2563" width="8.81640625" bestFit="1" customWidth="1"/>
    <col min="2564" max="2564" width="19.26953125" bestFit="1" customWidth="1"/>
    <col min="2565" max="2565" width="10.7265625" bestFit="1" customWidth="1"/>
    <col min="2566" max="2566" width="18.81640625" customWidth="1"/>
    <col min="2567" max="2567" width="11.1796875" bestFit="1" customWidth="1"/>
    <col min="2568" max="2568" width="26.81640625" customWidth="1"/>
    <col min="2817" max="2817" width="68.54296875" bestFit="1" customWidth="1"/>
    <col min="2818" max="2818" width="12.54296875" bestFit="1" customWidth="1"/>
    <col min="2819" max="2819" width="8.81640625" bestFit="1" customWidth="1"/>
    <col min="2820" max="2820" width="19.26953125" bestFit="1" customWidth="1"/>
    <col min="2821" max="2821" width="10.7265625" bestFit="1" customWidth="1"/>
    <col min="2822" max="2822" width="18.81640625" customWidth="1"/>
    <col min="2823" max="2823" width="11.1796875" bestFit="1" customWidth="1"/>
    <col min="2824" max="2824" width="26.81640625" customWidth="1"/>
    <col min="3073" max="3073" width="68.54296875" bestFit="1" customWidth="1"/>
    <col min="3074" max="3074" width="12.54296875" bestFit="1" customWidth="1"/>
    <col min="3075" max="3075" width="8.81640625" bestFit="1" customWidth="1"/>
    <col min="3076" max="3076" width="19.26953125" bestFit="1" customWidth="1"/>
    <col min="3077" max="3077" width="10.7265625" bestFit="1" customWidth="1"/>
    <col min="3078" max="3078" width="18.81640625" customWidth="1"/>
    <col min="3079" max="3079" width="11.1796875" bestFit="1" customWidth="1"/>
    <col min="3080" max="3080" width="26.81640625" customWidth="1"/>
    <col min="3329" max="3329" width="68.54296875" bestFit="1" customWidth="1"/>
    <col min="3330" max="3330" width="12.54296875" bestFit="1" customWidth="1"/>
    <col min="3331" max="3331" width="8.81640625" bestFit="1" customWidth="1"/>
    <col min="3332" max="3332" width="19.26953125" bestFit="1" customWidth="1"/>
    <col min="3333" max="3333" width="10.7265625" bestFit="1" customWidth="1"/>
    <col min="3334" max="3334" width="18.81640625" customWidth="1"/>
    <col min="3335" max="3335" width="11.1796875" bestFit="1" customWidth="1"/>
    <col min="3336" max="3336" width="26.81640625" customWidth="1"/>
    <col min="3585" max="3585" width="68.54296875" bestFit="1" customWidth="1"/>
    <col min="3586" max="3586" width="12.54296875" bestFit="1" customWidth="1"/>
    <col min="3587" max="3587" width="8.81640625" bestFit="1" customWidth="1"/>
    <col min="3588" max="3588" width="19.26953125" bestFit="1" customWidth="1"/>
    <col min="3589" max="3589" width="10.7265625" bestFit="1" customWidth="1"/>
    <col min="3590" max="3590" width="18.81640625" customWidth="1"/>
    <col min="3591" max="3591" width="11.1796875" bestFit="1" customWidth="1"/>
    <col min="3592" max="3592" width="26.81640625" customWidth="1"/>
    <col min="3841" max="3841" width="68.54296875" bestFit="1" customWidth="1"/>
    <col min="3842" max="3842" width="12.54296875" bestFit="1" customWidth="1"/>
    <col min="3843" max="3843" width="8.81640625" bestFit="1" customWidth="1"/>
    <col min="3844" max="3844" width="19.26953125" bestFit="1" customWidth="1"/>
    <col min="3845" max="3845" width="10.7265625" bestFit="1" customWidth="1"/>
    <col min="3846" max="3846" width="18.81640625" customWidth="1"/>
    <col min="3847" max="3847" width="11.1796875" bestFit="1" customWidth="1"/>
    <col min="3848" max="3848" width="26.81640625" customWidth="1"/>
    <col min="4097" max="4097" width="68.54296875" bestFit="1" customWidth="1"/>
    <col min="4098" max="4098" width="12.54296875" bestFit="1" customWidth="1"/>
    <col min="4099" max="4099" width="8.81640625" bestFit="1" customWidth="1"/>
    <col min="4100" max="4100" width="19.26953125" bestFit="1" customWidth="1"/>
    <col min="4101" max="4101" width="10.7265625" bestFit="1" customWidth="1"/>
    <col min="4102" max="4102" width="18.81640625" customWidth="1"/>
    <col min="4103" max="4103" width="11.1796875" bestFit="1" customWidth="1"/>
    <col min="4104" max="4104" width="26.81640625" customWidth="1"/>
    <col min="4353" max="4353" width="68.54296875" bestFit="1" customWidth="1"/>
    <col min="4354" max="4354" width="12.54296875" bestFit="1" customWidth="1"/>
    <col min="4355" max="4355" width="8.81640625" bestFit="1" customWidth="1"/>
    <col min="4356" max="4356" width="19.26953125" bestFit="1" customWidth="1"/>
    <col min="4357" max="4357" width="10.7265625" bestFit="1" customWidth="1"/>
    <col min="4358" max="4358" width="18.81640625" customWidth="1"/>
    <col min="4359" max="4359" width="11.1796875" bestFit="1" customWidth="1"/>
    <col min="4360" max="4360" width="26.81640625" customWidth="1"/>
    <col min="4609" max="4609" width="68.54296875" bestFit="1" customWidth="1"/>
    <col min="4610" max="4610" width="12.54296875" bestFit="1" customWidth="1"/>
    <col min="4611" max="4611" width="8.81640625" bestFit="1" customWidth="1"/>
    <col min="4612" max="4612" width="19.26953125" bestFit="1" customWidth="1"/>
    <col min="4613" max="4613" width="10.7265625" bestFit="1" customWidth="1"/>
    <col min="4614" max="4614" width="18.81640625" customWidth="1"/>
    <col min="4615" max="4615" width="11.1796875" bestFit="1" customWidth="1"/>
    <col min="4616" max="4616" width="26.81640625" customWidth="1"/>
    <col min="4865" max="4865" width="68.54296875" bestFit="1" customWidth="1"/>
    <col min="4866" max="4866" width="12.54296875" bestFit="1" customWidth="1"/>
    <col min="4867" max="4867" width="8.81640625" bestFit="1" customWidth="1"/>
    <col min="4868" max="4868" width="19.26953125" bestFit="1" customWidth="1"/>
    <col min="4869" max="4869" width="10.7265625" bestFit="1" customWidth="1"/>
    <col min="4870" max="4870" width="18.81640625" customWidth="1"/>
    <col min="4871" max="4871" width="11.1796875" bestFit="1" customWidth="1"/>
    <col min="4872" max="4872" width="26.81640625" customWidth="1"/>
    <col min="5121" max="5121" width="68.54296875" bestFit="1" customWidth="1"/>
    <col min="5122" max="5122" width="12.54296875" bestFit="1" customWidth="1"/>
    <col min="5123" max="5123" width="8.81640625" bestFit="1" customWidth="1"/>
    <col min="5124" max="5124" width="19.26953125" bestFit="1" customWidth="1"/>
    <col min="5125" max="5125" width="10.7265625" bestFit="1" customWidth="1"/>
    <col min="5126" max="5126" width="18.81640625" customWidth="1"/>
    <col min="5127" max="5127" width="11.1796875" bestFit="1" customWidth="1"/>
    <col min="5128" max="5128" width="26.81640625" customWidth="1"/>
    <col min="5377" max="5377" width="68.54296875" bestFit="1" customWidth="1"/>
    <col min="5378" max="5378" width="12.54296875" bestFit="1" customWidth="1"/>
    <col min="5379" max="5379" width="8.81640625" bestFit="1" customWidth="1"/>
    <col min="5380" max="5380" width="19.26953125" bestFit="1" customWidth="1"/>
    <col min="5381" max="5381" width="10.7265625" bestFit="1" customWidth="1"/>
    <col min="5382" max="5382" width="18.81640625" customWidth="1"/>
    <col min="5383" max="5383" width="11.1796875" bestFit="1" customWidth="1"/>
    <col min="5384" max="5384" width="26.81640625" customWidth="1"/>
    <col min="5633" max="5633" width="68.54296875" bestFit="1" customWidth="1"/>
    <col min="5634" max="5634" width="12.54296875" bestFit="1" customWidth="1"/>
    <col min="5635" max="5635" width="8.81640625" bestFit="1" customWidth="1"/>
    <col min="5636" max="5636" width="19.26953125" bestFit="1" customWidth="1"/>
    <col min="5637" max="5637" width="10.7265625" bestFit="1" customWidth="1"/>
    <col min="5638" max="5638" width="18.81640625" customWidth="1"/>
    <col min="5639" max="5639" width="11.1796875" bestFit="1" customWidth="1"/>
    <col min="5640" max="5640" width="26.81640625" customWidth="1"/>
    <col min="5889" max="5889" width="68.54296875" bestFit="1" customWidth="1"/>
    <col min="5890" max="5890" width="12.54296875" bestFit="1" customWidth="1"/>
    <col min="5891" max="5891" width="8.81640625" bestFit="1" customWidth="1"/>
    <col min="5892" max="5892" width="19.26953125" bestFit="1" customWidth="1"/>
    <col min="5893" max="5893" width="10.7265625" bestFit="1" customWidth="1"/>
    <col min="5894" max="5894" width="18.81640625" customWidth="1"/>
    <col min="5895" max="5895" width="11.1796875" bestFit="1" customWidth="1"/>
    <col min="5896" max="5896" width="26.81640625" customWidth="1"/>
    <col min="6145" max="6145" width="68.54296875" bestFit="1" customWidth="1"/>
    <col min="6146" max="6146" width="12.54296875" bestFit="1" customWidth="1"/>
    <col min="6147" max="6147" width="8.81640625" bestFit="1" customWidth="1"/>
    <col min="6148" max="6148" width="19.26953125" bestFit="1" customWidth="1"/>
    <col min="6149" max="6149" width="10.7265625" bestFit="1" customWidth="1"/>
    <col min="6150" max="6150" width="18.81640625" customWidth="1"/>
    <col min="6151" max="6151" width="11.1796875" bestFit="1" customWidth="1"/>
    <col min="6152" max="6152" width="26.81640625" customWidth="1"/>
    <col min="6401" max="6401" width="68.54296875" bestFit="1" customWidth="1"/>
    <col min="6402" max="6402" width="12.54296875" bestFit="1" customWidth="1"/>
    <col min="6403" max="6403" width="8.81640625" bestFit="1" customWidth="1"/>
    <col min="6404" max="6404" width="19.26953125" bestFit="1" customWidth="1"/>
    <col min="6405" max="6405" width="10.7265625" bestFit="1" customWidth="1"/>
    <col min="6406" max="6406" width="18.81640625" customWidth="1"/>
    <col min="6407" max="6407" width="11.1796875" bestFit="1" customWidth="1"/>
    <col min="6408" max="6408" width="26.81640625" customWidth="1"/>
    <col min="6657" max="6657" width="68.54296875" bestFit="1" customWidth="1"/>
    <col min="6658" max="6658" width="12.54296875" bestFit="1" customWidth="1"/>
    <col min="6659" max="6659" width="8.81640625" bestFit="1" customWidth="1"/>
    <col min="6660" max="6660" width="19.26953125" bestFit="1" customWidth="1"/>
    <col min="6661" max="6661" width="10.7265625" bestFit="1" customWidth="1"/>
    <col min="6662" max="6662" width="18.81640625" customWidth="1"/>
    <col min="6663" max="6663" width="11.1796875" bestFit="1" customWidth="1"/>
    <col min="6664" max="6664" width="26.81640625" customWidth="1"/>
    <col min="6913" max="6913" width="68.54296875" bestFit="1" customWidth="1"/>
    <col min="6914" max="6914" width="12.54296875" bestFit="1" customWidth="1"/>
    <col min="6915" max="6915" width="8.81640625" bestFit="1" customWidth="1"/>
    <col min="6916" max="6916" width="19.26953125" bestFit="1" customWidth="1"/>
    <col min="6917" max="6917" width="10.7265625" bestFit="1" customWidth="1"/>
    <col min="6918" max="6918" width="18.81640625" customWidth="1"/>
    <col min="6919" max="6919" width="11.1796875" bestFit="1" customWidth="1"/>
    <col min="6920" max="6920" width="26.81640625" customWidth="1"/>
    <col min="7169" max="7169" width="68.54296875" bestFit="1" customWidth="1"/>
    <col min="7170" max="7170" width="12.54296875" bestFit="1" customWidth="1"/>
    <col min="7171" max="7171" width="8.81640625" bestFit="1" customWidth="1"/>
    <col min="7172" max="7172" width="19.26953125" bestFit="1" customWidth="1"/>
    <col min="7173" max="7173" width="10.7265625" bestFit="1" customWidth="1"/>
    <col min="7174" max="7174" width="18.81640625" customWidth="1"/>
    <col min="7175" max="7175" width="11.1796875" bestFit="1" customWidth="1"/>
    <col min="7176" max="7176" width="26.81640625" customWidth="1"/>
    <col min="7425" max="7425" width="68.54296875" bestFit="1" customWidth="1"/>
    <col min="7426" max="7426" width="12.54296875" bestFit="1" customWidth="1"/>
    <col min="7427" max="7427" width="8.81640625" bestFit="1" customWidth="1"/>
    <col min="7428" max="7428" width="19.26953125" bestFit="1" customWidth="1"/>
    <col min="7429" max="7429" width="10.7265625" bestFit="1" customWidth="1"/>
    <col min="7430" max="7430" width="18.81640625" customWidth="1"/>
    <col min="7431" max="7431" width="11.1796875" bestFit="1" customWidth="1"/>
    <col min="7432" max="7432" width="26.81640625" customWidth="1"/>
    <col min="7681" max="7681" width="68.54296875" bestFit="1" customWidth="1"/>
    <col min="7682" max="7682" width="12.54296875" bestFit="1" customWidth="1"/>
    <col min="7683" max="7683" width="8.81640625" bestFit="1" customWidth="1"/>
    <col min="7684" max="7684" width="19.26953125" bestFit="1" customWidth="1"/>
    <col min="7685" max="7685" width="10.7265625" bestFit="1" customWidth="1"/>
    <col min="7686" max="7686" width="18.81640625" customWidth="1"/>
    <col min="7687" max="7687" width="11.1796875" bestFit="1" customWidth="1"/>
    <col min="7688" max="7688" width="26.81640625" customWidth="1"/>
    <col min="7937" max="7937" width="68.54296875" bestFit="1" customWidth="1"/>
    <col min="7938" max="7938" width="12.54296875" bestFit="1" customWidth="1"/>
    <col min="7939" max="7939" width="8.81640625" bestFit="1" customWidth="1"/>
    <col min="7940" max="7940" width="19.26953125" bestFit="1" customWidth="1"/>
    <col min="7941" max="7941" width="10.7265625" bestFit="1" customWidth="1"/>
    <col min="7942" max="7942" width="18.81640625" customWidth="1"/>
    <col min="7943" max="7943" width="11.1796875" bestFit="1" customWidth="1"/>
    <col min="7944" max="7944" width="26.81640625" customWidth="1"/>
    <col min="8193" max="8193" width="68.54296875" bestFit="1" customWidth="1"/>
    <col min="8194" max="8194" width="12.54296875" bestFit="1" customWidth="1"/>
    <col min="8195" max="8195" width="8.81640625" bestFit="1" customWidth="1"/>
    <col min="8196" max="8196" width="19.26953125" bestFit="1" customWidth="1"/>
    <col min="8197" max="8197" width="10.7265625" bestFit="1" customWidth="1"/>
    <col min="8198" max="8198" width="18.81640625" customWidth="1"/>
    <col min="8199" max="8199" width="11.1796875" bestFit="1" customWidth="1"/>
    <col min="8200" max="8200" width="26.81640625" customWidth="1"/>
    <col min="8449" max="8449" width="68.54296875" bestFit="1" customWidth="1"/>
    <col min="8450" max="8450" width="12.54296875" bestFit="1" customWidth="1"/>
    <col min="8451" max="8451" width="8.81640625" bestFit="1" customWidth="1"/>
    <col min="8452" max="8452" width="19.26953125" bestFit="1" customWidth="1"/>
    <col min="8453" max="8453" width="10.7265625" bestFit="1" customWidth="1"/>
    <col min="8454" max="8454" width="18.81640625" customWidth="1"/>
    <col min="8455" max="8455" width="11.1796875" bestFit="1" customWidth="1"/>
    <col min="8456" max="8456" width="26.81640625" customWidth="1"/>
    <col min="8705" max="8705" width="68.54296875" bestFit="1" customWidth="1"/>
    <col min="8706" max="8706" width="12.54296875" bestFit="1" customWidth="1"/>
    <col min="8707" max="8707" width="8.81640625" bestFit="1" customWidth="1"/>
    <col min="8708" max="8708" width="19.26953125" bestFit="1" customWidth="1"/>
    <col min="8709" max="8709" width="10.7265625" bestFit="1" customWidth="1"/>
    <col min="8710" max="8710" width="18.81640625" customWidth="1"/>
    <col min="8711" max="8711" width="11.1796875" bestFit="1" customWidth="1"/>
    <col min="8712" max="8712" width="26.81640625" customWidth="1"/>
    <col min="8961" max="8961" width="68.54296875" bestFit="1" customWidth="1"/>
    <col min="8962" max="8962" width="12.54296875" bestFit="1" customWidth="1"/>
    <col min="8963" max="8963" width="8.81640625" bestFit="1" customWidth="1"/>
    <col min="8964" max="8964" width="19.26953125" bestFit="1" customWidth="1"/>
    <col min="8965" max="8965" width="10.7265625" bestFit="1" customWidth="1"/>
    <col min="8966" max="8966" width="18.81640625" customWidth="1"/>
    <col min="8967" max="8967" width="11.1796875" bestFit="1" customWidth="1"/>
    <col min="8968" max="8968" width="26.81640625" customWidth="1"/>
    <col min="9217" max="9217" width="68.54296875" bestFit="1" customWidth="1"/>
    <col min="9218" max="9218" width="12.54296875" bestFit="1" customWidth="1"/>
    <col min="9219" max="9219" width="8.81640625" bestFit="1" customWidth="1"/>
    <col min="9220" max="9220" width="19.26953125" bestFit="1" customWidth="1"/>
    <col min="9221" max="9221" width="10.7265625" bestFit="1" customWidth="1"/>
    <col min="9222" max="9222" width="18.81640625" customWidth="1"/>
    <col min="9223" max="9223" width="11.1796875" bestFit="1" customWidth="1"/>
    <col min="9224" max="9224" width="26.81640625" customWidth="1"/>
    <col min="9473" max="9473" width="68.54296875" bestFit="1" customWidth="1"/>
    <col min="9474" max="9474" width="12.54296875" bestFit="1" customWidth="1"/>
    <col min="9475" max="9475" width="8.81640625" bestFit="1" customWidth="1"/>
    <col min="9476" max="9476" width="19.26953125" bestFit="1" customWidth="1"/>
    <col min="9477" max="9477" width="10.7265625" bestFit="1" customWidth="1"/>
    <col min="9478" max="9478" width="18.81640625" customWidth="1"/>
    <col min="9479" max="9479" width="11.1796875" bestFit="1" customWidth="1"/>
    <col min="9480" max="9480" width="26.81640625" customWidth="1"/>
    <col min="9729" max="9729" width="68.54296875" bestFit="1" customWidth="1"/>
    <col min="9730" max="9730" width="12.54296875" bestFit="1" customWidth="1"/>
    <col min="9731" max="9731" width="8.81640625" bestFit="1" customWidth="1"/>
    <col min="9732" max="9732" width="19.26953125" bestFit="1" customWidth="1"/>
    <col min="9733" max="9733" width="10.7265625" bestFit="1" customWidth="1"/>
    <col min="9734" max="9734" width="18.81640625" customWidth="1"/>
    <col min="9735" max="9735" width="11.1796875" bestFit="1" customWidth="1"/>
    <col min="9736" max="9736" width="26.81640625" customWidth="1"/>
    <col min="9985" max="9985" width="68.54296875" bestFit="1" customWidth="1"/>
    <col min="9986" max="9986" width="12.54296875" bestFit="1" customWidth="1"/>
    <col min="9987" max="9987" width="8.81640625" bestFit="1" customWidth="1"/>
    <col min="9988" max="9988" width="19.26953125" bestFit="1" customWidth="1"/>
    <col min="9989" max="9989" width="10.7265625" bestFit="1" customWidth="1"/>
    <col min="9990" max="9990" width="18.81640625" customWidth="1"/>
    <col min="9991" max="9991" width="11.1796875" bestFit="1" customWidth="1"/>
    <col min="9992" max="9992" width="26.81640625" customWidth="1"/>
    <col min="10241" max="10241" width="68.54296875" bestFit="1" customWidth="1"/>
    <col min="10242" max="10242" width="12.54296875" bestFit="1" customWidth="1"/>
    <col min="10243" max="10243" width="8.81640625" bestFit="1" customWidth="1"/>
    <col min="10244" max="10244" width="19.26953125" bestFit="1" customWidth="1"/>
    <col min="10245" max="10245" width="10.7265625" bestFit="1" customWidth="1"/>
    <col min="10246" max="10246" width="18.81640625" customWidth="1"/>
    <col min="10247" max="10247" width="11.1796875" bestFit="1" customWidth="1"/>
    <col min="10248" max="10248" width="26.81640625" customWidth="1"/>
    <col min="10497" max="10497" width="68.54296875" bestFit="1" customWidth="1"/>
    <col min="10498" max="10498" width="12.54296875" bestFit="1" customWidth="1"/>
    <col min="10499" max="10499" width="8.81640625" bestFit="1" customWidth="1"/>
    <col min="10500" max="10500" width="19.26953125" bestFit="1" customWidth="1"/>
    <col min="10501" max="10501" width="10.7265625" bestFit="1" customWidth="1"/>
    <col min="10502" max="10502" width="18.81640625" customWidth="1"/>
    <col min="10503" max="10503" width="11.1796875" bestFit="1" customWidth="1"/>
    <col min="10504" max="10504" width="26.81640625" customWidth="1"/>
    <col min="10753" max="10753" width="68.54296875" bestFit="1" customWidth="1"/>
    <col min="10754" max="10754" width="12.54296875" bestFit="1" customWidth="1"/>
    <col min="10755" max="10755" width="8.81640625" bestFit="1" customWidth="1"/>
    <col min="10756" max="10756" width="19.26953125" bestFit="1" customWidth="1"/>
    <col min="10757" max="10757" width="10.7265625" bestFit="1" customWidth="1"/>
    <col min="10758" max="10758" width="18.81640625" customWidth="1"/>
    <col min="10759" max="10759" width="11.1796875" bestFit="1" customWidth="1"/>
    <col min="10760" max="10760" width="26.81640625" customWidth="1"/>
    <col min="11009" max="11009" width="68.54296875" bestFit="1" customWidth="1"/>
    <col min="11010" max="11010" width="12.54296875" bestFit="1" customWidth="1"/>
    <col min="11011" max="11011" width="8.81640625" bestFit="1" customWidth="1"/>
    <col min="11012" max="11012" width="19.26953125" bestFit="1" customWidth="1"/>
    <col min="11013" max="11013" width="10.7265625" bestFit="1" customWidth="1"/>
    <col min="11014" max="11014" width="18.81640625" customWidth="1"/>
    <col min="11015" max="11015" width="11.1796875" bestFit="1" customWidth="1"/>
    <col min="11016" max="11016" width="26.81640625" customWidth="1"/>
    <col min="11265" max="11265" width="68.54296875" bestFit="1" customWidth="1"/>
    <col min="11266" max="11266" width="12.54296875" bestFit="1" customWidth="1"/>
    <col min="11267" max="11267" width="8.81640625" bestFit="1" customWidth="1"/>
    <col min="11268" max="11268" width="19.26953125" bestFit="1" customWidth="1"/>
    <col min="11269" max="11269" width="10.7265625" bestFit="1" customWidth="1"/>
    <col min="11270" max="11270" width="18.81640625" customWidth="1"/>
    <col min="11271" max="11271" width="11.1796875" bestFit="1" customWidth="1"/>
    <col min="11272" max="11272" width="26.81640625" customWidth="1"/>
    <col min="11521" max="11521" width="68.54296875" bestFit="1" customWidth="1"/>
    <col min="11522" max="11522" width="12.54296875" bestFit="1" customWidth="1"/>
    <col min="11523" max="11523" width="8.81640625" bestFit="1" customWidth="1"/>
    <col min="11524" max="11524" width="19.26953125" bestFit="1" customWidth="1"/>
    <col min="11525" max="11525" width="10.7265625" bestFit="1" customWidth="1"/>
    <col min="11526" max="11526" width="18.81640625" customWidth="1"/>
    <col min="11527" max="11527" width="11.1796875" bestFit="1" customWidth="1"/>
    <col min="11528" max="11528" width="26.81640625" customWidth="1"/>
    <col min="11777" max="11777" width="68.54296875" bestFit="1" customWidth="1"/>
    <col min="11778" max="11778" width="12.54296875" bestFit="1" customWidth="1"/>
    <col min="11779" max="11779" width="8.81640625" bestFit="1" customWidth="1"/>
    <col min="11780" max="11780" width="19.26953125" bestFit="1" customWidth="1"/>
    <col min="11781" max="11781" width="10.7265625" bestFit="1" customWidth="1"/>
    <col min="11782" max="11782" width="18.81640625" customWidth="1"/>
    <col min="11783" max="11783" width="11.1796875" bestFit="1" customWidth="1"/>
    <col min="11784" max="11784" width="26.81640625" customWidth="1"/>
    <col min="12033" max="12033" width="68.54296875" bestFit="1" customWidth="1"/>
    <col min="12034" max="12034" width="12.54296875" bestFit="1" customWidth="1"/>
    <col min="12035" max="12035" width="8.81640625" bestFit="1" customWidth="1"/>
    <col min="12036" max="12036" width="19.26953125" bestFit="1" customWidth="1"/>
    <col min="12037" max="12037" width="10.7265625" bestFit="1" customWidth="1"/>
    <col min="12038" max="12038" width="18.81640625" customWidth="1"/>
    <col min="12039" max="12039" width="11.1796875" bestFit="1" customWidth="1"/>
    <col min="12040" max="12040" width="26.81640625" customWidth="1"/>
    <col min="12289" max="12289" width="68.54296875" bestFit="1" customWidth="1"/>
    <col min="12290" max="12290" width="12.54296875" bestFit="1" customWidth="1"/>
    <col min="12291" max="12291" width="8.81640625" bestFit="1" customWidth="1"/>
    <col min="12292" max="12292" width="19.26953125" bestFit="1" customWidth="1"/>
    <col min="12293" max="12293" width="10.7265625" bestFit="1" customWidth="1"/>
    <col min="12294" max="12294" width="18.81640625" customWidth="1"/>
    <col min="12295" max="12295" width="11.1796875" bestFit="1" customWidth="1"/>
    <col min="12296" max="12296" width="26.81640625" customWidth="1"/>
    <col min="12545" max="12545" width="68.54296875" bestFit="1" customWidth="1"/>
    <col min="12546" max="12546" width="12.54296875" bestFit="1" customWidth="1"/>
    <col min="12547" max="12547" width="8.81640625" bestFit="1" customWidth="1"/>
    <col min="12548" max="12548" width="19.26953125" bestFit="1" customWidth="1"/>
    <col min="12549" max="12549" width="10.7265625" bestFit="1" customWidth="1"/>
    <col min="12550" max="12550" width="18.81640625" customWidth="1"/>
    <col min="12551" max="12551" width="11.1796875" bestFit="1" customWidth="1"/>
    <col min="12552" max="12552" width="26.81640625" customWidth="1"/>
    <col min="12801" max="12801" width="68.54296875" bestFit="1" customWidth="1"/>
    <col min="12802" max="12802" width="12.54296875" bestFit="1" customWidth="1"/>
    <col min="12803" max="12803" width="8.81640625" bestFit="1" customWidth="1"/>
    <col min="12804" max="12804" width="19.26953125" bestFit="1" customWidth="1"/>
    <col min="12805" max="12805" width="10.7265625" bestFit="1" customWidth="1"/>
    <col min="12806" max="12806" width="18.81640625" customWidth="1"/>
    <col min="12807" max="12807" width="11.1796875" bestFit="1" customWidth="1"/>
    <col min="12808" max="12808" width="26.81640625" customWidth="1"/>
    <col min="13057" max="13057" width="68.54296875" bestFit="1" customWidth="1"/>
    <col min="13058" max="13058" width="12.54296875" bestFit="1" customWidth="1"/>
    <col min="13059" max="13059" width="8.81640625" bestFit="1" customWidth="1"/>
    <col min="13060" max="13060" width="19.26953125" bestFit="1" customWidth="1"/>
    <col min="13061" max="13061" width="10.7265625" bestFit="1" customWidth="1"/>
    <col min="13062" max="13062" width="18.81640625" customWidth="1"/>
    <col min="13063" max="13063" width="11.1796875" bestFit="1" customWidth="1"/>
    <col min="13064" max="13064" width="26.81640625" customWidth="1"/>
    <col min="13313" max="13313" width="68.54296875" bestFit="1" customWidth="1"/>
    <col min="13314" max="13314" width="12.54296875" bestFit="1" customWidth="1"/>
    <col min="13315" max="13315" width="8.81640625" bestFit="1" customWidth="1"/>
    <col min="13316" max="13316" width="19.26953125" bestFit="1" customWidth="1"/>
    <col min="13317" max="13317" width="10.7265625" bestFit="1" customWidth="1"/>
    <col min="13318" max="13318" width="18.81640625" customWidth="1"/>
    <col min="13319" max="13319" width="11.1796875" bestFit="1" customWidth="1"/>
    <col min="13320" max="13320" width="26.81640625" customWidth="1"/>
    <col min="13569" max="13569" width="68.54296875" bestFit="1" customWidth="1"/>
    <col min="13570" max="13570" width="12.54296875" bestFit="1" customWidth="1"/>
    <col min="13571" max="13571" width="8.81640625" bestFit="1" customWidth="1"/>
    <col min="13572" max="13572" width="19.26953125" bestFit="1" customWidth="1"/>
    <col min="13573" max="13573" width="10.7265625" bestFit="1" customWidth="1"/>
    <col min="13574" max="13574" width="18.81640625" customWidth="1"/>
    <col min="13575" max="13575" width="11.1796875" bestFit="1" customWidth="1"/>
    <col min="13576" max="13576" width="26.81640625" customWidth="1"/>
    <col min="13825" max="13825" width="68.54296875" bestFit="1" customWidth="1"/>
    <col min="13826" max="13826" width="12.54296875" bestFit="1" customWidth="1"/>
    <col min="13827" max="13827" width="8.81640625" bestFit="1" customWidth="1"/>
    <col min="13828" max="13828" width="19.26953125" bestFit="1" customWidth="1"/>
    <col min="13829" max="13829" width="10.7265625" bestFit="1" customWidth="1"/>
    <col min="13830" max="13830" width="18.81640625" customWidth="1"/>
    <col min="13831" max="13831" width="11.1796875" bestFit="1" customWidth="1"/>
    <col min="13832" max="13832" width="26.81640625" customWidth="1"/>
    <col min="14081" max="14081" width="68.54296875" bestFit="1" customWidth="1"/>
    <col min="14082" max="14082" width="12.54296875" bestFit="1" customWidth="1"/>
    <col min="14083" max="14083" width="8.81640625" bestFit="1" customWidth="1"/>
    <col min="14084" max="14084" width="19.26953125" bestFit="1" customWidth="1"/>
    <col min="14085" max="14085" width="10.7265625" bestFit="1" customWidth="1"/>
    <col min="14086" max="14086" width="18.81640625" customWidth="1"/>
    <col min="14087" max="14087" width="11.1796875" bestFit="1" customWidth="1"/>
    <col min="14088" max="14088" width="26.81640625" customWidth="1"/>
    <col min="14337" max="14337" width="68.54296875" bestFit="1" customWidth="1"/>
    <col min="14338" max="14338" width="12.54296875" bestFit="1" customWidth="1"/>
    <col min="14339" max="14339" width="8.81640625" bestFit="1" customWidth="1"/>
    <col min="14340" max="14340" width="19.26953125" bestFit="1" customWidth="1"/>
    <col min="14341" max="14341" width="10.7265625" bestFit="1" customWidth="1"/>
    <col min="14342" max="14342" width="18.81640625" customWidth="1"/>
    <col min="14343" max="14343" width="11.1796875" bestFit="1" customWidth="1"/>
    <col min="14344" max="14344" width="26.81640625" customWidth="1"/>
    <col min="14593" max="14593" width="68.54296875" bestFit="1" customWidth="1"/>
    <col min="14594" max="14594" width="12.54296875" bestFit="1" customWidth="1"/>
    <col min="14595" max="14595" width="8.81640625" bestFit="1" customWidth="1"/>
    <col min="14596" max="14596" width="19.26953125" bestFit="1" customWidth="1"/>
    <col min="14597" max="14597" width="10.7265625" bestFit="1" customWidth="1"/>
    <col min="14598" max="14598" width="18.81640625" customWidth="1"/>
    <col min="14599" max="14599" width="11.1796875" bestFit="1" customWidth="1"/>
    <col min="14600" max="14600" width="26.81640625" customWidth="1"/>
    <col min="14849" max="14849" width="68.54296875" bestFit="1" customWidth="1"/>
    <col min="14850" max="14850" width="12.54296875" bestFit="1" customWidth="1"/>
    <col min="14851" max="14851" width="8.81640625" bestFit="1" customWidth="1"/>
    <col min="14852" max="14852" width="19.26953125" bestFit="1" customWidth="1"/>
    <col min="14853" max="14853" width="10.7265625" bestFit="1" customWidth="1"/>
    <col min="14854" max="14854" width="18.81640625" customWidth="1"/>
    <col min="14855" max="14855" width="11.1796875" bestFit="1" customWidth="1"/>
    <col min="14856" max="14856" width="26.81640625" customWidth="1"/>
    <col min="15105" max="15105" width="68.54296875" bestFit="1" customWidth="1"/>
    <col min="15106" max="15106" width="12.54296875" bestFit="1" customWidth="1"/>
    <col min="15107" max="15107" width="8.81640625" bestFit="1" customWidth="1"/>
    <col min="15108" max="15108" width="19.26953125" bestFit="1" customWidth="1"/>
    <col min="15109" max="15109" width="10.7265625" bestFit="1" customWidth="1"/>
    <col min="15110" max="15110" width="18.81640625" customWidth="1"/>
    <col min="15111" max="15111" width="11.1796875" bestFit="1" customWidth="1"/>
    <col min="15112" max="15112" width="26.81640625" customWidth="1"/>
    <col min="15361" max="15361" width="68.54296875" bestFit="1" customWidth="1"/>
    <col min="15362" max="15362" width="12.54296875" bestFit="1" customWidth="1"/>
    <col min="15363" max="15363" width="8.81640625" bestFit="1" customWidth="1"/>
    <col min="15364" max="15364" width="19.26953125" bestFit="1" customWidth="1"/>
    <col min="15365" max="15365" width="10.7265625" bestFit="1" customWidth="1"/>
    <col min="15366" max="15366" width="18.81640625" customWidth="1"/>
    <col min="15367" max="15367" width="11.1796875" bestFit="1" customWidth="1"/>
    <col min="15368" max="15368" width="26.81640625" customWidth="1"/>
    <col min="15617" max="15617" width="68.54296875" bestFit="1" customWidth="1"/>
    <col min="15618" max="15618" width="12.54296875" bestFit="1" customWidth="1"/>
    <col min="15619" max="15619" width="8.81640625" bestFit="1" customWidth="1"/>
    <col min="15620" max="15620" width="19.26953125" bestFit="1" customWidth="1"/>
    <col min="15621" max="15621" width="10.7265625" bestFit="1" customWidth="1"/>
    <col min="15622" max="15622" width="18.81640625" customWidth="1"/>
    <col min="15623" max="15623" width="11.1796875" bestFit="1" customWidth="1"/>
    <col min="15624" max="15624" width="26.81640625" customWidth="1"/>
    <col min="15873" max="15873" width="68.54296875" bestFit="1" customWidth="1"/>
    <col min="15874" max="15874" width="12.54296875" bestFit="1" customWidth="1"/>
    <col min="15875" max="15875" width="8.81640625" bestFit="1" customWidth="1"/>
    <col min="15876" max="15876" width="19.26953125" bestFit="1" customWidth="1"/>
    <col min="15877" max="15877" width="10.7265625" bestFit="1" customWidth="1"/>
    <col min="15878" max="15878" width="18.81640625" customWidth="1"/>
    <col min="15879" max="15879" width="11.1796875" bestFit="1" customWidth="1"/>
    <col min="15880" max="15880" width="26.81640625" customWidth="1"/>
    <col min="16129" max="16129" width="68.54296875" bestFit="1" customWidth="1"/>
    <col min="16130" max="16130" width="12.54296875" bestFit="1" customWidth="1"/>
    <col min="16131" max="16131" width="8.81640625" bestFit="1" customWidth="1"/>
    <col min="16132" max="16132" width="19.26953125" bestFit="1" customWidth="1"/>
    <col min="16133" max="16133" width="10.7265625" bestFit="1" customWidth="1"/>
    <col min="16134" max="16134" width="18.81640625" customWidth="1"/>
    <col min="16135" max="16135" width="11.1796875" bestFit="1" customWidth="1"/>
    <col min="16136" max="16136" width="26.81640625" customWidth="1"/>
  </cols>
  <sheetData>
    <row r="1" spans="1:16">
      <c r="A1" s="203" t="s">
        <v>260</v>
      </c>
      <c r="B1" s="204"/>
      <c r="C1" s="205"/>
      <c r="D1" s="206"/>
      <c r="E1" s="206"/>
      <c r="F1" s="206"/>
      <c r="G1" s="207"/>
      <c r="H1" s="207"/>
      <c r="I1" s="207"/>
      <c r="J1" s="207"/>
      <c r="K1" s="207"/>
      <c r="L1" s="207"/>
    </row>
    <row r="2" spans="1:16">
      <c r="A2" s="208" t="s">
        <v>196</v>
      </c>
      <c r="B2" s="207"/>
      <c r="C2" s="209"/>
      <c r="D2" s="210"/>
      <c r="E2" s="210" t="s">
        <v>197</v>
      </c>
      <c r="F2" s="206"/>
      <c r="G2" s="207"/>
      <c r="H2" s="207"/>
      <c r="I2" s="207"/>
      <c r="J2" s="211"/>
      <c r="K2" s="207"/>
      <c r="L2" s="207"/>
    </row>
    <row r="3" spans="1:16">
      <c r="A3" s="207"/>
      <c r="B3" s="207"/>
      <c r="C3" s="209" t="s">
        <v>198</v>
      </c>
      <c r="D3" s="210" t="s">
        <v>199</v>
      </c>
      <c r="E3" s="210" t="s">
        <v>200</v>
      </c>
      <c r="F3" s="210"/>
      <c r="G3" s="207"/>
      <c r="H3" s="212"/>
      <c r="I3" s="211"/>
      <c r="J3" s="213"/>
      <c r="K3" s="207"/>
      <c r="L3" s="207"/>
    </row>
    <row r="4" spans="1:16">
      <c r="A4" s="207"/>
      <c r="B4" s="207"/>
      <c r="C4" s="209" t="s">
        <v>201</v>
      </c>
      <c r="D4" s="210" t="s">
        <v>9</v>
      </c>
      <c r="E4" s="214">
        <v>45658</v>
      </c>
      <c r="F4" s="215"/>
      <c r="G4" s="207"/>
      <c r="H4" s="216"/>
      <c r="I4" s="211"/>
      <c r="J4" s="211"/>
      <c r="K4" s="207"/>
      <c r="L4" s="207"/>
    </row>
    <row r="5" spans="1:16">
      <c r="A5" s="203"/>
      <c r="B5" s="203"/>
      <c r="C5" s="217"/>
      <c r="D5" s="206"/>
      <c r="E5" s="206"/>
      <c r="F5" s="206"/>
      <c r="G5" s="207"/>
      <c r="H5" s="207"/>
      <c r="I5" s="211"/>
      <c r="J5" s="207"/>
      <c r="K5" s="207"/>
      <c r="L5" s="207"/>
    </row>
    <row r="6" spans="1:16">
      <c r="A6" s="203" t="s">
        <v>115</v>
      </c>
      <c r="B6" s="203"/>
      <c r="C6" s="217"/>
      <c r="D6" s="206"/>
      <c r="E6" s="206"/>
      <c r="F6" s="206"/>
      <c r="G6" s="207"/>
      <c r="H6" s="207"/>
      <c r="I6" s="218"/>
      <c r="J6" s="207"/>
      <c r="K6" s="207"/>
      <c r="L6" s="207"/>
    </row>
    <row r="7" spans="1:16">
      <c r="A7" s="207" t="str">
        <f>'Price Out Rates'!$C$2</f>
        <v>20 gallon can</v>
      </c>
      <c r="B7" s="207"/>
      <c r="C7" s="206">
        <f>'Price Out Rates'!M2</f>
        <v>11.47</v>
      </c>
      <c r="D7" s="206">
        <f>'Price Out Rates'!L2</f>
        <v>0.45220904134091744</v>
      </c>
      <c r="E7" s="206">
        <f>C7+D7</f>
        <v>11.922209041340919</v>
      </c>
      <c r="F7" s="206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8" spans="1:16">
      <c r="A8" s="207" t="str">
        <f>'Price Out Rates'!$C$3</f>
        <v>1 Can wk</v>
      </c>
      <c r="B8" s="207"/>
      <c r="C8" s="206">
        <f>'Price Out Rates'!M3</f>
        <v>18.54</v>
      </c>
      <c r="D8" s="206">
        <f>'Price Out Rates'!L3</f>
        <v>0.76875537027955965</v>
      </c>
      <c r="E8" s="206">
        <f t="shared" ref="E8:E19" si="0">C8+D8</f>
        <v>19.30875537027956</v>
      </c>
      <c r="F8" s="206"/>
      <c r="G8" s="217"/>
      <c r="H8" s="217"/>
      <c r="I8" s="217"/>
      <c r="J8" s="217"/>
      <c r="K8" s="217"/>
      <c r="L8" s="217"/>
      <c r="M8" s="217"/>
      <c r="N8" s="217"/>
      <c r="O8" s="217"/>
      <c r="P8" s="217"/>
    </row>
    <row r="9" spans="1:16">
      <c r="A9" s="207" t="str">
        <f>'Price Out Rates'!$C$4</f>
        <v>2  Can wk</v>
      </c>
      <c r="B9" s="207"/>
      <c r="C9" s="206">
        <f>'Price Out Rates'!M4</f>
        <v>31.04</v>
      </c>
      <c r="D9" s="206">
        <f>'Price Out Rates'!L4</f>
        <v>1.1531330554193395</v>
      </c>
      <c r="E9" s="206">
        <f t="shared" si="0"/>
        <v>32.193133055419338</v>
      </c>
      <c r="F9" s="206"/>
      <c r="G9" s="217"/>
      <c r="H9" s="217"/>
      <c r="I9" s="217"/>
      <c r="J9" s="217"/>
      <c r="K9" s="217"/>
      <c r="L9" s="217"/>
      <c r="M9" s="217"/>
      <c r="N9" s="217"/>
      <c r="O9" s="217"/>
      <c r="P9" s="217"/>
    </row>
    <row r="10" spans="1:16">
      <c r="A10" s="207" t="str">
        <f>'Price Out Rates'!$C$5</f>
        <v>3 Can wk</v>
      </c>
      <c r="B10" s="207"/>
      <c r="C10" s="206">
        <f>'Price Out Rates'!M5</f>
        <v>45.58</v>
      </c>
      <c r="D10" s="206">
        <f>'Price Out Rates'!L5</f>
        <v>1.7410048091625323</v>
      </c>
      <c r="E10" s="206">
        <f t="shared" si="0"/>
        <v>47.321004809162531</v>
      </c>
      <c r="F10" s="206"/>
      <c r="G10" s="217"/>
      <c r="H10" s="217"/>
      <c r="I10" s="217"/>
      <c r="J10" s="217"/>
      <c r="K10" s="217"/>
      <c r="L10" s="217"/>
      <c r="M10" s="217"/>
      <c r="N10" s="217"/>
      <c r="O10" s="217"/>
      <c r="P10" s="217"/>
    </row>
    <row r="11" spans="1:16">
      <c r="A11" s="207" t="str">
        <f>'Price Out Rates'!$C$6</f>
        <v>4 Can wk</v>
      </c>
      <c r="B11" s="207"/>
      <c r="C11" s="206">
        <f>'Price Out Rates'!M6</f>
        <v>60.72</v>
      </c>
      <c r="D11" s="206">
        <f>'Price Out Rates'!L6</f>
        <v>2.1932138505034491</v>
      </c>
      <c r="E11" s="206">
        <f t="shared" si="0"/>
        <v>62.913213850503446</v>
      </c>
      <c r="F11" s="206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6">
      <c r="A12" s="219" t="str">
        <f>'Price Out Rates'!$C$56</f>
        <v>5 Can wk</v>
      </c>
      <c r="B12" s="219"/>
      <c r="C12" s="220">
        <f>'Price Out Rates'!M56</f>
        <v>76.22</v>
      </c>
      <c r="D12" s="220">
        <f>'Price Out Rates'!L56</f>
        <v>2.6454228918443672</v>
      </c>
      <c r="E12" s="220">
        <f t="shared" si="0"/>
        <v>78.865422891844361</v>
      </c>
      <c r="F12" s="206"/>
      <c r="G12" s="217"/>
      <c r="H12" s="217"/>
      <c r="I12" s="217"/>
      <c r="J12" s="217"/>
      <c r="K12" s="217"/>
      <c r="L12" s="217"/>
      <c r="M12" s="217"/>
      <c r="N12" s="217"/>
      <c r="O12" s="217"/>
      <c r="P12" s="217"/>
    </row>
    <row r="13" spans="1:16">
      <c r="A13" s="207" t="str">
        <f>'Price Out Rates'!$C$7</f>
        <v>1 Can Monthly</v>
      </c>
      <c r="B13" s="207"/>
      <c r="C13" s="206">
        <f>'Price Out Rates'!M7</f>
        <v>6.33</v>
      </c>
      <c r="D13" s="206">
        <f>'Price Out Rates'!L7</f>
        <v>0.17740508544912917</v>
      </c>
      <c r="E13" s="206">
        <f t="shared" si="0"/>
        <v>6.507405085449129</v>
      </c>
      <c r="F13" s="206"/>
      <c r="G13" s="217"/>
      <c r="H13" s="217"/>
      <c r="I13" s="217"/>
      <c r="J13" s="217"/>
      <c r="K13" s="217"/>
      <c r="L13" s="217"/>
      <c r="M13" s="217"/>
      <c r="N13" s="217"/>
      <c r="O13" s="217"/>
      <c r="P13" s="217"/>
    </row>
    <row r="14" spans="1:16">
      <c r="A14" s="207" t="str">
        <f>'Price Out Rates'!$C$8</f>
        <v>32 Gal Tote wk</v>
      </c>
      <c r="B14" s="207"/>
      <c r="C14" s="206">
        <f>'Price Out Rates'!M8</f>
        <v>18.54</v>
      </c>
      <c r="D14" s="206">
        <f>'Price Out Rates'!L8</f>
        <v>0.76875537027955965</v>
      </c>
      <c r="E14" s="206">
        <f t="shared" si="0"/>
        <v>19.30875537027956</v>
      </c>
      <c r="F14" s="206"/>
      <c r="G14" s="217"/>
      <c r="H14" s="217"/>
      <c r="I14" s="217"/>
      <c r="J14" s="217"/>
      <c r="K14" s="217"/>
      <c r="L14" s="217"/>
      <c r="M14" s="217"/>
      <c r="N14" s="217"/>
      <c r="O14" s="217"/>
      <c r="P14" s="217"/>
    </row>
    <row r="15" spans="1:16">
      <c r="A15" s="207" t="str">
        <f>'Price Out Rates'!$C$9</f>
        <v>64 Gal Tote wk</v>
      </c>
      <c r="B15" s="207"/>
      <c r="C15" s="206">
        <f>'Price Out Rates'!M9</f>
        <v>30.85</v>
      </c>
      <c r="D15" s="206">
        <f>'Price Out Rates'!L9</f>
        <v>1.062691247151156</v>
      </c>
      <c r="E15" s="206">
        <f t="shared" si="0"/>
        <v>31.912691247151159</v>
      </c>
      <c r="F15" s="206"/>
      <c r="G15" s="217"/>
      <c r="H15" s="217"/>
      <c r="I15" s="217"/>
      <c r="J15" s="217"/>
      <c r="K15" s="217"/>
      <c r="L15" s="217"/>
      <c r="M15" s="217"/>
      <c r="N15" s="217"/>
      <c r="O15" s="217"/>
      <c r="P15" s="217"/>
    </row>
    <row r="16" spans="1:16">
      <c r="A16" s="207" t="str">
        <f>'Price Out Rates'!$C$10</f>
        <v>96 Gal Tote wk</v>
      </c>
      <c r="B16" s="207"/>
      <c r="C16" s="206">
        <f>'Price Out Rates'!M10</f>
        <v>44.65</v>
      </c>
      <c r="D16" s="206">
        <f>'Price Out Rates'!L10</f>
        <v>1.5375107405591193</v>
      </c>
      <c r="E16" s="206">
        <f t="shared" si="0"/>
        <v>46.187510740559119</v>
      </c>
      <c r="F16" s="206"/>
      <c r="G16" s="217"/>
      <c r="H16" s="217"/>
      <c r="I16" s="217"/>
      <c r="J16" s="217"/>
      <c r="K16" s="217"/>
      <c r="L16" s="217"/>
      <c r="M16" s="217"/>
      <c r="N16" s="217"/>
      <c r="O16" s="217"/>
      <c r="P16" s="217"/>
    </row>
    <row r="17" spans="1:16">
      <c r="A17" s="207" t="str">
        <f>'Price Out Rates'!$C$57</f>
        <v>32 Gal Bear Proof Toter</v>
      </c>
      <c r="B17" s="207"/>
      <c r="C17" s="206">
        <f>'Price Out Rates'!M57</f>
        <v>18.54</v>
      </c>
      <c r="D17" s="206">
        <f>'Price Out Rates'!L57</f>
        <v>0.76875537027955965</v>
      </c>
      <c r="E17" s="206">
        <f t="shared" si="0"/>
        <v>19.30875537027956</v>
      </c>
      <c r="F17" s="206"/>
      <c r="G17" s="217"/>
      <c r="H17" s="217"/>
      <c r="I17" s="217"/>
      <c r="J17" s="217"/>
      <c r="K17" s="217"/>
      <c r="L17" s="217"/>
      <c r="M17" s="217"/>
      <c r="N17" s="217"/>
      <c r="O17" s="217"/>
      <c r="P17" s="217"/>
    </row>
    <row r="18" spans="1:16">
      <c r="A18" s="219" t="str">
        <f>'Price Out Rates'!$C$58</f>
        <v>64 Gal Bear Proof Toter</v>
      </c>
      <c r="B18" s="219"/>
      <c r="C18" s="220">
        <f>'Price Out Rates'!M58</f>
        <v>30.85</v>
      </c>
      <c r="D18" s="220">
        <f>'Price Out Rates'!L58</f>
        <v>1.062691247151156</v>
      </c>
      <c r="E18" s="220">
        <f t="shared" si="0"/>
        <v>31.912691247151159</v>
      </c>
      <c r="F18" s="206"/>
      <c r="G18" s="217"/>
      <c r="H18" s="217"/>
      <c r="I18" s="217"/>
      <c r="J18" s="217"/>
      <c r="K18" s="217"/>
      <c r="L18" s="217"/>
      <c r="M18" s="217"/>
      <c r="N18" s="217"/>
      <c r="O18" s="217"/>
      <c r="P18" s="217"/>
    </row>
    <row r="19" spans="1:16">
      <c r="A19" s="219" t="str">
        <f>'Price Out Rates'!$C$59</f>
        <v>96 Gal Bear Proof Toter</v>
      </c>
      <c r="B19" s="219"/>
      <c r="C19" s="220">
        <f>'Price Out Rates'!M59</f>
        <v>44.65</v>
      </c>
      <c r="D19" s="220">
        <f>'Price Out Rates'!L59</f>
        <v>1.5375107405591193</v>
      </c>
      <c r="E19" s="220">
        <f t="shared" si="0"/>
        <v>46.187510740559119</v>
      </c>
      <c r="F19" s="206"/>
      <c r="G19" s="217"/>
      <c r="H19" s="217"/>
      <c r="I19" s="217"/>
      <c r="J19" s="217"/>
      <c r="K19" s="217"/>
      <c r="L19" s="217"/>
      <c r="M19" s="217"/>
      <c r="N19" s="217"/>
      <c r="O19" s="217"/>
      <c r="P19" s="217"/>
    </row>
    <row r="20" spans="1:16">
      <c r="A20" s="207"/>
      <c r="B20" s="207"/>
      <c r="C20" s="206"/>
      <c r="D20" s="206"/>
      <c r="E20" s="206"/>
      <c r="F20" s="206"/>
      <c r="G20" s="207"/>
      <c r="H20" s="207"/>
      <c r="I20" s="207"/>
      <c r="J20" s="207"/>
      <c r="K20" s="207"/>
      <c r="L20" s="207"/>
      <c r="M20" s="207"/>
      <c r="N20" s="207"/>
      <c r="O20" s="207"/>
      <c r="P20" s="207"/>
    </row>
    <row r="21" spans="1:16">
      <c r="A21" s="203" t="s">
        <v>113</v>
      </c>
      <c r="B21" s="207"/>
      <c r="C21" s="217"/>
      <c r="D21" s="206"/>
      <c r="E21" s="206"/>
      <c r="F21" s="206"/>
      <c r="G21" s="207"/>
      <c r="H21" s="207"/>
      <c r="I21" s="207"/>
      <c r="J21" s="207"/>
      <c r="K21" s="207"/>
      <c r="L21" s="207"/>
      <c r="M21" s="207"/>
      <c r="N21" s="207"/>
      <c r="O21" s="207"/>
      <c r="P21" s="207"/>
    </row>
    <row r="22" spans="1:16">
      <c r="A22" s="219" t="str">
        <f>'Price Out Rates'!C60</f>
        <v>32 Gal extra</v>
      </c>
      <c r="B22" s="219" t="s">
        <v>202</v>
      </c>
      <c r="C22" s="220">
        <f>'Price Out Rates'!M60</f>
        <v>5.49</v>
      </c>
      <c r="D22" s="220">
        <f>'Price Out Rates'!L60</f>
        <v>0.17740508544912917</v>
      </c>
      <c r="E22" s="220">
        <f t="shared" ref="E22:E23" si="1">C22+D22</f>
        <v>5.6674050854491291</v>
      </c>
      <c r="F22" s="206"/>
      <c r="G22" s="207"/>
      <c r="H22" s="207"/>
      <c r="I22" s="207"/>
      <c r="J22" s="207"/>
      <c r="K22" s="207"/>
      <c r="L22" s="207"/>
      <c r="M22" s="207"/>
      <c r="N22" s="207"/>
      <c r="O22" s="207"/>
      <c r="P22" s="207"/>
    </row>
    <row r="23" spans="1:16">
      <c r="A23" s="219" t="str">
        <f>'Price Out Rates'!C61</f>
        <v>Bag Extra</v>
      </c>
      <c r="B23" s="219" t="s">
        <v>202</v>
      </c>
      <c r="C23" s="220">
        <f>'Price Out Rates'!M61</f>
        <v>5.49</v>
      </c>
      <c r="D23" s="220">
        <f>'Price Out Rates'!L61</f>
        <v>0.17740508544912917</v>
      </c>
      <c r="E23" s="220">
        <f t="shared" si="1"/>
        <v>5.6674050854491291</v>
      </c>
      <c r="F23" s="206"/>
      <c r="G23" s="207"/>
      <c r="H23" s="207"/>
      <c r="I23" s="207"/>
      <c r="J23" s="207"/>
      <c r="K23" s="207"/>
      <c r="L23" s="207"/>
      <c r="M23" s="207"/>
      <c r="N23" s="207"/>
      <c r="O23" s="207"/>
      <c r="P23" s="207"/>
    </row>
    <row r="24" spans="1:16">
      <c r="A24" s="207"/>
      <c r="B24" s="207"/>
      <c r="C24" s="206"/>
      <c r="D24" s="206"/>
      <c r="E24" s="206"/>
      <c r="F24" s="206"/>
      <c r="G24" s="207"/>
      <c r="H24" s="207"/>
      <c r="I24" s="207"/>
      <c r="J24" s="207"/>
      <c r="K24" s="207"/>
      <c r="L24" s="207"/>
      <c r="M24" s="207"/>
      <c r="N24" s="207"/>
      <c r="O24" s="207"/>
      <c r="P24" s="207"/>
    </row>
    <row r="25" spans="1:16">
      <c r="A25" s="207"/>
      <c r="B25" s="207"/>
      <c r="C25" s="206"/>
      <c r="D25" s="206"/>
      <c r="E25" s="206"/>
      <c r="F25" s="206"/>
      <c r="G25" s="207"/>
      <c r="H25" s="207"/>
      <c r="I25" s="207"/>
      <c r="J25" s="207"/>
      <c r="K25" s="207"/>
      <c r="L25" s="207"/>
      <c r="M25" s="207"/>
      <c r="N25" s="207"/>
      <c r="O25" s="207"/>
      <c r="P25" s="207"/>
    </row>
    <row r="26" spans="1:16">
      <c r="A26" s="203" t="s">
        <v>116</v>
      </c>
      <c r="B26" s="203"/>
      <c r="C26" s="217"/>
      <c r="D26" s="206"/>
      <c r="E26" s="206"/>
      <c r="F26" s="206"/>
      <c r="G26" s="207"/>
      <c r="H26" s="207"/>
      <c r="I26" s="207"/>
      <c r="J26" s="207"/>
      <c r="K26" s="207"/>
      <c r="L26" s="207"/>
      <c r="M26" s="207"/>
      <c r="N26" s="207"/>
      <c r="O26" s="207"/>
      <c r="P26" s="207"/>
    </row>
    <row r="27" spans="1:16">
      <c r="A27" s="207" t="str">
        <f>'Price Out Rates'!C66</f>
        <v>20 gallon can</v>
      </c>
      <c r="B27" s="207"/>
      <c r="C27" s="206">
        <f>'Price Out Rates'!M66</f>
        <v>11.47</v>
      </c>
      <c r="D27" s="206">
        <f>'Price Out Rates'!L66</f>
        <v>0.45220904134091749</v>
      </c>
      <c r="E27" s="206">
        <f>C27+D27</f>
        <v>11.922209041340919</v>
      </c>
      <c r="F27" s="206"/>
      <c r="G27" s="217"/>
      <c r="H27" s="217"/>
      <c r="I27" s="217"/>
      <c r="J27" s="217"/>
      <c r="K27" s="217"/>
      <c r="L27" s="217"/>
      <c r="M27" s="217"/>
      <c r="N27" s="217"/>
      <c r="O27" s="217"/>
      <c r="P27" s="217"/>
    </row>
    <row r="28" spans="1:16">
      <c r="A28" s="207" t="str">
        <f>'Price Out Rates'!C67</f>
        <v>1 Can wk</v>
      </c>
      <c r="B28" s="207"/>
      <c r="C28" s="206">
        <f>'Price Out Rates'!M67</f>
        <v>18.54</v>
      </c>
      <c r="D28" s="206">
        <f>'Price Out Rates'!L67</f>
        <v>0.76875537027955942</v>
      </c>
      <c r="E28" s="206">
        <f t="shared" ref="E28:E39" si="2">C28+D28</f>
        <v>19.30875537027956</v>
      </c>
      <c r="F28" s="206"/>
      <c r="G28" s="217"/>
      <c r="H28" s="217"/>
      <c r="I28" s="217"/>
      <c r="J28" s="217"/>
      <c r="K28" s="217"/>
      <c r="L28" s="217"/>
      <c r="M28" s="217"/>
      <c r="N28" s="217"/>
      <c r="O28" s="217"/>
      <c r="P28" s="217"/>
    </row>
    <row r="29" spans="1:16">
      <c r="A29" s="207" t="str">
        <f>'Price Out Rates'!C68</f>
        <v>2  Can wk</v>
      </c>
      <c r="B29" s="207"/>
      <c r="C29" s="206">
        <f>'Price Out Rates'!M68</f>
        <v>31.04</v>
      </c>
      <c r="D29" s="206">
        <f>'Price Out Rates'!L68</f>
        <v>1.1531330554193393</v>
      </c>
      <c r="E29" s="206">
        <f t="shared" si="2"/>
        <v>32.193133055419338</v>
      </c>
      <c r="F29" s="206"/>
      <c r="G29" s="217"/>
      <c r="H29" s="217"/>
      <c r="I29" s="217"/>
      <c r="J29" s="217"/>
      <c r="K29" s="217"/>
      <c r="L29" s="217"/>
      <c r="M29" s="217"/>
      <c r="N29" s="217"/>
      <c r="O29" s="217"/>
      <c r="P29" s="217"/>
    </row>
    <row r="30" spans="1:16">
      <c r="A30" s="207" t="str">
        <f>'Price Out Rates'!C69</f>
        <v>3 Can wk</v>
      </c>
      <c r="B30" s="207"/>
      <c r="C30" s="206">
        <f>'Price Out Rates'!M69</f>
        <v>45.58</v>
      </c>
      <c r="D30" s="206">
        <f>'Price Out Rates'!L69</f>
        <v>1.7410048091625325</v>
      </c>
      <c r="E30" s="206">
        <f t="shared" si="2"/>
        <v>47.321004809162531</v>
      </c>
      <c r="F30" s="206"/>
      <c r="G30" s="217"/>
      <c r="H30" s="217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07" t="str">
        <f>'Price Out Rates'!C70</f>
        <v>4 Can wk</v>
      </c>
      <c r="B31" s="207"/>
      <c r="C31" s="206">
        <f>'Price Out Rates'!M70</f>
        <v>60.72</v>
      </c>
      <c r="D31" s="206">
        <f>'Price Out Rates'!L70</f>
        <v>2.1932138505034491</v>
      </c>
      <c r="E31" s="206">
        <f t="shared" si="2"/>
        <v>62.913213850503446</v>
      </c>
      <c r="F31" s="206"/>
      <c r="G31" s="217"/>
      <c r="H31" s="217"/>
      <c r="I31" s="217"/>
      <c r="J31" s="217"/>
      <c r="K31" s="217"/>
      <c r="L31" s="217"/>
      <c r="M31" s="217"/>
      <c r="N31" s="217"/>
      <c r="O31" s="217"/>
      <c r="P31" s="217"/>
    </row>
    <row r="32" spans="1:16">
      <c r="A32" s="219" t="str">
        <f>'Price Out Rates'!C62</f>
        <v>5 Can wk</v>
      </c>
      <c r="B32" s="219"/>
      <c r="C32" s="220">
        <f>'Price Out Rates'!M62</f>
        <v>76.22</v>
      </c>
      <c r="D32" s="220">
        <f>'Price Out Rates'!L62</f>
        <v>2.6454228918443672</v>
      </c>
      <c r="E32" s="220">
        <f t="shared" si="2"/>
        <v>78.865422891844361</v>
      </c>
      <c r="F32" s="206"/>
      <c r="G32" s="217"/>
      <c r="H32" s="217"/>
      <c r="I32" s="217"/>
      <c r="J32" s="217"/>
      <c r="K32" s="217"/>
      <c r="L32" s="217"/>
      <c r="M32" s="217"/>
      <c r="N32" s="217"/>
      <c r="O32" s="217"/>
      <c r="P32" s="217"/>
    </row>
    <row r="33" spans="1:23">
      <c r="A33" s="207" t="str">
        <f>'Price Out Rates'!C71</f>
        <v>1 Can Monthly</v>
      </c>
      <c r="B33" s="207"/>
      <c r="C33" s="206">
        <f>'Price Out Rates'!M71</f>
        <v>6.33</v>
      </c>
      <c r="D33" s="206">
        <f>'Price Out Rates'!L71</f>
        <v>0.17740508544912914</v>
      </c>
      <c r="E33" s="206">
        <f t="shared" si="2"/>
        <v>6.507405085449129</v>
      </c>
      <c r="F33" s="206"/>
      <c r="G33" s="217"/>
      <c r="H33" s="217"/>
      <c r="I33" s="217"/>
      <c r="J33" s="217"/>
      <c r="K33" s="217"/>
      <c r="L33" s="217"/>
      <c r="M33" s="217"/>
      <c r="N33" s="217"/>
      <c r="O33" s="217"/>
      <c r="P33" s="217"/>
    </row>
    <row r="34" spans="1:23">
      <c r="A34" s="207" t="str">
        <f>'Price Out Rates'!C72</f>
        <v>32 Gal Tote wk</v>
      </c>
      <c r="B34" s="207"/>
      <c r="C34" s="206">
        <f>'Price Out Rates'!M72</f>
        <v>18.54</v>
      </c>
      <c r="D34" s="206">
        <f>'Price Out Rates'!L72</f>
        <v>0.76875537027955965</v>
      </c>
      <c r="E34" s="206">
        <f t="shared" si="2"/>
        <v>19.30875537027956</v>
      </c>
      <c r="F34" s="206"/>
      <c r="G34" s="217"/>
      <c r="H34" s="217"/>
      <c r="I34" s="217"/>
      <c r="J34" s="217"/>
      <c r="K34" s="217"/>
      <c r="L34" s="217"/>
      <c r="M34" s="217"/>
      <c r="N34" s="217"/>
      <c r="O34" s="217"/>
      <c r="P34" s="217"/>
    </row>
    <row r="35" spans="1:23">
      <c r="A35" s="207" t="str">
        <f>'Price Out Rates'!C73</f>
        <v>60 Gal Tote wk</v>
      </c>
      <c r="B35" s="207"/>
      <c r="C35" s="206">
        <f>'Price Out Rates'!M73</f>
        <v>30.85</v>
      </c>
      <c r="D35" s="206">
        <f>'Price Out Rates'!L73</f>
        <v>1.062691247151156</v>
      </c>
      <c r="E35" s="206">
        <f t="shared" si="2"/>
        <v>31.912691247151159</v>
      </c>
      <c r="F35" s="206"/>
      <c r="G35" s="217"/>
      <c r="H35" s="217"/>
      <c r="I35" s="217"/>
      <c r="J35" s="217"/>
      <c r="K35" s="217"/>
      <c r="L35" s="217"/>
      <c r="M35" s="217"/>
      <c r="N35" s="217"/>
      <c r="O35" s="217"/>
      <c r="P35" s="217"/>
    </row>
    <row r="36" spans="1:23">
      <c r="A36" s="207" t="str">
        <f>'Price Out Rates'!C74</f>
        <v>96 Gal Tote wk</v>
      </c>
      <c r="B36" s="207"/>
      <c r="C36" s="206">
        <f>'Price Out Rates'!M74</f>
        <v>44.65</v>
      </c>
      <c r="D36" s="206">
        <f>'Price Out Rates'!L74</f>
        <v>1.5375107405591193</v>
      </c>
      <c r="E36" s="206">
        <f t="shared" si="2"/>
        <v>46.187510740559119</v>
      </c>
      <c r="F36" s="206"/>
      <c r="G36" s="217"/>
      <c r="H36" s="217"/>
      <c r="I36" s="217"/>
      <c r="J36" s="217"/>
      <c r="K36" s="217"/>
      <c r="L36" s="217"/>
      <c r="M36" s="217"/>
      <c r="N36" s="217"/>
      <c r="O36" s="217"/>
      <c r="P36" s="217"/>
    </row>
    <row r="37" spans="1:23">
      <c r="A37" s="219" t="str">
        <f>'Price Out Rates'!C75</f>
        <v>32 Gal Bear Proof Toter</v>
      </c>
      <c r="B37" s="219"/>
      <c r="C37" s="220">
        <f>'Price Out Rates'!M75</f>
        <v>18.54</v>
      </c>
      <c r="D37" s="220">
        <f>'Price Out Rates'!L75</f>
        <v>0.76875537027955965</v>
      </c>
      <c r="E37" s="220">
        <f t="shared" si="2"/>
        <v>19.30875537027956</v>
      </c>
      <c r="F37" s="206"/>
      <c r="G37" s="217"/>
      <c r="H37" s="217"/>
      <c r="I37" s="217"/>
      <c r="J37" s="217"/>
      <c r="K37" s="217"/>
      <c r="L37" s="217"/>
      <c r="M37" s="217"/>
      <c r="N37" s="217"/>
      <c r="O37" s="217"/>
      <c r="P37" s="217"/>
    </row>
    <row r="38" spans="1:23">
      <c r="A38" s="219" t="str">
        <f>'Price Out Rates'!C76</f>
        <v>64 Gal Bear Proof Toter</v>
      </c>
      <c r="B38" s="219"/>
      <c r="C38" s="220">
        <f>'Price Out Rates'!M76</f>
        <v>30.85</v>
      </c>
      <c r="D38" s="220">
        <f>'Price Out Rates'!L76</f>
        <v>1.062691247151156</v>
      </c>
      <c r="E38" s="220">
        <f>C38+D38</f>
        <v>31.912691247151159</v>
      </c>
      <c r="F38" s="206"/>
      <c r="G38" s="217"/>
      <c r="H38" s="217"/>
      <c r="I38" s="217"/>
      <c r="J38" s="217"/>
      <c r="K38" s="217"/>
      <c r="L38" s="217"/>
      <c r="M38" s="217"/>
      <c r="N38" s="217"/>
      <c r="O38" s="217"/>
      <c r="P38" s="217"/>
    </row>
    <row r="39" spans="1:23">
      <c r="A39" s="219" t="str">
        <f>'Price Out Rates'!C77</f>
        <v>96 Gal Bear Proof Toter</v>
      </c>
      <c r="B39" s="219"/>
      <c r="C39" s="220">
        <f>'Price Out Rates'!M77</f>
        <v>44.65</v>
      </c>
      <c r="D39" s="220">
        <f>'Price Out Rates'!L77</f>
        <v>1.5375107405591193</v>
      </c>
      <c r="E39" s="220">
        <f t="shared" si="2"/>
        <v>46.187510740559119</v>
      </c>
      <c r="F39" s="206"/>
      <c r="G39" s="217"/>
      <c r="H39" s="217"/>
      <c r="I39" s="217"/>
      <c r="J39" s="217"/>
      <c r="K39" s="217"/>
      <c r="L39" s="217"/>
      <c r="M39" s="217"/>
      <c r="N39" s="217"/>
      <c r="O39" s="217"/>
      <c r="P39" s="217"/>
    </row>
    <row r="40" spans="1:23">
      <c r="A40" s="207"/>
      <c r="B40" s="207"/>
      <c r="C40" s="217"/>
      <c r="D40" s="217"/>
      <c r="E40" s="217"/>
      <c r="F40" s="217"/>
      <c r="G40" s="207"/>
      <c r="H40" s="221"/>
      <c r="I40" s="222"/>
      <c r="J40" s="207"/>
      <c r="K40" s="207"/>
      <c r="L40" s="207"/>
    </row>
    <row r="41" spans="1:23">
      <c r="A41" s="203" t="s">
        <v>117</v>
      </c>
      <c r="B41" s="207"/>
      <c r="C41" s="217"/>
      <c r="D41" s="206"/>
      <c r="E41" s="206"/>
      <c r="F41" s="206"/>
      <c r="G41" s="207"/>
      <c r="H41" s="207"/>
      <c r="I41" s="218"/>
      <c r="J41" s="207"/>
      <c r="K41" s="207"/>
      <c r="L41" s="207"/>
    </row>
    <row r="42" spans="1:23">
      <c r="A42" s="219" t="str">
        <f>'Price Out Rates'!C63</f>
        <v>32 Gal extra</v>
      </c>
      <c r="B42" s="219" t="s">
        <v>202</v>
      </c>
      <c r="C42" s="220">
        <f>'Price Out Rates'!M63</f>
        <v>5.49</v>
      </c>
      <c r="D42" s="220">
        <f>'Price Out Rates'!L63</f>
        <v>0.17740508544912917</v>
      </c>
      <c r="E42" s="220">
        <f t="shared" ref="E42:E43" si="3">C42+D42</f>
        <v>5.6674050854491291</v>
      </c>
      <c r="F42" s="206"/>
      <c r="G42" s="207"/>
      <c r="H42" s="218"/>
      <c r="I42" s="218"/>
      <c r="J42" s="207"/>
      <c r="K42" s="223"/>
      <c r="L42" s="207"/>
    </row>
    <row r="43" spans="1:23">
      <c r="A43" s="219" t="str">
        <f>'Price Out Rates'!C64</f>
        <v>Bag Extra</v>
      </c>
      <c r="B43" s="219" t="s">
        <v>202</v>
      </c>
      <c r="C43" s="220">
        <f>'Price Out Rates'!M64</f>
        <v>5.49</v>
      </c>
      <c r="D43" s="220">
        <f>'Price Out Rates'!L64</f>
        <v>0.17740508544912917</v>
      </c>
      <c r="E43" s="220">
        <f t="shared" si="3"/>
        <v>5.6674050854491291</v>
      </c>
      <c r="F43" s="206"/>
      <c r="G43" s="207"/>
      <c r="H43" s="218"/>
      <c r="I43" s="218"/>
      <c r="J43" s="207"/>
      <c r="K43" s="223"/>
      <c r="L43" s="207"/>
    </row>
    <row r="44" spans="1:23">
      <c r="A44" s="207"/>
      <c r="B44" s="207"/>
      <c r="C44" s="206"/>
      <c r="D44" s="206"/>
      <c r="E44" s="206"/>
      <c r="F44" s="206"/>
      <c r="G44" s="207"/>
      <c r="H44" s="218"/>
      <c r="I44" s="218"/>
      <c r="J44" s="207"/>
      <c r="K44" s="223"/>
      <c r="L44" s="207"/>
    </row>
    <row r="45" spans="1:23">
      <c r="A45" s="203" t="s">
        <v>107</v>
      </c>
      <c r="B45" s="207"/>
      <c r="C45" s="217"/>
      <c r="D45" s="206"/>
      <c r="E45" s="206"/>
      <c r="F45" s="206"/>
      <c r="G45" s="207"/>
      <c r="H45" s="207"/>
      <c r="I45" s="218"/>
      <c r="J45" s="207"/>
      <c r="K45" s="207"/>
      <c r="L45" s="207"/>
    </row>
    <row r="46" spans="1:23">
      <c r="A46" s="207" t="str">
        <f>'Price Out Rates'!C39</f>
        <v>32 Gal Toter First Pickup/Additional</v>
      </c>
      <c r="B46" s="207" t="s">
        <v>202</v>
      </c>
      <c r="C46" s="206">
        <f>'Price Out Rates'!M39</f>
        <v>6.71</v>
      </c>
      <c r="D46" s="206">
        <f>'Price Out Rates'!L39</f>
        <v>0.17740508544912914</v>
      </c>
      <c r="E46" s="206">
        <f>D46+C46</f>
        <v>6.8874050854491289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</row>
    <row r="47" spans="1:23">
      <c r="A47" s="207" t="str">
        <f>'Price Out Rates'!C40</f>
        <v>64 Gal Toter First Pickup</v>
      </c>
      <c r="B47" s="207" t="s">
        <v>202</v>
      </c>
      <c r="C47" s="217">
        <f>'Price Out Rates'!M40</f>
        <v>11.72</v>
      </c>
      <c r="D47" s="217">
        <f>'Price Out Rates'!L40</f>
        <v>0.24523644165026676</v>
      </c>
      <c r="E47" s="217">
        <f t="shared" ref="E47:E65" si="4">D47+C47</f>
        <v>11.965236441650267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</row>
    <row r="48" spans="1:23">
      <c r="A48" s="207" t="str">
        <f>'Price Out Rates'!C41</f>
        <v>96 Gal Toter First Pickup/Additional</v>
      </c>
      <c r="B48" s="207" t="s">
        <v>202</v>
      </c>
      <c r="C48" s="206">
        <f>'Price Out Rates'!M41</f>
        <v>16</v>
      </c>
      <c r="D48" s="206">
        <f>'Price Out Rates'!L41</f>
        <v>0.35481017089825834</v>
      </c>
      <c r="E48" s="206">
        <f t="shared" si="4"/>
        <v>16.354810170898258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</row>
    <row r="49" spans="1:23">
      <c r="A49" s="207" t="str">
        <f>'Price Out Rates'!C42</f>
        <v>1 yd First Pickup/Additional</v>
      </c>
      <c r="B49" s="207" t="s">
        <v>202</v>
      </c>
      <c r="C49" s="206">
        <f>'Price Out Rates'!M42</f>
        <v>32.89</v>
      </c>
      <c r="D49" s="206">
        <f>'Price Out Rates'!L42</f>
        <v>0.91311441039992935</v>
      </c>
      <c r="E49" s="206">
        <f t="shared" si="4"/>
        <v>33.803114410399928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</row>
    <row r="50" spans="1:23">
      <c r="A50" s="207" t="str">
        <f>'Price Out Rates'!C43</f>
        <v>1.25 yd First Pickup/Additional</v>
      </c>
      <c r="B50" s="207" t="s">
        <v>202</v>
      </c>
      <c r="C50" s="206">
        <f>'Price Out Rates'!M43</f>
        <v>39.479999999999997</v>
      </c>
      <c r="D50" s="206">
        <f>'Price Out Rates'!L43</f>
        <v>1.1087817840570573</v>
      </c>
      <c r="E50" s="206">
        <f t="shared" si="4"/>
        <v>40.588781784057055</v>
      </c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</row>
    <row r="51" spans="1:23">
      <c r="A51" s="207" t="str">
        <f>'Price Out Rates'!C44</f>
        <v>2 yd First Pickup/Additional</v>
      </c>
      <c r="B51" s="207" t="s">
        <v>202</v>
      </c>
      <c r="C51" s="206">
        <f>'Price Out Rates'!M44</f>
        <v>61.42</v>
      </c>
      <c r="D51" s="206">
        <f>'Price Out Rates'!L44</f>
        <v>1.690566108397584</v>
      </c>
      <c r="E51" s="206">
        <f t="shared" si="4"/>
        <v>63.110566108397585</v>
      </c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</row>
    <row r="52" spans="1:23">
      <c r="A52" s="207" t="str">
        <f>'Price Out Rates'!C45</f>
        <v>3 yd First Pickup/Additional</v>
      </c>
      <c r="B52" s="207" t="s">
        <v>202</v>
      </c>
      <c r="C52" s="206">
        <f>'Price Out Rates'!M45</f>
        <v>90.69</v>
      </c>
      <c r="D52" s="206">
        <f>'Price Out Rates'!L45</f>
        <v>2.4680178063952383</v>
      </c>
      <c r="E52" s="206">
        <f t="shared" si="4"/>
        <v>93.158017806395236</v>
      </c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</row>
    <row r="53" spans="1:23">
      <c r="A53" s="207" t="str">
        <f>'Price Out Rates'!C46</f>
        <v>4 yd First Pickup/Additional</v>
      </c>
      <c r="B53" s="207" t="s">
        <v>202</v>
      </c>
      <c r="C53" s="206">
        <f>'Price Out Rates'!M46</f>
        <v>117.52</v>
      </c>
      <c r="D53" s="206">
        <f>'Price Out Rates'!L46</f>
        <v>3.1985093347151823</v>
      </c>
      <c r="E53" s="206">
        <f t="shared" si="4"/>
        <v>120.71850933471518</v>
      </c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</row>
    <row r="54" spans="1:23">
      <c r="A54" s="207" t="str">
        <f>'Price Out Rates'!C47</f>
        <v>6 yd First Pickup/Additional</v>
      </c>
      <c r="B54" s="207" t="s">
        <v>202</v>
      </c>
      <c r="C54" s="206">
        <f>'Price Out Rates'!M47</f>
        <v>174.38</v>
      </c>
      <c r="D54" s="206">
        <f>'Price Out Rates'!L47</f>
        <v>4.3829491699196623</v>
      </c>
      <c r="E54" s="206">
        <f t="shared" si="4"/>
        <v>178.76294916991966</v>
      </c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</row>
    <row r="55" spans="1:23">
      <c r="A55" s="207" t="str">
        <f>'Price Out Rates'!C48</f>
        <v>8 yd First Pickup/Additional</v>
      </c>
      <c r="B55" s="207" t="s">
        <v>202</v>
      </c>
      <c r="C55" s="206">
        <f>'Price Out Rates'!M48</f>
        <v>226.29</v>
      </c>
      <c r="D55" s="206">
        <f>'Price Out Rates'!L48</f>
        <v>5.1134406982396046</v>
      </c>
      <c r="E55" s="206">
        <f t="shared" si="4"/>
        <v>231.40344069823959</v>
      </c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</row>
    <row r="56" spans="1:23">
      <c r="A56" s="219" t="str">
        <f>'Price Out Rates'!C78</f>
        <v>32 Gal Special Pickup</v>
      </c>
      <c r="B56" s="219" t="s">
        <v>202</v>
      </c>
      <c r="C56" s="220">
        <f>'Price Out Rates'!M78</f>
        <v>10.94</v>
      </c>
      <c r="D56" s="220">
        <f>'Price Out Rates'!L78</f>
        <v>0.17740508544912917</v>
      </c>
      <c r="E56" s="220">
        <f t="shared" si="4"/>
        <v>11.117405085449128</v>
      </c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</row>
    <row r="57" spans="1:23">
      <c r="A57" s="219" t="str">
        <f>'Price Out Rates'!C79</f>
        <v>64 Gal Special Pickup</v>
      </c>
      <c r="B57" s="219" t="s">
        <v>202</v>
      </c>
      <c r="C57" s="220">
        <f>'Price Out Rates'!M79</f>
        <v>15.63</v>
      </c>
      <c r="D57" s="220">
        <f>'Price Out Rates'!L79</f>
        <v>0.24523644165026678</v>
      </c>
      <c r="E57" s="220">
        <f t="shared" si="4"/>
        <v>15.875236441650268</v>
      </c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</row>
    <row r="58" spans="1:23">
      <c r="A58" s="219" t="str">
        <f>'Price Out Rates'!C80</f>
        <v>96 Gal Special Pickup</v>
      </c>
      <c r="B58" s="219" t="s">
        <v>202</v>
      </c>
      <c r="C58" s="220">
        <f>'Price Out Rates'!M80</f>
        <v>18.78</v>
      </c>
      <c r="D58" s="220">
        <f>'Price Out Rates'!L80</f>
        <v>0.35481017089825834</v>
      </c>
      <c r="E58" s="220">
        <f t="shared" si="4"/>
        <v>19.134810170898259</v>
      </c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</row>
    <row r="59" spans="1:23">
      <c r="A59" s="219" t="str">
        <f>'Price Out Rates'!C81</f>
        <v>1 yd Special Pickup</v>
      </c>
      <c r="B59" s="219" t="s">
        <v>202</v>
      </c>
      <c r="C59" s="220">
        <f>'Price Out Rates'!M81</f>
        <v>37.33</v>
      </c>
      <c r="D59" s="220">
        <f>'Price Out Rates'!L81</f>
        <v>0.91311441039992947</v>
      </c>
      <c r="E59" s="220">
        <f t="shared" si="4"/>
        <v>38.243114410399926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</row>
    <row r="60" spans="1:23">
      <c r="A60" s="219" t="str">
        <f>'Price Out Rates'!C82</f>
        <v>1.25 yd Special Pickup</v>
      </c>
      <c r="B60" s="219" t="s">
        <v>202</v>
      </c>
      <c r="C60" s="220">
        <f>'Price Out Rates'!M82</f>
        <v>44.2</v>
      </c>
      <c r="D60" s="220">
        <f>'Price Out Rates'!L82</f>
        <v>1.1087817840570573</v>
      </c>
      <c r="E60" s="220">
        <f t="shared" si="4"/>
        <v>45.308781784057061</v>
      </c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</row>
    <row r="61" spans="1:23">
      <c r="A61" s="219" t="str">
        <f>'Price Out Rates'!C83</f>
        <v>2 yd Special Pickup</v>
      </c>
      <c r="B61" s="219" t="s">
        <v>202</v>
      </c>
      <c r="C61" s="220">
        <f>'Price Out Rates'!M83</f>
        <v>66.540000000000006</v>
      </c>
      <c r="D61" s="220">
        <f>'Price Out Rates'!L83</f>
        <v>1.690566108397584</v>
      </c>
      <c r="E61" s="220">
        <f t="shared" si="4"/>
        <v>68.230566108397596</v>
      </c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</row>
    <row r="62" spans="1:23">
      <c r="A62" s="219" t="str">
        <f>'Price Out Rates'!C84</f>
        <v>3 yd Special Pickup</v>
      </c>
      <c r="B62" s="219" t="s">
        <v>202</v>
      </c>
      <c r="C62" s="220">
        <f>'Price Out Rates'!M84</f>
        <v>95.03</v>
      </c>
      <c r="D62" s="220">
        <f>'Price Out Rates'!L84</f>
        <v>2.4680178063952378</v>
      </c>
      <c r="E62" s="220">
        <f t="shared" si="4"/>
        <v>97.498017806395239</v>
      </c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</row>
    <row r="63" spans="1:23">
      <c r="A63" s="219" t="str">
        <f>'Price Out Rates'!C85</f>
        <v>4 yd Special Pickup</v>
      </c>
      <c r="B63" s="219" t="s">
        <v>202</v>
      </c>
      <c r="C63" s="220">
        <f>'Price Out Rates'!M85</f>
        <v>124.82</v>
      </c>
      <c r="D63" s="220">
        <f>'Price Out Rates'!L85</f>
        <v>3.1985093347151814</v>
      </c>
      <c r="E63" s="220">
        <f t="shared" si="4"/>
        <v>128.01850933471516</v>
      </c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</row>
    <row r="64" spans="1:23">
      <c r="A64" s="219" t="str">
        <f>'Price Out Rates'!C86</f>
        <v>6 yd Special Pickup</v>
      </c>
      <c r="B64" s="219" t="s">
        <v>202</v>
      </c>
      <c r="C64" s="220">
        <f>'Price Out Rates'!M86</f>
        <v>184.62</v>
      </c>
      <c r="D64" s="220">
        <f>'Price Out Rates'!L86</f>
        <v>4.3829491699196614</v>
      </c>
      <c r="E64" s="220">
        <f t="shared" si="4"/>
        <v>189.00294916991967</v>
      </c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</row>
    <row r="65" spans="1:23">
      <c r="A65" s="219" t="str">
        <f>'Price Out Rates'!C87</f>
        <v>8 yd Special PIckup</v>
      </c>
      <c r="B65" s="219" t="s">
        <v>202</v>
      </c>
      <c r="C65" s="220">
        <f>'Price Out Rates'!M87</f>
        <v>228.94</v>
      </c>
      <c r="D65" s="220">
        <f>'Price Out Rates'!L87</f>
        <v>5.1134406982396046</v>
      </c>
      <c r="E65" s="220">
        <f t="shared" si="4"/>
        <v>234.0534406982396</v>
      </c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</row>
    <row r="66" spans="1:23">
      <c r="A66" s="219" t="str">
        <f>'Price Out Rates'!C88</f>
        <v>1 yd Temporary</v>
      </c>
      <c r="B66" s="219" t="s">
        <v>202</v>
      </c>
      <c r="C66" s="220">
        <f>'Price Out Rates'!M88</f>
        <v>44.68</v>
      </c>
      <c r="D66" s="220">
        <f>'Price Out Rates'!L88</f>
        <v>0.91311441039992947</v>
      </c>
      <c r="E66" s="220">
        <f t="shared" ref="E66:E74" si="5">D66+C66</f>
        <v>45.593114410399927</v>
      </c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</row>
    <row r="67" spans="1:23">
      <c r="A67" s="219" t="str">
        <f>'Price Out Rates'!C89</f>
        <v>1.25 yd Temporary</v>
      </c>
      <c r="B67" s="219" t="s">
        <v>202</v>
      </c>
      <c r="C67" s="220">
        <f>'Price Out Rates'!M89</f>
        <v>49.17</v>
      </c>
      <c r="D67" s="220">
        <f>'Price Out Rates'!L89</f>
        <v>1.1087817840570573</v>
      </c>
      <c r="E67" s="220">
        <f t="shared" si="5"/>
        <v>50.27878178405706</v>
      </c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</row>
    <row r="68" spans="1:23">
      <c r="A68" s="219" t="str">
        <f>'Price Out Rates'!C90</f>
        <v>2 yd Temporary</v>
      </c>
      <c r="B68" s="219" t="s">
        <v>202</v>
      </c>
      <c r="C68" s="220">
        <f>'Price Out Rates'!M90</f>
        <v>65.650000000000006</v>
      </c>
      <c r="D68" s="220">
        <f>'Price Out Rates'!L90</f>
        <v>1.690566108397584</v>
      </c>
      <c r="E68" s="220">
        <f t="shared" si="5"/>
        <v>67.340566108397596</v>
      </c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</row>
    <row r="69" spans="1:23">
      <c r="A69" s="219" t="str">
        <f>'Price Out Rates'!C91</f>
        <v>3 yd Temporary</v>
      </c>
      <c r="B69" s="219" t="s">
        <v>202</v>
      </c>
      <c r="C69" s="220">
        <f>'Price Out Rates'!M91</f>
        <v>92.6</v>
      </c>
      <c r="D69" s="220">
        <f>'Price Out Rates'!L91</f>
        <v>2.4680178063952378</v>
      </c>
      <c r="E69" s="220">
        <f t="shared" si="5"/>
        <v>95.068017806395233</v>
      </c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</row>
    <row r="70" spans="1:23">
      <c r="A70" s="219" t="str">
        <f>'Price Out Rates'!C92</f>
        <v>4 yd Temporary</v>
      </c>
      <c r="B70" s="219" t="s">
        <v>202</v>
      </c>
      <c r="C70" s="220">
        <f>'Price Out Rates'!M92</f>
        <v>121.69</v>
      </c>
      <c r="D70" s="220">
        <f>'Price Out Rates'!L92</f>
        <v>3.1985093347151814</v>
      </c>
      <c r="E70" s="220">
        <f t="shared" si="5"/>
        <v>124.88850933471518</v>
      </c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</row>
    <row r="71" spans="1:23">
      <c r="A71" s="219" t="str">
        <f>'Price Out Rates'!C93</f>
        <v>6 yd Temporary</v>
      </c>
      <c r="B71" s="219" t="s">
        <v>202</v>
      </c>
      <c r="C71" s="220">
        <f>'Price Out Rates'!M93</f>
        <v>180.54</v>
      </c>
      <c r="D71" s="220">
        <f>'Price Out Rates'!L93</f>
        <v>4.3829491699196614</v>
      </c>
      <c r="E71" s="220">
        <f t="shared" si="5"/>
        <v>184.92294916991966</v>
      </c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</row>
    <row r="72" spans="1:23">
      <c r="A72" s="219" t="str">
        <f>'Price Out Rates'!C94</f>
        <v>8 yd Temporary</v>
      </c>
      <c r="B72" s="219" t="s">
        <v>202</v>
      </c>
      <c r="C72" s="220">
        <f>'Price Out Rates'!M94</f>
        <v>224.55</v>
      </c>
      <c r="D72" s="220">
        <f>'Price Out Rates'!L94</f>
        <v>5.1134406982396046</v>
      </c>
      <c r="E72" s="220">
        <f t="shared" si="5"/>
        <v>229.66344069823961</v>
      </c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</row>
    <row r="73" spans="1:23">
      <c r="A73" s="207"/>
      <c r="B73" s="207"/>
      <c r="C73" s="206"/>
      <c r="D73" s="206"/>
      <c r="E73" s="206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</row>
    <row r="74" spans="1:23">
      <c r="A74" s="219" t="str">
        <f>'Price Out Rates'!C95</f>
        <v>Extras</v>
      </c>
      <c r="B74" s="219" t="s">
        <v>202</v>
      </c>
      <c r="C74" s="220">
        <f>'Price Out Rates'!M95</f>
        <v>6.87</v>
      </c>
      <c r="D74" s="220">
        <f>'Price Out Rates'!L95</f>
        <v>0.17740508544912917</v>
      </c>
      <c r="E74" s="220">
        <f t="shared" si="5"/>
        <v>7.047405085449129</v>
      </c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</row>
    <row r="75" spans="1:23">
      <c r="A75" s="207"/>
      <c r="B75" s="207"/>
      <c r="C75" s="206"/>
      <c r="D75" s="206"/>
      <c r="E75" s="206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</row>
    <row r="76" spans="1:23">
      <c r="A76" s="203" t="s">
        <v>227</v>
      </c>
      <c r="B76" s="207"/>
      <c r="C76" s="206"/>
      <c r="D76" s="206"/>
      <c r="E76" s="206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</row>
    <row r="77" spans="1:23">
      <c r="A77" s="207" t="str">
        <f>'Price Out Rates'!C49</f>
        <v>3 yd Pickup/Additional</v>
      </c>
      <c r="B77" s="207" t="s">
        <v>202</v>
      </c>
      <c r="C77" s="217">
        <f>'Price Out Rates'!M49</f>
        <v>306.54000000000002</v>
      </c>
      <c r="D77" s="217">
        <f>'Price Out Rates'!L49</f>
        <v>6.7883534167446191</v>
      </c>
      <c r="E77" s="217">
        <f>D77+C77</f>
        <v>313.32835341674462</v>
      </c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</row>
    <row r="78" spans="1:23">
      <c r="A78" s="219" t="str">
        <f>'Price Out Rates'!C96</f>
        <v>4 yd Pickup/Additional</v>
      </c>
      <c r="B78" s="219" t="s">
        <v>202</v>
      </c>
      <c r="C78" s="220">
        <f>'Price Out Rates'!M96</f>
        <v>487.09</v>
      </c>
      <c r="D78" s="220">
        <f>'Price Out Rates'!L96</f>
        <v>8.7972051196244632</v>
      </c>
      <c r="E78" s="220">
        <f t="shared" ref="E78:E83" si="6">D78+C78</f>
        <v>495.88720511962441</v>
      </c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</row>
    <row r="79" spans="1:23">
      <c r="A79" s="219" t="str">
        <f>'Price Out Rates'!C97</f>
        <v>6 yd Pickup/Additional</v>
      </c>
      <c r="B79" s="219" t="s">
        <v>202</v>
      </c>
      <c r="C79" s="220">
        <f>'Price Out Rates'!M97</f>
        <v>651.19000000000005</v>
      </c>
      <c r="D79" s="220">
        <f>'Price Out Rates'!L97</f>
        <v>12.05311021727907</v>
      </c>
      <c r="E79" s="220">
        <f t="shared" si="6"/>
        <v>663.24311021727908</v>
      </c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</row>
    <row r="80" spans="1:23">
      <c r="A80" s="207"/>
      <c r="B80" s="20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</row>
    <row r="81" spans="1:23">
      <c r="A81" s="219" t="str">
        <f>'Price Out Rates'!C98</f>
        <v>3 yd Special Pickup</v>
      </c>
      <c r="B81" s="219" t="s">
        <v>202</v>
      </c>
      <c r="C81" s="220">
        <f>'Price Out Rates'!M98</f>
        <v>309.91000000000003</v>
      </c>
      <c r="D81" s="220">
        <f>'Price Out Rates'!L98</f>
        <v>6.7883534167446173</v>
      </c>
      <c r="E81" s="220">
        <f t="shared" si="6"/>
        <v>316.69835341674462</v>
      </c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</row>
    <row r="82" spans="1:23">
      <c r="A82" s="219" t="str">
        <f>'Price Out Rates'!C99</f>
        <v>4 yd Special Pickup</v>
      </c>
      <c r="B82" s="219" t="s">
        <v>202</v>
      </c>
      <c r="C82" s="220">
        <f>'Price Out Rates'!M99</f>
        <v>490.14</v>
      </c>
      <c r="D82" s="220">
        <f>'Price Out Rates'!L99</f>
        <v>8.7972051196244632</v>
      </c>
      <c r="E82" s="220">
        <f t="shared" si="6"/>
        <v>498.93720511962442</v>
      </c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</row>
    <row r="83" spans="1:23">
      <c r="A83" s="219" t="str">
        <f>'Price Out Rates'!C100</f>
        <v>6 yd Special Pickup</v>
      </c>
      <c r="B83" s="219" t="s">
        <v>202</v>
      </c>
      <c r="C83" s="220">
        <f>'Price Out Rates'!M100</f>
        <v>654.01</v>
      </c>
      <c r="D83" s="220">
        <f>'Price Out Rates'!L100</f>
        <v>12.05311021727907</v>
      </c>
      <c r="E83" s="220">
        <f t="shared" si="6"/>
        <v>666.06311021727902</v>
      </c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</row>
    <row r="84" spans="1:23">
      <c r="A84" s="207"/>
      <c r="B84" s="20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</row>
    <row r="85" spans="1:23">
      <c r="A85" s="203" t="s">
        <v>231</v>
      </c>
      <c r="B85" s="20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</row>
    <row r="86" spans="1:23">
      <c r="A86" s="207" t="str">
        <f>'Price Out Rates'!C115</f>
        <v>Bulky Materials, per yard</v>
      </c>
      <c r="B86" s="207" t="s">
        <v>253</v>
      </c>
      <c r="C86" s="217">
        <f>'Price Out Rates'!M115</f>
        <v>21.83</v>
      </c>
      <c r="D86" s="217">
        <f>'Price Out Rates'!L115</f>
        <v>0.65222457885709251</v>
      </c>
      <c r="E86" s="217">
        <f>C86+D86</f>
        <v>22.482224578857092</v>
      </c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</row>
    <row r="87" spans="1:23">
      <c r="A87" s="207" t="str">
        <f>'Price Out Rates'!C116</f>
        <v>Loose Materials, per yard</v>
      </c>
      <c r="B87" s="207" t="s">
        <v>253</v>
      </c>
      <c r="C87" s="217">
        <f>'Price Out Rates'!M116</f>
        <v>21.83</v>
      </c>
      <c r="D87" s="217">
        <f>'Price Out Rates'!L116</f>
        <v>0.65222457885709251</v>
      </c>
      <c r="E87" s="217">
        <f>C87+D87</f>
        <v>22.482224578857092</v>
      </c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</row>
    <row r="88" spans="1:23">
      <c r="A88" s="207"/>
      <c r="B88" s="207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</row>
    <row r="89" spans="1:23">
      <c r="A89" s="203" t="s">
        <v>203</v>
      </c>
      <c r="B89" s="207"/>
      <c r="C89" s="206"/>
      <c r="D89" s="206"/>
      <c r="E89" s="206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</row>
    <row r="90" spans="1:23">
      <c r="A90" s="207" t="s">
        <v>204</v>
      </c>
      <c r="B90" s="207" t="s">
        <v>205</v>
      </c>
      <c r="C90" s="206">
        <f>References!B47</f>
        <v>183.71</v>
      </c>
      <c r="D90" s="206">
        <f t="shared" ref="D90" si="7">E90-C90</f>
        <v>16.708765541421286</v>
      </c>
      <c r="E90" s="206">
        <f>References!B48</f>
        <v>200.41876554142129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</row>
    <row r="91" spans="1:23">
      <c r="A91" s="207"/>
      <c r="B91" s="207"/>
      <c r="C91" s="206"/>
      <c r="D91" s="206"/>
      <c r="E91" s="206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</row>
    <row r="92" spans="1:23">
      <c r="A92" s="203" t="s">
        <v>106</v>
      </c>
      <c r="B92" s="207"/>
      <c r="C92" s="217"/>
      <c r="D92" s="206"/>
      <c r="E92" s="206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</row>
    <row r="93" spans="1:23">
      <c r="A93" s="207" t="str">
        <f>'Price Out Rates'!C16</f>
        <v>32 Gal Toter First Pickup/Additional</v>
      </c>
      <c r="B93" s="207" t="s">
        <v>202</v>
      </c>
      <c r="C93" s="206">
        <f>'Price Out Rates'!M16</f>
        <v>5.4010754840213053</v>
      </c>
      <c r="D93" s="206">
        <f>'Price Out Rates'!L16</f>
        <v>0.15131610229484546</v>
      </c>
      <c r="E93" s="206">
        <f>C93+D93</f>
        <v>5.5523915863161504</v>
      </c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</row>
    <row r="94" spans="1:23">
      <c r="A94" s="207" t="str">
        <f>'Price Out Rates'!C17</f>
        <v>64 Gal Toter First Pickup/Additional</v>
      </c>
      <c r="B94" s="207" t="s">
        <v>202</v>
      </c>
      <c r="C94" s="206">
        <f>'Price Out Rates'!M17</f>
        <v>9.1840149930726653</v>
      </c>
      <c r="D94" s="206">
        <f>'Price Out Rates'!L17</f>
        <v>0.24523644165026673</v>
      </c>
      <c r="E94" s="206">
        <f t="shared" ref="E94:E116" si="8">C94+D94</f>
        <v>9.4292514347229321</v>
      </c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</row>
    <row r="95" spans="1:23">
      <c r="A95" s="207" t="str">
        <f>'Price Out Rates'!C18</f>
        <v>96 Gal Toter First Pickup/Additional</v>
      </c>
      <c r="B95" s="207" t="s">
        <v>202</v>
      </c>
      <c r="C95" s="206">
        <f>'Price Out Rates'!M18</f>
        <v>12.19068656818574</v>
      </c>
      <c r="D95" s="206">
        <f>'Price Out Rates'!L18</f>
        <v>0.35481017089825828</v>
      </c>
      <c r="E95" s="206">
        <f t="shared" si="8"/>
        <v>12.545496739083998</v>
      </c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</row>
    <row r="96" spans="1:23">
      <c r="A96" s="207" t="str">
        <f>'Price Out Rates'!C19</f>
        <v>1 yd First Pickup/Additional</v>
      </c>
      <c r="B96" s="207" t="s">
        <v>202</v>
      </c>
      <c r="C96" s="206">
        <f>'Price Out Rates'!M19</f>
        <v>25.124841016763074</v>
      </c>
      <c r="D96" s="206">
        <f>'Price Out Rates'!L19</f>
        <v>0.91311441039992947</v>
      </c>
      <c r="E96" s="206">
        <f t="shared" si="8"/>
        <v>26.037955427163006</v>
      </c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</row>
    <row r="97" spans="1:23">
      <c r="A97" s="207" t="str">
        <f>'Price Out Rates'!C20</f>
        <v>1.25 yd First Pickup/Additional</v>
      </c>
      <c r="B97" s="207" t="s">
        <v>202</v>
      </c>
      <c r="C97" s="206">
        <f>'Price Out Rates'!M20</f>
        <v>29.771515269210557</v>
      </c>
      <c r="D97" s="206">
        <f>'Price Out Rates'!L20</f>
        <v>1.1087817840570573</v>
      </c>
      <c r="E97" s="206">
        <f t="shared" si="8"/>
        <v>30.880297053267615</v>
      </c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</row>
    <row r="98" spans="1:23">
      <c r="A98" s="207" t="str">
        <f>'Price Out Rates'!C21</f>
        <v>2 yd First Pickup/Additional</v>
      </c>
      <c r="B98" s="207" t="s">
        <v>202</v>
      </c>
      <c r="C98" s="206">
        <f>'Price Out Rates'!M21</f>
        <v>45.887274911816633</v>
      </c>
      <c r="D98" s="206">
        <f>'Price Out Rates'!L21</f>
        <v>1.6905661083975838</v>
      </c>
      <c r="E98" s="206">
        <f t="shared" si="8"/>
        <v>47.577841020214215</v>
      </c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</row>
    <row r="99" spans="1:23">
      <c r="A99" s="207" t="str">
        <f>'Price Out Rates'!C22</f>
        <v>3 yd First Pickup/Additional</v>
      </c>
      <c r="B99" s="207" t="s">
        <v>202</v>
      </c>
      <c r="C99" s="206">
        <f>'Price Out Rates'!M22</f>
        <v>67.382243336079569</v>
      </c>
      <c r="D99" s="206">
        <f>'Price Out Rates'!L22</f>
        <v>2.4680178063952378</v>
      </c>
      <c r="E99" s="206">
        <f t="shared" si="8"/>
        <v>69.850261142474807</v>
      </c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</row>
    <row r="100" spans="1:23">
      <c r="A100" s="207" t="str">
        <f>'Price Out Rates'!C23</f>
        <v>4 yd First Pickup/Additional</v>
      </c>
      <c r="B100" s="207" t="s">
        <v>202</v>
      </c>
      <c r="C100" s="206">
        <f>'Price Out Rates'!M23</f>
        <v>86.450007797887565</v>
      </c>
      <c r="D100" s="206">
        <f>'Price Out Rates'!L23</f>
        <v>3.1985093347151818</v>
      </c>
      <c r="E100" s="206">
        <f t="shared" si="8"/>
        <v>89.648517132602748</v>
      </c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</row>
    <row r="101" spans="1:23">
      <c r="A101" s="207" t="str">
        <f>'Price Out Rates'!C24</f>
        <v>6 yd First Pickup/Additional</v>
      </c>
      <c r="B101" s="207" t="s">
        <v>202</v>
      </c>
      <c r="C101" s="206">
        <f>'Price Out Rates'!M24</f>
        <v>127.77807526671457</v>
      </c>
      <c r="D101" s="206">
        <f>'Price Out Rates'!L24</f>
        <v>4.3829491699196623</v>
      </c>
      <c r="E101" s="206">
        <f t="shared" si="8"/>
        <v>132.16102443663422</v>
      </c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</row>
    <row r="102" spans="1:23">
      <c r="A102" s="207" t="str">
        <f>'Price Out Rates'!C25</f>
        <v>8 yd First Pickup/Additional</v>
      </c>
      <c r="B102" s="207" t="s">
        <v>202</v>
      </c>
      <c r="C102" s="206">
        <f>'Price Out Rates'!M25</f>
        <v>164.15333464999165</v>
      </c>
      <c r="D102" s="206">
        <f>'Price Out Rates'!L25</f>
        <v>5.1134406982396046</v>
      </c>
      <c r="E102" s="206">
        <f t="shared" si="8"/>
        <v>169.26677534823125</v>
      </c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</row>
    <row r="103" spans="1:23">
      <c r="A103" s="219" t="str">
        <f>'Price Out Rates'!C101</f>
        <v>32 Gal Toter Special PIckup</v>
      </c>
      <c r="B103" s="219" t="s">
        <v>202</v>
      </c>
      <c r="C103" s="220">
        <f>'Price Out Rates'!M101</f>
        <v>9.6322823915440683</v>
      </c>
      <c r="D103" s="220">
        <f>'Price Out Rates'!L101</f>
        <v>0.15131610229484546</v>
      </c>
      <c r="E103" s="220">
        <f t="shared" si="8"/>
        <v>9.7835984938389142</v>
      </c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</row>
    <row r="104" spans="1:23">
      <c r="A104" s="219" t="str">
        <f>'Price Out Rates'!C102</f>
        <v>64 Gal Toter Special Pickup</v>
      </c>
      <c r="B104" s="219" t="s">
        <v>202</v>
      </c>
      <c r="C104" s="220">
        <f>'Price Out Rates'!M102</f>
        <v>13.07628801394632</v>
      </c>
      <c r="D104" s="220">
        <f>'Price Out Rates'!L102</f>
        <v>0.24523644165026678</v>
      </c>
      <c r="E104" s="220">
        <f t="shared" si="8"/>
        <v>13.321524455596586</v>
      </c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</row>
    <row r="105" spans="1:23">
      <c r="A105" s="207" t="str">
        <f>'Price Out Rates'!C26</f>
        <v>96 Gal Toter Special PIckup</v>
      </c>
      <c r="B105" s="207" t="s">
        <v>202</v>
      </c>
      <c r="C105" s="206">
        <f>'Price Out Rates'!M26</f>
        <v>14.97</v>
      </c>
      <c r="D105" s="206">
        <f>'Price Out Rates'!L26</f>
        <v>0.35481017089825828</v>
      </c>
      <c r="E105" s="206">
        <f t="shared" si="8"/>
        <v>15.324810170898258</v>
      </c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</row>
    <row r="106" spans="1:23">
      <c r="A106" s="219" t="str">
        <f>'Price Out Rates'!C103</f>
        <v>1 yd Special Pickup</v>
      </c>
      <c r="B106" s="219" t="s">
        <v>202</v>
      </c>
      <c r="C106" s="220">
        <f>'Price Out Rates'!M103</f>
        <v>29.56</v>
      </c>
      <c r="D106" s="220">
        <f>'Price Out Rates'!L103</f>
        <v>0.91311441039992947</v>
      </c>
      <c r="E106" s="220">
        <f t="shared" si="8"/>
        <v>30.47311441039993</v>
      </c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</row>
    <row r="107" spans="1:23">
      <c r="A107" s="207" t="str">
        <f>'Price Out Rates'!C27</f>
        <v>1.25 yd Special Pickup</v>
      </c>
      <c r="B107" s="207" t="s">
        <v>202</v>
      </c>
      <c r="C107" s="206">
        <f>'Price Out Rates'!M27</f>
        <v>34.49</v>
      </c>
      <c r="D107" s="206">
        <f>'Price Out Rates'!L27</f>
        <v>1.1087817840570573</v>
      </c>
      <c r="E107" s="206">
        <f t="shared" si="8"/>
        <v>35.59878178405706</v>
      </c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</row>
    <row r="108" spans="1:23">
      <c r="A108" s="207" t="str">
        <f>'Price Out Rates'!C28</f>
        <v>2 yd Special Pickup</v>
      </c>
      <c r="B108" s="207" t="s">
        <v>202</v>
      </c>
      <c r="C108" s="206">
        <f>'Price Out Rates'!M28</f>
        <v>51.004083265099979</v>
      </c>
      <c r="D108" s="206">
        <f>'Price Out Rates'!L28</f>
        <v>1.690566108397584</v>
      </c>
      <c r="E108" s="206">
        <f t="shared" si="8"/>
        <v>52.694649373497562</v>
      </c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</row>
    <row r="109" spans="1:23">
      <c r="A109" s="207" t="str">
        <f>'Price Out Rates'!C29</f>
        <v>3 yd  Special PIckup</v>
      </c>
      <c r="B109" s="207" t="s">
        <v>202</v>
      </c>
      <c r="C109" s="206">
        <f>'Price Out Rates'!M29</f>
        <v>71.722783755424615</v>
      </c>
      <c r="D109" s="206">
        <f>'Price Out Rates'!L29</f>
        <v>2.4680178063952378</v>
      </c>
      <c r="E109" s="206">
        <f t="shared" si="8"/>
        <v>74.190801561819853</v>
      </c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</row>
    <row r="110" spans="1:23">
      <c r="A110" s="207" t="str">
        <f>'Price Out Rates'!C30</f>
        <v>4 yd Special Pickup</v>
      </c>
      <c r="B110" s="207" t="s">
        <v>202</v>
      </c>
      <c r="C110" s="206">
        <f>'Price Out Rates'!M30</f>
        <v>93.753486387616789</v>
      </c>
      <c r="D110" s="206">
        <f>'Price Out Rates'!L30</f>
        <v>3.1985093347151814</v>
      </c>
      <c r="E110" s="206">
        <f t="shared" si="8"/>
        <v>96.951995722331972</v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</row>
    <row r="111" spans="1:23">
      <c r="A111" s="207" t="str">
        <f>'Price Out Rates'!C31</f>
        <v>6 yd Special Pickup</v>
      </c>
      <c r="B111" s="207" t="s">
        <v>202</v>
      </c>
      <c r="C111" s="206">
        <f>'Price Out Rates'!M31</f>
        <v>138.01169197328124</v>
      </c>
      <c r="D111" s="206">
        <f>'Price Out Rates'!L31</f>
        <v>4.3829491699196605</v>
      </c>
      <c r="E111" s="206">
        <f t="shared" si="8"/>
        <v>142.39464114320091</v>
      </c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</row>
    <row r="112" spans="1:23">
      <c r="A112" s="207" t="str">
        <f>'Price Out Rates'!C32</f>
        <v>8 yd Special Pickup</v>
      </c>
      <c r="B112" s="207" t="s">
        <v>202</v>
      </c>
      <c r="C112" s="217">
        <f>'Price Out Rates'!M32</f>
        <v>166.79920563609116</v>
      </c>
      <c r="D112" s="217">
        <f>'Price Out Rates'!L32</f>
        <v>5.1134406982396046</v>
      </c>
      <c r="E112" s="217">
        <f t="shared" si="8"/>
        <v>171.91264633433076</v>
      </c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</row>
    <row r="113" spans="1:23">
      <c r="A113" s="219" t="str">
        <f>'Price Out Rates'!C88</f>
        <v>1 yd Temporary</v>
      </c>
      <c r="B113" s="219" t="s">
        <v>202</v>
      </c>
      <c r="C113" s="220">
        <f>'Price Out Rates'!M104</f>
        <v>36.909999999999997</v>
      </c>
      <c r="D113" s="220">
        <f>'Price Out Rates'!L104</f>
        <v>0.91311441039992947</v>
      </c>
      <c r="E113" s="220">
        <f t="shared" si="8"/>
        <v>37.823114410399924</v>
      </c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</row>
    <row r="114" spans="1:23">
      <c r="A114" s="207" t="str">
        <f>'Price Out Rates'!C33</f>
        <v>1.25 yd Temporary</v>
      </c>
      <c r="B114" s="207" t="s">
        <v>202</v>
      </c>
      <c r="C114" s="206">
        <f>'Price Out Rates'!M33</f>
        <v>39.46</v>
      </c>
      <c r="D114" s="206">
        <f>'Price Out Rates'!L33</f>
        <v>1.1087817840570571</v>
      </c>
      <c r="E114" s="206">
        <f t="shared" si="8"/>
        <v>40.568781784057059</v>
      </c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</row>
    <row r="115" spans="1:23">
      <c r="A115" s="219" t="str">
        <f>'Price Out Rates'!C105</f>
        <v>2 yd Temporary</v>
      </c>
      <c r="B115" s="219" t="s">
        <v>202</v>
      </c>
      <c r="C115" s="220">
        <f>'Price Out Rates'!M105</f>
        <v>50.118481819339401</v>
      </c>
      <c r="D115" s="220">
        <f>'Price Out Rates'!L105</f>
        <v>1.690566108397584</v>
      </c>
      <c r="E115" s="220">
        <f>C115+D115</f>
        <v>51.809047927736984</v>
      </c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</row>
    <row r="116" spans="1:23">
      <c r="A116" s="219" t="str">
        <f>'Price Out Rates'!C106</f>
        <v>3 yd Temporary</v>
      </c>
      <c r="B116" s="219" t="s">
        <v>202</v>
      </c>
      <c r="C116" s="220">
        <f>'Price Out Rates'!M106</f>
        <v>69.295579792969704</v>
      </c>
      <c r="D116" s="220">
        <f>'Price Out Rates'!L106</f>
        <v>2.4680178063952378</v>
      </c>
      <c r="E116" s="220">
        <f t="shared" si="8"/>
        <v>71.763597599364942</v>
      </c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</row>
    <row r="117" spans="1:23">
      <c r="A117" s="219" t="str">
        <f>'Price Out Rates'!C107</f>
        <v>4 yd Temporary</v>
      </c>
      <c r="B117" s="219" t="s">
        <v>202</v>
      </c>
      <c r="C117" s="220">
        <f>'Price Out Rates'!M107</f>
        <v>90.615614598316952</v>
      </c>
      <c r="D117" s="220">
        <f>'Price Out Rates'!L107</f>
        <v>3.1985093347151814</v>
      </c>
      <c r="E117" s="220">
        <f t="shared" ref="E117:E118" si="9">C117+D117</f>
        <v>93.814123933032135</v>
      </c>
      <c r="F117" s="217"/>
      <c r="G117" s="207"/>
      <c r="H117" s="218"/>
      <c r="I117" s="218"/>
      <c r="J117" s="207"/>
      <c r="K117" s="223"/>
      <c r="L117" s="207"/>
    </row>
    <row r="118" spans="1:23">
      <c r="A118" s="207" t="str">
        <f>'Price Out Rates'!C34</f>
        <v>6 yd Temporary</v>
      </c>
      <c r="B118" s="207" t="s">
        <v>202</v>
      </c>
      <c r="C118" s="206">
        <f>'Price Out Rates'!M34</f>
        <v>133.93</v>
      </c>
      <c r="D118" s="206">
        <f>'Price Out Rates'!L34</f>
        <v>4.3829491699196614</v>
      </c>
      <c r="E118" s="206">
        <f t="shared" si="9"/>
        <v>138.31294916991968</v>
      </c>
      <c r="F118" s="217"/>
      <c r="G118" s="207"/>
      <c r="H118" s="218"/>
      <c r="I118" s="218"/>
      <c r="J118" s="207"/>
      <c r="K118" s="223"/>
      <c r="L118" s="207"/>
    </row>
    <row r="119" spans="1:23">
      <c r="A119" s="219" t="str">
        <f>'Price Out Rates'!C108</f>
        <v>8 yd Temporary</v>
      </c>
      <c r="B119" s="219" t="s">
        <v>202</v>
      </c>
      <c r="C119" s="220">
        <f>'Price Out Rates'!M108</f>
        <v>162.40399846083494</v>
      </c>
      <c r="D119" s="220">
        <f>'Price Out Rates'!L108</f>
        <v>5.1134406982396046</v>
      </c>
      <c r="E119" s="220">
        <f t="shared" ref="E119:E120" si="10">C119+D119</f>
        <v>167.51743915907454</v>
      </c>
      <c r="F119" s="217"/>
      <c r="G119" s="207"/>
      <c r="H119" s="218"/>
      <c r="I119" s="218"/>
      <c r="J119" s="207"/>
      <c r="K119" s="223"/>
      <c r="L119" s="207"/>
    </row>
    <row r="120" spans="1:23">
      <c r="A120" s="219" t="s">
        <v>257</v>
      </c>
      <c r="B120" s="219" t="s">
        <v>258</v>
      </c>
      <c r="C120" s="280">
        <v>22.05</v>
      </c>
      <c r="D120" s="220">
        <f>C120*References!B50</f>
        <v>2.0054884338813315</v>
      </c>
      <c r="E120" s="220">
        <f t="shared" si="10"/>
        <v>24.055488433881333</v>
      </c>
      <c r="F120" s="281" t="s">
        <v>261</v>
      </c>
      <c r="G120" s="207"/>
      <c r="H120" s="218"/>
      <c r="I120" s="218"/>
      <c r="J120" s="207"/>
      <c r="K120" s="223"/>
      <c r="L120" s="207"/>
    </row>
    <row r="121" spans="1:23">
      <c r="A121" s="207"/>
      <c r="B121" s="207"/>
      <c r="C121" s="206"/>
      <c r="D121" s="206"/>
      <c r="E121" s="206"/>
      <c r="F121" s="217"/>
      <c r="G121" s="207"/>
      <c r="H121" s="218"/>
      <c r="I121" s="218"/>
      <c r="J121" s="207"/>
      <c r="K121" s="223"/>
      <c r="L121" s="207"/>
    </row>
    <row r="122" spans="1:23">
      <c r="A122" s="203" t="s">
        <v>124</v>
      </c>
      <c r="B122" s="207"/>
      <c r="C122" s="206"/>
      <c r="D122" s="206"/>
      <c r="E122" s="217"/>
      <c r="F122" s="217"/>
      <c r="G122" s="207"/>
      <c r="H122" s="207"/>
      <c r="I122" s="218"/>
      <c r="J122" s="207"/>
      <c r="K122" s="207"/>
      <c r="L122" s="207"/>
    </row>
    <row r="123" spans="1:23">
      <c r="A123" s="207" t="s">
        <v>121</v>
      </c>
      <c r="B123" s="207" t="s">
        <v>202</v>
      </c>
      <c r="C123" s="217">
        <f>'Price Out Rates'!M35</f>
        <v>4.84</v>
      </c>
      <c r="D123" s="217">
        <f>'Price Out Rates'!L35</f>
        <v>0.15131610229484546</v>
      </c>
      <c r="E123" s="217">
        <f t="shared" ref="E123:E124" si="11">C123+D123</f>
        <v>4.9913161022948449</v>
      </c>
      <c r="F123" s="206"/>
      <c r="G123" s="207"/>
      <c r="H123" s="218"/>
      <c r="I123" s="218"/>
      <c r="J123" s="207"/>
      <c r="K123" s="207"/>
      <c r="L123" s="207"/>
    </row>
    <row r="124" spans="1:23">
      <c r="A124" s="219" t="s">
        <v>122</v>
      </c>
      <c r="B124" s="219" t="s">
        <v>202</v>
      </c>
      <c r="C124" s="220">
        <f>'Price Out Rates'!M109</f>
        <v>9.6300000000000008</v>
      </c>
      <c r="D124" s="220">
        <f>'Price Out Rates'!L109</f>
        <v>0.15131610229484546</v>
      </c>
      <c r="E124" s="220">
        <f t="shared" si="11"/>
        <v>9.7813161022948467</v>
      </c>
      <c r="F124" s="217"/>
      <c r="G124" s="207"/>
      <c r="H124" s="207"/>
      <c r="I124" s="207"/>
      <c r="J124" s="207"/>
      <c r="K124" s="207"/>
      <c r="L124" s="207"/>
    </row>
    <row r="125" spans="1:23">
      <c r="A125" s="207"/>
      <c r="B125" s="207"/>
      <c r="C125" s="217"/>
      <c r="D125" s="206"/>
      <c r="E125" s="217"/>
      <c r="F125" s="217"/>
      <c r="G125" s="207"/>
      <c r="H125" s="207"/>
      <c r="I125" s="207"/>
      <c r="J125" s="207"/>
      <c r="K125" s="207"/>
      <c r="L125" s="207"/>
    </row>
    <row r="126" spans="1:23">
      <c r="A126" s="207"/>
      <c r="B126" s="207"/>
      <c r="C126" s="217"/>
      <c r="D126" s="206"/>
      <c r="E126" s="217"/>
      <c r="F126" s="217"/>
      <c r="G126" s="207"/>
      <c r="H126" s="207"/>
      <c r="I126" s="207"/>
      <c r="J126" s="207"/>
      <c r="K126" s="207"/>
      <c r="L126" s="207"/>
    </row>
    <row r="127" spans="1:23">
      <c r="A127" s="203" t="s">
        <v>126</v>
      </c>
      <c r="B127" s="207"/>
      <c r="C127" s="206"/>
      <c r="D127" s="206"/>
      <c r="E127" s="217"/>
      <c r="F127" s="217"/>
      <c r="G127" s="207"/>
      <c r="H127" s="207"/>
      <c r="I127" s="218"/>
      <c r="J127" s="207"/>
      <c r="K127" s="207"/>
      <c r="L127" s="207"/>
    </row>
    <row r="128" spans="1:23">
      <c r="A128" s="219" t="str">
        <f>'Price Out Rates'!C110</f>
        <v>3 yd First Pickup/Additional</v>
      </c>
      <c r="B128" s="219" t="s">
        <v>202</v>
      </c>
      <c r="C128" s="220">
        <f>'Price Out Rates'!M110</f>
        <v>224.98</v>
      </c>
      <c r="D128" s="220">
        <f>'Price Out Rates'!L110</f>
        <v>6.7883534167446173</v>
      </c>
      <c r="E128" s="220">
        <f t="shared" ref="E128:E134" si="12">C128+D128</f>
        <v>231.76835341674462</v>
      </c>
      <c r="F128" s="206"/>
      <c r="G128" s="207"/>
      <c r="H128" s="218"/>
      <c r="I128" s="218"/>
      <c r="J128" s="207"/>
      <c r="K128" s="223"/>
      <c r="L128" s="207"/>
    </row>
    <row r="129" spans="1:12">
      <c r="A129" s="219" t="str">
        <f>'Price Out Rates'!C111</f>
        <v>4 yd First Pickup/Additional</v>
      </c>
      <c r="B129" s="219" t="s">
        <v>202</v>
      </c>
      <c r="C129" s="220">
        <f>'Price Out Rates'!M111</f>
        <v>378.34</v>
      </c>
      <c r="D129" s="220">
        <f>'Price Out Rates'!L111</f>
        <v>8.7972051196244632</v>
      </c>
      <c r="E129" s="220">
        <f t="shared" si="12"/>
        <v>387.13720511962441</v>
      </c>
      <c r="F129" s="206"/>
      <c r="G129" s="207"/>
      <c r="H129" s="218"/>
      <c r="I129" s="218"/>
      <c r="J129" s="207"/>
      <c r="K129" s="223"/>
      <c r="L129" s="207"/>
    </row>
    <row r="130" spans="1:12">
      <c r="A130" s="207" t="str">
        <f>'Price Out Rates'!C36</f>
        <v>6 yd First Pickup/Additional</v>
      </c>
      <c r="B130" s="207" t="s">
        <v>202</v>
      </c>
      <c r="C130" s="217">
        <f>'Price Out Rates'!M36</f>
        <v>378.34</v>
      </c>
      <c r="D130" s="217">
        <f>'Price Out Rates'!L36</f>
        <v>12.05311021727907</v>
      </c>
      <c r="E130" s="217">
        <f t="shared" si="12"/>
        <v>390.39311021727906</v>
      </c>
      <c r="F130" s="206"/>
      <c r="G130" s="207"/>
      <c r="H130" s="218"/>
      <c r="I130" s="218"/>
      <c r="J130" s="207"/>
      <c r="K130" s="223"/>
      <c r="L130" s="207"/>
    </row>
    <row r="131" spans="1:12">
      <c r="A131" s="207"/>
      <c r="B131" s="207"/>
      <c r="C131" s="217"/>
      <c r="D131" s="217"/>
      <c r="E131" s="217"/>
      <c r="F131" s="217"/>
      <c r="G131" s="207"/>
      <c r="H131" s="218"/>
      <c r="I131" s="218"/>
      <c r="J131" s="207"/>
      <c r="K131" s="223"/>
      <c r="L131" s="207"/>
    </row>
    <row r="132" spans="1:12">
      <c r="A132" s="219" t="str">
        <f>'Price Out Rates'!C112</f>
        <v>3 yd Special Pickup</v>
      </c>
      <c r="B132" s="219" t="s">
        <v>202</v>
      </c>
      <c r="C132" s="220">
        <f>'Price Out Rates'!M112</f>
        <v>228.35</v>
      </c>
      <c r="D132" s="220">
        <f>'Price Out Rates'!L112</f>
        <v>6.7883534167446173</v>
      </c>
      <c r="E132" s="220">
        <f t="shared" si="12"/>
        <v>235.13835341674462</v>
      </c>
      <c r="F132" s="206"/>
      <c r="G132" s="207"/>
      <c r="H132" s="218"/>
      <c r="I132" s="218"/>
      <c r="J132" s="207"/>
      <c r="K132" s="223"/>
      <c r="L132" s="207"/>
    </row>
    <row r="133" spans="1:12">
      <c r="A133" s="219" t="str">
        <f>'Price Out Rates'!C113</f>
        <v>4 yd Special Pickup</v>
      </c>
      <c r="B133" s="219" t="s">
        <v>202</v>
      </c>
      <c r="C133" s="220">
        <f>'Price Out Rates'!M113</f>
        <v>381.39</v>
      </c>
      <c r="D133" s="220">
        <f>'Price Out Rates'!L113</f>
        <v>8.7972051196244632</v>
      </c>
      <c r="E133" s="220">
        <f t="shared" si="12"/>
        <v>390.18720511962442</v>
      </c>
      <c r="F133" s="206"/>
      <c r="G133" s="207"/>
      <c r="H133" s="218"/>
      <c r="I133" s="218"/>
      <c r="J133" s="207"/>
      <c r="K133" s="223"/>
      <c r="L133" s="207"/>
    </row>
    <row r="134" spans="1:12">
      <c r="A134" s="219" t="str">
        <f>'Price Out Rates'!C114</f>
        <v>6 yd Special Pickup</v>
      </c>
      <c r="B134" s="219" t="s">
        <v>202</v>
      </c>
      <c r="C134" s="220">
        <f>'Price Out Rates'!M114</f>
        <v>490.89</v>
      </c>
      <c r="D134" s="220">
        <f>'Price Out Rates'!L114</f>
        <v>12.05311021727907</v>
      </c>
      <c r="E134" s="220">
        <f t="shared" si="12"/>
        <v>502.94311021727907</v>
      </c>
      <c r="F134" s="206"/>
      <c r="G134" s="207"/>
      <c r="H134" s="218"/>
      <c r="I134" s="218"/>
      <c r="J134" s="207"/>
      <c r="K134" s="223"/>
      <c r="L134" s="207"/>
    </row>
    <row r="135" spans="1:12">
      <c r="A135" s="207"/>
      <c r="B135" s="207"/>
      <c r="C135" s="206"/>
      <c r="D135" s="206"/>
      <c r="E135" s="217"/>
      <c r="F135" s="217"/>
      <c r="G135" s="207"/>
      <c r="H135" s="207"/>
      <c r="I135" s="207"/>
      <c r="J135" s="207"/>
      <c r="K135" s="207"/>
      <c r="L135" s="207"/>
    </row>
    <row r="136" spans="1:12">
      <c r="A136" s="207"/>
      <c r="B136" s="207" t="s">
        <v>229</v>
      </c>
      <c r="C136" s="206">
        <f>SUM(C7:C134)-C90-SUM('Price Out Rates'!M:M)</f>
        <v>22.05000000000291</v>
      </c>
      <c r="D136" s="206">
        <f>SUM(D7:D134)-D90-SUM('Price Out Rates'!L:L)</f>
        <v>2.0054884338812258</v>
      </c>
      <c r="E136" s="206">
        <f>SUM(E7:E134)-E90-SUM('Price Out Rates'!N:N)</f>
        <v>24.055488433887149</v>
      </c>
      <c r="F136" s="217"/>
      <c r="G136" s="207"/>
      <c r="H136" s="207"/>
      <c r="I136" s="207"/>
      <c r="J136" s="207"/>
      <c r="K136" s="207"/>
      <c r="L136" s="207"/>
    </row>
    <row r="137" spans="1:12">
      <c r="A137" s="207"/>
      <c r="B137" s="207"/>
      <c r="C137" s="206"/>
      <c r="D137" s="206"/>
      <c r="E137" s="217"/>
      <c r="F137" s="217"/>
      <c r="G137" s="207"/>
      <c r="H137" s="207"/>
      <c r="I137" s="207"/>
      <c r="J137" s="207"/>
      <c r="K137" s="207"/>
      <c r="L137" s="207"/>
    </row>
    <row r="138" spans="1:12">
      <c r="A138" s="203"/>
      <c r="B138" s="207"/>
      <c r="C138" s="206"/>
      <c r="D138" s="206"/>
      <c r="E138" s="217"/>
      <c r="F138" s="217"/>
      <c r="G138" s="207"/>
      <c r="H138" s="207"/>
      <c r="I138" s="207"/>
      <c r="J138" s="207"/>
      <c r="K138" s="207"/>
      <c r="L138" s="207"/>
    </row>
    <row r="139" spans="1:12">
      <c r="A139" s="203"/>
      <c r="B139" s="207"/>
      <c r="C139" s="206"/>
      <c r="D139" s="206"/>
      <c r="E139" s="217"/>
      <c r="F139" s="217"/>
      <c r="G139" s="207"/>
      <c r="H139" s="207"/>
      <c r="I139" s="207"/>
      <c r="J139" s="207"/>
      <c r="K139" s="207"/>
      <c r="L139" s="207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33"/>
  <sheetViews>
    <sheetView zoomScale="80" zoomScaleNormal="80" workbookViewId="0">
      <pane xSplit="4" ySplit="1" topLeftCell="K2" activePane="bottomRight" state="frozen"/>
      <selection pane="topRight" activeCell="E1" sqref="E1"/>
      <selection pane="bottomLeft" activeCell="A2" sqref="A2"/>
      <selection pane="bottomRight" activeCell="T52" sqref="T52"/>
    </sheetView>
  </sheetViews>
  <sheetFormatPr defaultColWidth="8.81640625" defaultRowHeight="14.5"/>
  <cols>
    <col min="1" max="1" width="5.453125" bestFit="1" customWidth="1"/>
    <col min="2" max="2" width="33.1796875" style="44" customWidth="1"/>
    <col min="3" max="3" width="44" customWidth="1"/>
    <col min="4" max="4" width="23.7265625" style="42" customWidth="1"/>
    <col min="5" max="5" width="13.7265625" customWidth="1"/>
    <col min="6" max="6" width="16" customWidth="1"/>
    <col min="7" max="7" width="19.26953125" style="79" customWidth="1"/>
    <col min="8" max="8" width="25.7265625" customWidth="1"/>
    <col min="9" max="9" width="21.7265625" style="41" customWidth="1"/>
    <col min="10" max="10" width="12.453125" customWidth="1"/>
    <col min="11" max="11" width="12.1796875" customWidth="1"/>
    <col min="12" max="12" width="13.7265625" customWidth="1"/>
    <col min="13" max="13" width="21.7265625" customWidth="1"/>
    <col min="14" max="14" width="26.26953125" customWidth="1"/>
    <col min="15" max="15" width="32.7265625" customWidth="1"/>
    <col min="16" max="16" width="31.26953125" bestFit="1" customWidth="1"/>
    <col min="17" max="17" width="29" bestFit="1" customWidth="1"/>
    <col min="18" max="18" width="18.1796875" bestFit="1" customWidth="1"/>
    <col min="19" max="20" width="21.54296875" bestFit="1" customWidth="1"/>
    <col min="21" max="21" width="4" customWidth="1"/>
  </cols>
  <sheetData>
    <row r="1" spans="1:23" ht="43.5">
      <c r="A1" s="19"/>
      <c r="B1" s="72" t="s">
        <v>15</v>
      </c>
      <c r="C1" s="58" t="s">
        <v>17</v>
      </c>
      <c r="D1" s="57" t="s">
        <v>40</v>
      </c>
      <c r="E1" s="72" t="s">
        <v>0</v>
      </c>
      <c r="F1" s="119" t="s">
        <v>1</v>
      </c>
      <c r="G1" s="75" t="s">
        <v>10</v>
      </c>
      <c r="H1" s="72" t="s">
        <v>34</v>
      </c>
      <c r="I1" s="73" t="s">
        <v>35</v>
      </c>
      <c r="J1" s="69" t="s">
        <v>9</v>
      </c>
      <c r="K1" s="57" t="s">
        <v>2</v>
      </c>
      <c r="L1" s="72" t="s">
        <v>42</v>
      </c>
      <c r="M1" s="57" t="s">
        <v>38</v>
      </c>
      <c r="N1" s="72" t="s">
        <v>36</v>
      </c>
      <c r="O1" s="72" t="s">
        <v>39</v>
      </c>
      <c r="P1" s="57" t="s">
        <v>37</v>
      </c>
      <c r="Q1" s="72" t="s">
        <v>41</v>
      </c>
      <c r="R1" s="72" t="s">
        <v>43</v>
      </c>
      <c r="S1" s="72" t="s">
        <v>45</v>
      </c>
      <c r="T1" s="72" t="s">
        <v>44</v>
      </c>
      <c r="U1" s="274"/>
      <c r="V1" s="272" t="s">
        <v>249</v>
      </c>
      <c r="W1" s="272" t="s">
        <v>250</v>
      </c>
    </row>
    <row r="2" spans="1:23" ht="14.5" customHeight="1">
      <c r="A2" s="278" t="s">
        <v>13</v>
      </c>
      <c r="B2" s="93" t="s">
        <v>115</v>
      </c>
      <c r="C2" s="82" t="s">
        <v>186</v>
      </c>
      <c r="D2" s="266">
        <f>683+D66</f>
        <v>1086</v>
      </c>
      <c r="E2" s="51">
        <f>References!$B$7</f>
        <v>4.333333333333333</v>
      </c>
      <c r="F2" s="86">
        <f>D2*E2*12</f>
        <v>56472</v>
      </c>
      <c r="G2" s="228">
        <f>References!$B$13</f>
        <v>20</v>
      </c>
      <c r="H2" s="50">
        <f>G2*F2</f>
        <v>1129440</v>
      </c>
      <c r="I2" s="33">
        <f t="shared" ref="I2:I10" si="0">$D$125*H2</f>
        <v>688047.93293995934</v>
      </c>
      <c r="J2" s="53">
        <f>(References!$C$49*I2)</f>
        <v>5748.2157963766676</v>
      </c>
      <c r="K2" s="53">
        <f>J2/References!$G$52</f>
        <v>5893.1882267548363</v>
      </c>
      <c r="L2" s="49">
        <f>IFERROR(K2/F2*E2,0)</f>
        <v>0.45220904134091744</v>
      </c>
      <c r="M2" s="239">
        <v>11.47</v>
      </c>
      <c r="N2" s="49">
        <f>L2+M2</f>
        <v>11.922209041340919</v>
      </c>
      <c r="O2" s="49">
        <f t="shared" ref="O2:O10" si="1">M2*D2*12</f>
        <v>149477.04</v>
      </c>
      <c r="P2" s="49">
        <f t="shared" ref="P2:P10" si="2">N2*D2*12</f>
        <v>155370.22822675484</v>
      </c>
      <c r="Q2" s="49">
        <f>O2-P2</f>
        <v>-5893.1882267548353</v>
      </c>
      <c r="R2" s="52">
        <f t="shared" ref="R2:R10" si="3">N2</f>
        <v>11.922209041340919</v>
      </c>
      <c r="S2" s="52">
        <f t="shared" ref="S2:S10" si="4">R2*D2*12</f>
        <v>155370.22822675484</v>
      </c>
      <c r="T2" s="52">
        <f t="shared" ref="T2:T10" si="5">S2-O2</f>
        <v>5893.1882267548353</v>
      </c>
      <c r="U2" s="49"/>
      <c r="V2" s="270">
        <f>L2/M2</f>
        <v>3.942537413608696E-2</v>
      </c>
      <c r="W2" s="15">
        <f t="shared" ref="W2:W10" si="6">N2-M2-L2</f>
        <v>6.6613381477509392E-16</v>
      </c>
    </row>
    <row r="3" spans="1:23">
      <c r="A3" s="45"/>
      <c r="B3" s="94" t="s">
        <v>115</v>
      </c>
      <c r="C3" s="83" t="s">
        <v>98</v>
      </c>
      <c r="D3" s="266">
        <f>2203.66666666667+D67</f>
        <v>3505.2500000000036</v>
      </c>
      <c r="E3" s="23">
        <f>References!$B$7</f>
        <v>4.333333333333333</v>
      </c>
      <c r="F3" s="86">
        <f>D3*E3*12</f>
        <v>182273.00000000017</v>
      </c>
      <c r="G3" s="228">
        <f>References!B14</f>
        <v>34</v>
      </c>
      <c r="H3" s="50">
        <f t="shared" ref="H3:H10" si="7">G3*F3</f>
        <v>6197282.0000000056</v>
      </c>
      <c r="I3" s="33">
        <f t="shared" si="0"/>
        <v>3775346.2511917599</v>
      </c>
      <c r="J3" s="49">
        <f>(References!$C$49*I3)</f>
        <v>31540.687674423451</v>
      </c>
      <c r="K3" s="49">
        <f>J3/References!$G$52</f>
        <v>32336.15714006915</v>
      </c>
      <c r="L3" s="49">
        <f t="shared" ref="L3:L10" si="8">IFERROR(K3/F3*E3,0)</f>
        <v>0.76875537027955965</v>
      </c>
      <c r="M3" s="239">
        <v>18.54</v>
      </c>
      <c r="N3" s="49">
        <f t="shared" ref="N3:N9" si="9">L3+M3</f>
        <v>19.30875537027956</v>
      </c>
      <c r="O3" s="49">
        <f t="shared" si="1"/>
        <v>779848.02000000072</v>
      </c>
      <c r="P3" s="49">
        <f t="shared" si="2"/>
        <v>812184.17714007001</v>
      </c>
      <c r="Q3" s="49">
        <f t="shared" ref="Q3:Q10" si="10">O3-P3</f>
        <v>-32336.157140069292</v>
      </c>
      <c r="R3" s="52">
        <f t="shared" si="3"/>
        <v>19.30875537027956</v>
      </c>
      <c r="S3" s="52">
        <f t="shared" si="4"/>
        <v>812184.17714007001</v>
      </c>
      <c r="T3" s="52">
        <f t="shared" si="5"/>
        <v>32336.157140069292</v>
      </c>
      <c r="U3" s="49"/>
      <c r="V3" s="270">
        <f t="shared" ref="V3:V10" si="11">L3/M3</f>
        <v>4.146469095359006E-2</v>
      </c>
      <c r="W3" s="15">
        <f t="shared" si="6"/>
        <v>0</v>
      </c>
    </row>
    <row r="4" spans="1:23">
      <c r="A4" s="45"/>
      <c r="B4" s="94" t="s">
        <v>115</v>
      </c>
      <c r="C4" s="83" t="s">
        <v>99</v>
      </c>
      <c r="D4" s="266">
        <f>20.5833333333333+D68</f>
        <v>95.249999999999972</v>
      </c>
      <c r="E4" s="23">
        <f>References!$B$7</f>
        <v>4.333333333333333</v>
      </c>
      <c r="F4" s="86">
        <f t="shared" ref="F4:F10" si="12">D4*E4*12</f>
        <v>4952.9999999999982</v>
      </c>
      <c r="G4" s="228">
        <f>References!B15</f>
        <v>51</v>
      </c>
      <c r="H4" s="50">
        <f>G4*F4</f>
        <v>252602.99999999991</v>
      </c>
      <c r="I4" s="33">
        <f t="shared" si="0"/>
        <v>153884.20102389902</v>
      </c>
      <c r="J4" s="49">
        <f>(References!$C$49*I4)</f>
        <v>1285.6075177186349</v>
      </c>
      <c r="K4" s="49">
        <f>J4/References!$G$52</f>
        <v>1318.0310823443047</v>
      </c>
      <c r="L4" s="49">
        <f t="shared" si="8"/>
        <v>1.1531330554193395</v>
      </c>
      <c r="M4" s="239">
        <v>31.04</v>
      </c>
      <c r="N4" s="49">
        <f>L4+M4</f>
        <v>32.193133055419338</v>
      </c>
      <c r="O4" s="49">
        <f t="shared" si="1"/>
        <v>35478.719999999987</v>
      </c>
      <c r="P4" s="49">
        <f t="shared" si="2"/>
        <v>36796.751082344294</v>
      </c>
      <c r="Q4" s="49">
        <f t="shared" si="10"/>
        <v>-1318.0310823443069</v>
      </c>
      <c r="R4" s="52">
        <f t="shared" si="3"/>
        <v>32.193133055419338</v>
      </c>
      <c r="S4" s="52">
        <f t="shared" si="4"/>
        <v>36796.751082344294</v>
      </c>
      <c r="T4" s="52">
        <f t="shared" si="5"/>
        <v>1318.0310823443069</v>
      </c>
      <c r="U4" s="49"/>
      <c r="V4" s="270">
        <f t="shared" si="11"/>
        <v>3.7149905135932332E-2</v>
      </c>
      <c r="W4" s="15">
        <f t="shared" si="6"/>
        <v>0</v>
      </c>
    </row>
    <row r="5" spans="1:23">
      <c r="A5" s="45"/>
      <c r="B5" s="94" t="s">
        <v>115</v>
      </c>
      <c r="C5" s="83" t="s">
        <v>100</v>
      </c>
      <c r="D5" s="266">
        <f>2+D69</f>
        <v>3</v>
      </c>
      <c r="E5" s="23">
        <f>References!$B$7</f>
        <v>4.333333333333333</v>
      </c>
      <c r="F5" s="86">
        <f t="shared" si="12"/>
        <v>156</v>
      </c>
      <c r="G5" s="228">
        <f>References!B16</f>
        <v>77</v>
      </c>
      <c r="H5" s="50">
        <f t="shared" si="7"/>
        <v>12012</v>
      </c>
      <c r="I5" s="33">
        <f t="shared" si="0"/>
        <v>7317.6368558531594</v>
      </c>
      <c r="J5" s="49">
        <f>(References!$C$49*I5)</f>
        <v>61.134339270856827</v>
      </c>
      <c r="K5" s="49">
        <f>J5/References!$G$52</f>
        <v>62.676173129851165</v>
      </c>
      <c r="L5" s="49">
        <f t="shared" si="8"/>
        <v>1.7410048091625323</v>
      </c>
      <c r="M5" s="239">
        <v>45.58</v>
      </c>
      <c r="N5" s="49">
        <f t="shared" si="9"/>
        <v>47.321004809162531</v>
      </c>
      <c r="O5" s="49">
        <f t="shared" si="1"/>
        <v>1640.88</v>
      </c>
      <c r="P5" s="49">
        <f t="shared" si="2"/>
        <v>1703.5561731298512</v>
      </c>
      <c r="Q5" s="49">
        <f t="shared" si="10"/>
        <v>-62.676173129851122</v>
      </c>
      <c r="R5" s="52">
        <f t="shared" si="3"/>
        <v>47.321004809162531</v>
      </c>
      <c r="S5" s="52">
        <f t="shared" si="4"/>
        <v>1703.5561731298512</v>
      </c>
      <c r="T5" s="52">
        <f t="shared" si="5"/>
        <v>62.676173129851122</v>
      </c>
      <c r="U5" s="49"/>
      <c r="V5" s="270">
        <f t="shared" si="11"/>
        <v>3.8196682956615456E-2</v>
      </c>
      <c r="W5" s="15">
        <f t="shared" si="6"/>
        <v>0</v>
      </c>
    </row>
    <row r="6" spans="1:23">
      <c r="A6" s="45"/>
      <c r="B6" s="94" t="s">
        <v>115</v>
      </c>
      <c r="C6" s="83" t="s">
        <v>101</v>
      </c>
      <c r="D6" s="266">
        <f>0+D70</f>
        <v>2</v>
      </c>
      <c r="E6" s="23">
        <f>References!$B$7</f>
        <v>4.333333333333333</v>
      </c>
      <c r="F6" s="86">
        <f t="shared" ref="F6" si="13">D6*E6*12</f>
        <v>104</v>
      </c>
      <c r="G6" s="228">
        <f>References!B17</f>
        <v>97</v>
      </c>
      <c r="H6" s="50">
        <f t="shared" ref="H6" si="14">G6*F6</f>
        <v>10088</v>
      </c>
      <c r="I6" s="33">
        <f t="shared" si="0"/>
        <v>6145.5478356515705</v>
      </c>
      <c r="J6" s="49">
        <f>(References!$C$49*I6)</f>
        <v>51.342258954745553</v>
      </c>
      <c r="K6" s="49">
        <f>J6/References!$G$52</f>
        <v>52.637132412082785</v>
      </c>
      <c r="L6" s="49">
        <f>IFERROR(K6/F6*E6,0)</f>
        <v>2.1932138505034491</v>
      </c>
      <c r="M6" s="240">
        <v>60.72</v>
      </c>
      <c r="N6" s="49">
        <f t="shared" ref="N6" si="15">L6+M6</f>
        <v>62.913213850503446</v>
      </c>
      <c r="O6" s="49">
        <f t="shared" ref="O6" si="16">M6*D6*12</f>
        <v>1457.28</v>
      </c>
      <c r="P6" s="49">
        <f t="shared" ref="P6" si="17">N6*D6*12</f>
        <v>1509.9171324120828</v>
      </c>
      <c r="Q6" s="49">
        <f t="shared" ref="Q6" si="18">O6-P6</f>
        <v>-52.637132412082792</v>
      </c>
      <c r="R6" s="52">
        <f t="shared" ref="R6" si="19">N6</f>
        <v>62.913213850503446</v>
      </c>
      <c r="S6" s="52">
        <f t="shared" ref="S6" si="20">R6*D6*12</f>
        <v>1509.9171324120828</v>
      </c>
      <c r="T6" s="52">
        <f t="shared" ref="T6" si="21">S6-O6</f>
        <v>52.637132412082792</v>
      </c>
      <c r="U6" s="49"/>
      <c r="V6" s="270">
        <f>L6/M6</f>
        <v>3.6120122702625976E-2</v>
      </c>
      <c r="W6" s="15">
        <f>N6-M6-L6</f>
        <v>0</v>
      </c>
    </row>
    <row r="7" spans="1:23">
      <c r="A7" s="45"/>
      <c r="B7" s="94" t="s">
        <v>115</v>
      </c>
      <c r="C7" s="83" t="s">
        <v>96</v>
      </c>
      <c r="D7" s="266">
        <f>15+D71</f>
        <v>44.166666666666671</v>
      </c>
      <c r="E7" s="23">
        <f>References!B9</f>
        <v>1</v>
      </c>
      <c r="F7" s="86">
        <f t="shared" si="12"/>
        <v>530</v>
      </c>
      <c r="G7" s="228">
        <f>References!$B$14</f>
        <v>34</v>
      </c>
      <c r="H7" s="50">
        <f t="shared" si="7"/>
        <v>18020</v>
      </c>
      <c r="I7" s="33">
        <f t="shared" si="0"/>
        <v>10977.673671534627</v>
      </c>
      <c r="J7" s="49">
        <f>(References!$C$49*I7)</f>
        <v>91.711687783952712</v>
      </c>
      <c r="K7" s="49">
        <f>J7/References!$G$52</f>
        <v>94.024695288038458</v>
      </c>
      <c r="L7" s="49">
        <f t="shared" si="8"/>
        <v>0.17740508544912917</v>
      </c>
      <c r="M7" s="239">
        <v>6.33</v>
      </c>
      <c r="N7" s="49">
        <f t="shared" si="9"/>
        <v>6.507405085449129</v>
      </c>
      <c r="O7" s="49">
        <f t="shared" si="1"/>
        <v>3354.9000000000005</v>
      </c>
      <c r="P7" s="49">
        <f t="shared" si="2"/>
        <v>3448.9246952880389</v>
      </c>
      <c r="Q7" s="49">
        <f t="shared" si="10"/>
        <v>-94.024695288038401</v>
      </c>
      <c r="R7" s="52">
        <f t="shared" si="3"/>
        <v>6.507405085449129</v>
      </c>
      <c r="S7" s="52">
        <f t="shared" si="4"/>
        <v>3448.9246952880389</v>
      </c>
      <c r="T7" s="52">
        <f t="shared" si="5"/>
        <v>94.024695288038401</v>
      </c>
      <c r="U7" s="49"/>
      <c r="V7" s="270">
        <f t="shared" si="11"/>
        <v>2.8026079849783437E-2</v>
      </c>
      <c r="W7" s="15">
        <f t="shared" si="6"/>
        <v>-2.4980018054066022E-16</v>
      </c>
    </row>
    <row r="8" spans="1:23">
      <c r="A8" s="45"/>
      <c r="B8" s="94" t="s">
        <v>115</v>
      </c>
      <c r="C8" s="83" t="s">
        <v>102</v>
      </c>
      <c r="D8" s="266">
        <f>996.5+D72</f>
        <v>1479.1666666666667</v>
      </c>
      <c r="E8" s="23">
        <f>References!$B$7</f>
        <v>4.333333333333333</v>
      </c>
      <c r="F8" s="86">
        <f t="shared" si="12"/>
        <v>76916.666666666657</v>
      </c>
      <c r="G8" s="228">
        <f>References!$B$14</f>
        <v>34</v>
      </c>
      <c r="H8" s="50">
        <f t="shared" si="7"/>
        <v>2615166.6666666665</v>
      </c>
      <c r="I8" s="33">
        <f t="shared" si="0"/>
        <v>1593143.5218280596</v>
      </c>
      <c r="J8" s="49">
        <f>(References!$C$49*I8)</f>
        <v>13309.730790029615</v>
      </c>
      <c r="K8" s="49">
        <f>J8/References!$G$52</f>
        <v>13645.407822462184</v>
      </c>
      <c r="L8" s="49">
        <f t="shared" si="8"/>
        <v>0.76875537027955965</v>
      </c>
      <c r="M8" s="239">
        <v>18.54</v>
      </c>
      <c r="N8" s="49">
        <f t="shared" si="9"/>
        <v>19.30875537027956</v>
      </c>
      <c r="O8" s="49">
        <f t="shared" si="1"/>
        <v>329085</v>
      </c>
      <c r="P8" s="49">
        <f t="shared" si="2"/>
        <v>342730.40782246221</v>
      </c>
      <c r="Q8" s="49">
        <f t="shared" si="10"/>
        <v>-13645.407822462206</v>
      </c>
      <c r="R8" s="52">
        <f t="shared" si="3"/>
        <v>19.30875537027956</v>
      </c>
      <c r="S8" s="52">
        <f t="shared" si="4"/>
        <v>342730.40782246221</v>
      </c>
      <c r="T8" s="52">
        <f t="shared" si="5"/>
        <v>13645.407822462206</v>
      </c>
      <c r="U8" s="49"/>
      <c r="V8" s="270">
        <f t="shared" si="11"/>
        <v>4.146469095359006E-2</v>
      </c>
      <c r="W8" s="15">
        <f t="shared" si="6"/>
        <v>0</v>
      </c>
    </row>
    <row r="9" spans="1:23">
      <c r="A9" s="45"/>
      <c r="B9" s="94" t="s">
        <v>115</v>
      </c>
      <c r="C9" s="83" t="s">
        <v>129</v>
      </c>
      <c r="D9" s="266">
        <f>2855.08333333333+D73</f>
        <v>3703.1666666666633</v>
      </c>
      <c r="E9" s="23">
        <f>References!$B$7</f>
        <v>4.333333333333333</v>
      </c>
      <c r="F9" s="86">
        <f t="shared" si="12"/>
        <v>192564.66666666648</v>
      </c>
      <c r="G9" s="228">
        <f>References!B21</f>
        <v>47</v>
      </c>
      <c r="H9" s="50">
        <f t="shared" si="7"/>
        <v>9050539.3333333246</v>
      </c>
      <c r="I9" s="33">
        <f t="shared" si="0"/>
        <v>5513533.1494296221</v>
      </c>
      <c r="J9" s="49">
        <f>(References!$C$49*I9)</f>
        <v>46062.166349336818</v>
      </c>
      <c r="K9" s="49">
        <f>J9/References!$G$52</f>
        <v>47223.873640903032</v>
      </c>
      <c r="L9" s="49">
        <f t="shared" si="8"/>
        <v>1.062691247151156</v>
      </c>
      <c r="M9" s="239">
        <v>30.85</v>
      </c>
      <c r="N9" s="49">
        <f t="shared" si="9"/>
        <v>31.912691247151159</v>
      </c>
      <c r="O9" s="49">
        <f t="shared" si="1"/>
        <v>1370912.2999999989</v>
      </c>
      <c r="P9" s="49">
        <f t="shared" si="2"/>
        <v>1418136.1736409019</v>
      </c>
      <c r="Q9" s="49">
        <f t="shared" si="10"/>
        <v>-47223.873640903039</v>
      </c>
      <c r="R9" s="52">
        <f t="shared" si="3"/>
        <v>31.912691247151159</v>
      </c>
      <c r="S9" s="52">
        <f t="shared" si="4"/>
        <v>1418136.1736409019</v>
      </c>
      <c r="T9" s="52">
        <f t="shared" si="5"/>
        <v>47223.873640903039</v>
      </c>
      <c r="U9" s="49"/>
      <c r="V9" s="270">
        <f t="shared" si="11"/>
        <v>3.4447042047039092E-2</v>
      </c>
      <c r="W9" s="15">
        <f t="shared" si="6"/>
        <v>0</v>
      </c>
    </row>
    <row r="10" spans="1:23">
      <c r="A10" s="45"/>
      <c r="B10" s="94" t="s">
        <v>115</v>
      </c>
      <c r="C10" s="83" t="s">
        <v>127</v>
      </c>
      <c r="D10" s="266">
        <f>1159.66666666667+D74</f>
        <v>1344.2500000000032</v>
      </c>
      <c r="E10" s="23">
        <f>References!$B$7</f>
        <v>4.333333333333333</v>
      </c>
      <c r="F10" s="86">
        <f t="shared" si="12"/>
        <v>69901.00000000016</v>
      </c>
      <c r="G10" s="228">
        <f>References!B22</f>
        <v>68</v>
      </c>
      <c r="H10" s="50">
        <f t="shared" si="7"/>
        <v>4753268.0000000112</v>
      </c>
      <c r="I10" s="33">
        <f t="shared" si="0"/>
        <v>2895661.7634488442</v>
      </c>
      <c r="J10" s="49">
        <f>(References!$C$49*I10)</f>
        <v>24191.466746362617</v>
      </c>
      <c r="K10" s="49">
        <f>J10/References!$G$52</f>
        <v>24801.585755959211</v>
      </c>
      <c r="L10" s="49">
        <f t="shared" si="8"/>
        <v>1.5375107405591193</v>
      </c>
      <c r="M10" s="239">
        <v>44.65</v>
      </c>
      <c r="N10" s="49">
        <f>L10+M10</f>
        <v>46.187510740559119</v>
      </c>
      <c r="O10" s="49">
        <f t="shared" si="1"/>
        <v>720249.15000000177</v>
      </c>
      <c r="P10" s="49">
        <f t="shared" si="2"/>
        <v>745050.73575596092</v>
      </c>
      <c r="Q10" s="49">
        <f t="shared" si="10"/>
        <v>-24801.585755959153</v>
      </c>
      <c r="R10" s="52">
        <f t="shared" si="3"/>
        <v>46.187510740559119</v>
      </c>
      <c r="S10" s="52">
        <f t="shared" si="4"/>
        <v>745050.73575596092</v>
      </c>
      <c r="T10" s="52">
        <f t="shared" si="5"/>
        <v>24801.585755959153</v>
      </c>
      <c r="U10" s="49"/>
      <c r="V10" s="270">
        <f t="shared" si="11"/>
        <v>3.4434731031559224E-2</v>
      </c>
      <c r="W10" s="15">
        <f t="shared" si="6"/>
        <v>0</v>
      </c>
    </row>
    <row r="11" spans="1:23">
      <c r="A11" s="45"/>
      <c r="B11" s="74"/>
      <c r="C11" s="83"/>
      <c r="D11" s="85"/>
      <c r="E11" s="23"/>
      <c r="F11" s="89"/>
      <c r="G11" s="87"/>
      <c r="H11" s="50"/>
      <c r="I11" s="33"/>
      <c r="J11" s="49"/>
      <c r="K11" s="49"/>
      <c r="L11" s="49"/>
      <c r="M11" s="88"/>
      <c r="N11" s="49"/>
      <c r="O11" s="49"/>
      <c r="P11" s="49"/>
      <c r="Q11" s="49"/>
      <c r="R11" s="52"/>
      <c r="S11" s="52"/>
      <c r="T11" s="52"/>
      <c r="U11" s="49"/>
    </row>
    <row r="12" spans="1:23">
      <c r="A12" s="45"/>
      <c r="B12" s="74"/>
      <c r="C12" s="83"/>
      <c r="D12" s="85"/>
      <c r="E12" s="23"/>
      <c r="F12" s="50"/>
      <c r="G12" s="87"/>
      <c r="H12" s="50"/>
      <c r="I12" s="33"/>
      <c r="J12" s="49"/>
      <c r="K12" s="49"/>
      <c r="L12" s="49"/>
      <c r="M12" s="88"/>
      <c r="N12" s="49"/>
      <c r="O12" s="49"/>
      <c r="P12" s="49"/>
      <c r="Q12" s="49"/>
      <c r="R12" s="52"/>
      <c r="S12" s="52"/>
      <c r="T12" s="52"/>
      <c r="U12" s="49"/>
    </row>
    <row r="13" spans="1:23">
      <c r="A13" s="35"/>
      <c r="B13" s="59"/>
      <c r="C13" s="36" t="s">
        <v>16</v>
      </c>
      <c r="D13" s="37">
        <f>SUM(D2:D12)</f>
        <v>11262.250000000004</v>
      </c>
      <c r="E13" s="38"/>
      <c r="F13" s="37">
        <f>SUM(F2:F12)</f>
        <v>583870.33333333349</v>
      </c>
      <c r="G13" s="76"/>
      <c r="H13" s="37">
        <f>SUM(H2:H12)</f>
        <v>24038419.000000007</v>
      </c>
      <c r="I13" s="37">
        <f>SUM(I2:I12)</f>
        <v>14644057.678225184</v>
      </c>
      <c r="J13" s="55"/>
      <c r="K13" s="55"/>
      <c r="L13" s="55"/>
      <c r="M13" s="55"/>
      <c r="N13" s="55"/>
      <c r="O13" s="37">
        <f>SUM(O2:O12)</f>
        <v>3391503.2900000014</v>
      </c>
      <c r="P13" s="92">
        <f>SUM(P2:P12)</f>
        <v>3516930.8716693241</v>
      </c>
      <c r="Q13" s="92">
        <f>SUM(Q2:Q12)</f>
        <v>-125427.58166932281</v>
      </c>
      <c r="R13" s="92"/>
      <c r="S13" s="92">
        <f>SUM(S2:S12)</f>
        <v>3516930.8716693241</v>
      </c>
      <c r="T13" s="92">
        <f>SUM(T2:T12)</f>
        <v>125427.58166932281</v>
      </c>
      <c r="U13" s="275"/>
    </row>
    <row r="14" spans="1:23">
      <c r="J14" s="40"/>
      <c r="P14" s="43"/>
      <c r="T14" s="22"/>
      <c r="U14" s="271"/>
    </row>
    <row r="15" spans="1:23" ht="29">
      <c r="A15" s="123"/>
      <c r="B15" s="124"/>
      <c r="C15" s="125"/>
      <c r="D15" s="131" t="s">
        <v>185</v>
      </c>
      <c r="E15" s="130" t="s">
        <v>192</v>
      </c>
      <c r="F15" s="119" t="s">
        <v>1</v>
      </c>
      <c r="G15" s="127"/>
      <c r="H15" s="126"/>
      <c r="I15" s="126"/>
      <c r="J15" s="128"/>
      <c r="K15" s="128"/>
      <c r="L15" s="128"/>
      <c r="M15" s="128"/>
      <c r="N15" s="128"/>
      <c r="O15" s="126"/>
      <c r="P15" s="129"/>
      <c r="Q15" s="129"/>
      <c r="R15" s="129"/>
      <c r="S15" s="129"/>
      <c r="T15" s="129"/>
      <c r="U15" s="275"/>
    </row>
    <row r="16" spans="1:23" ht="14.5" customHeight="1">
      <c r="A16" s="278" t="s">
        <v>14</v>
      </c>
      <c r="B16" s="84" t="s">
        <v>106</v>
      </c>
      <c r="C16" s="90" t="s">
        <v>207</v>
      </c>
      <c r="D16" s="267">
        <v>394.33029999999997</v>
      </c>
      <c r="E16" s="23">
        <v>12</v>
      </c>
      <c r="F16" s="86">
        <f>D16*E16</f>
        <v>4731.9635999999991</v>
      </c>
      <c r="G16" s="228">
        <f>References!B26</f>
        <v>29</v>
      </c>
      <c r="H16" s="50">
        <f t="shared" ref="H16:H35" si="22">G16*F16</f>
        <v>137226.94439999998</v>
      </c>
      <c r="I16" s="33">
        <f t="shared" ref="I16:I36" si="23">$D$125*H16</f>
        <v>83597.814348780565</v>
      </c>
      <c r="J16" s="49">
        <f>(References!$C$49*I16)</f>
        <v>698.40813986451917</v>
      </c>
      <c r="K16" s="49">
        <f>J16/References!$G$52</f>
        <v>716.02228815308501</v>
      </c>
      <c r="L16" s="49">
        <f>IFERROR(K16/F16,0)</f>
        <v>0.15131610229484546</v>
      </c>
      <c r="M16" s="239">
        <v>5.4010754840213053</v>
      </c>
      <c r="N16" s="49">
        <f>L16+M16</f>
        <v>5.5523915863161504</v>
      </c>
      <c r="O16" s="49">
        <f t="shared" ref="O16:O34" si="24">M16*F16</f>
        <v>25557.692591241193</v>
      </c>
      <c r="P16" s="49">
        <f t="shared" ref="P16:P34" si="25">N16*F16</f>
        <v>26273.714879394276</v>
      </c>
      <c r="Q16" s="49">
        <f t="shared" ref="Q16:Q34" si="26">O16-P16</f>
        <v>-716.02228815308263</v>
      </c>
      <c r="R16" s="52">
        <f t="shared" ref="R16:R34" si="27">N16</f>
        <v>5.5523915863161504</v>
      </c>
      <c r="S16" s="52">
        <f t="shared" ref="S16:S34" si="28">R16*F16</f>
        <v>26273.714879394276</v>
      </c>
      <c r="T16" s="52">
        <f t="shared" ref="T16:T34" si="29">S16-O16</f>
        <v>716.02228815308263</v>
      </c>
      <c r="U16" s="49"/>
      <c r="V16" s="270">
        <f t="shared" ref="V16:V35" si="30">L16/M16</f>
        <v>2.8015920670337473E-2</v>
      </c>
      <c r="W16" s="15">
        <f t="shared" ref="W16:W35" si="31">N16-M16-L16</f>
        <v>-4.163336342344337E-16</v>
      </c>
    </row>
    <row r="17" spans="1:23">
      <c r="A17" s="45"/>
      <c r="B17" s="84" t="s">
        <v>106</v>
      </c>
      <c r="C17" s="90" t="s">
        <v>225</v>
      </c>
      <c r="D17" s="267">
        <v>30.333100000000002</v>
      </c>
      <c r="E17" s="23">
        <v>12</v>
      </c>
      <c r="F17" s="86">
        <f t="shared" ref="F17:F35" si="32">D17*E17</f>
        <v>363.99720000000002</v>
      </c>
      <c r="G17" s="228">
        <f>References!B21</f>
        <v>47</v>
      </c>
      <c r="H17" s="50">
        <f t="shared" si="22"/>
        <v>17107.868399999999</v>
      </c>
      <c r="I17" s="33">
        <f t="shared" si="23"/>
        <v>10422.008685391742</v>
      </c>
      <c r="J17" s="49">
        <f>(References!$C$49*I17)</f>
        <v>87.069449797433435</v>
      </c>
      <c r="K17" s="49">
        <f>J17/References!$G$52</f>
        <v>89.265378098660477</v>
      </c>
      <c r="L17" s="49">
        <f t="shared" ref="L17:L34" si="33">IFERROR(K17/F17,0)</f>
        <v>0.24523644165026673</v>
      </c>
      <c r="M17" s="239">
        <v>9.1840149930726653</v>
      </c>
      <c r="N17" s="49">
        <f t="shared" ref="N17" si="34">L17+M17</f>
        <v>9.4292514347229321</v>
      </c>
      <c r="O17" s="49">
        <f t="shared" si="24"/>
        <v>3342.9557422364696</v>
      </c>
      <c r="P17" s="49">
        <f t="shared" si="25"/>
        <v>3432.2211203351303</v>
      </c>
      <c r="Q17" s="49">
        <f t="shared" si="26"/>
        <v>-89.265378098660676</v>
      </c>
      <c r="R17" s="52">
        <f t="shared" si="27"/>
        <v>9.4292514347229321</v>
      </c>
      <c r="S17" s="52">
        <f t="shared" si="28"/>
        <v>3432.2211203351303</v>
      </c>
      <c r="T17" s="52">
        <f t="shared" si="29"/>
        <v>89.265378098660676</v>
      </c>
      <c r="U17" s="49"/>
      <c r="V17" s="270">
        <f t="shared" si="30"/>
        <v>2.670253062905974E-2</v>
      </c>
      <c r="W17" s="15">
        <f t="shared" si="31"/>
        <v>0</v>
      </c>
    </row>
    <row r="18" spans="1:23">
      <c r="A18" s="45"/>
      <c r="B18" s="84" t="s">
        <v>106</v>
      </c>
      <c r="C18" s="90" t="s">
        <v>208</v>
      </c>
      <c r="D18" s="267">
        <v>283.8313</v>
      </c>
      <c r="E18" s="23">
        <v>12</v>
      </c>
      <c r="F18" s="86">
        <f t="shared" si="32"/>
        <v>3405.9755999999998</v>
      </c>
      <c r="G18" s="228">
        <f>References!B22</f>
        <v>68</v>
      </c>
      <c r="H18" s="50">
        <f t="shared" si="22"/>
        <v>231606.34079999998</v>
      </c>
      <c r="I18" s="33">
        <f t="shared" si="23"/>
        <v>141093.1647924881</v>
      </c>
      <c r="J18" s="49">
        <f>(References!$C$49*I18)</f>
        <v>1178.7463050073998</v>
      </c>
      <c r="K18" s="49">
        <f>J18/References!$G$52</f>
        <v>1208.4747847112976</v>
      </c>
      <c r="L18" s="49">
        <f t="shared" si="33"/>
        <v>0.35481017089825828</v>
      </c>
      <c r="M18" s="239">
        <v>12.19068656818574</v>
      </c>
      <c r="N18" s="49">
        <f t="shared" ref="N18:N35" si="35">L18+M18</f>
        <v>12.545496739083998</v>
      </c>
      <c r="O18" s="49">
        <f t="shared" si="24"/>
        <v>41521.180998488366</v>
      </c>
      <c r="P18" s="49">
        <f t="shared" si="25"/>
        <v>42729.655783199662</v>
      </c>
      <c r="Q18" s="49">
        <f t="shared" si="26"/>
        <v>-1208.4747847112958</v>
      </c>
      <c r="R18" s="52">
        <f t="shared" si="27"/>
        <v>12.545496739083998</v>
      </c>
      <c r="S18" s="52">
        <f t="shared" si="28"/>
        <v>42729.655783199662</v>
      </c>
      <c r="T18" s="52">
        <f t="shared" si="29"/>
        <v>1208.4747847112958</v>
      </c>
      <c r="U18" s="49"/>
      <c r="V18" s="270">
        <f t="shared" si="30"/>
        <v>2.9105019550269871E-2</v>
      </c>
      <c r="W18" s="15">
        <f t="shared" si="31"/>
        <v>-4.4408920985006262E-16</v>
      </c>
    </row>
    <row r="19" spans="1:23">
      <c r="A19" s="45"/>
      <c r="B19" s="84" t="s">
        <v>106</v>
      </c>
      <c r="C19" s="90" t="s">
        <v>215</v>
      </c>
      <c r="D19" s="267">
        <v>95.332600000000014</v>
      </c>
      <c r="E19" s="23">
        <v>12</v>
      </c>
      <c r="F19" s="86">
        <f t="shared" si="32"/>
        <v>1143.9912000000002</v>
      </c>
      <c r="G19" s="228">
        <f>References!$B$27</f>
        <v>175</v>
      </c>
      <c r="H19" s="50">
        <f t="shared" si="22"/>
        <v>200198.46000000002</v>
      </c>
      <c r="I19" s="33">
        <f t="shared" si="23"/>
        <v>121959.67610564808</v>
      </c>
      <c r="J19" s="49">
        <f>(References!$C$49*I19)</f>
        <v>1018.8978167784766</v>
      </c>
      <c r="K19" s="49">
        <f>J19/References!$G$52</f>
        <v>1044.594850090708</v>
      </c>
      <c r="L19" s="49">
        <f t="shared" si="33"/>
        <v>0.91311441039992947</v>
      </c>
      <c r="M19" s="239">
        <v>25.124841016763074</v>
      </c>
      <c r="N19" s="49">
        <f t="shared" si="35"/>
        <v>26.037955427163006</v>
      </c>
      <c r="O19" s="49">
        <f t="shared" si="24"/>
        <v>28742.597024576015</v>
      </c>
      <c r="P19" s="49">
        <f t="shared" si="25"/>
        <v>29787.191874666725</v>
      </c>
      <c r="Q19" s="49">
        <f t="shared" si="26"/>
        <v>-1044.5948500907107</v>
      </c>
      <c r="R19" s="52">
        <f t="shared" si="27"/>
        <v>26.037955427163006</v>
      </c>
      <c r="S19" s="52">
        <f t="shared" si="28"/>
        <v>29787.191874666725</v>
      </c>
      <c r="T19" s="52">
        <f t="shared" si="29"/>
        <v>1044.5948500907107</v>
      </c>
      <c r="U19" s="49"/>
      <c r="V19" s="270">
        <f t="shared" si="30"/>
        <v>3.6343092073327248E-2</v>
      </c>
      <c r="W19" s="15">
        <f t="shared" si="31"/>
        <v>1.6653345369377348E-15</v>
      </c>
    </row>
    <row r="20" spans="1:23">
      <c r="A20" s="45"/>
      <c r="B20" s="84" t="s">
        <v>106</v>
      </c>
      <c r="C20" s="90" t="s">
        <v>209</v>
      </c>
      <c r="D20" s="267">
        <v>51.999600000000001</v>
      </c>
      <c r="E20" s="23">
        <v>12</v>
      </c>
      <c r="F20" s="86">
        <f t="shared" ref="F20:F26" si="36">D20*E20</f>
        <v>623.99520000000007</v>
      </c>
      <c r="G20" s="228">
        <f>((References!$B$28-References!$B$27)/2)+References!$B$27</f>
        <v>212.5</v>
      </c>
      <c r="H20" s="50">
        <f t="shared" ref="H20:H25" si="37">G20*F20</f>
        <v>132598.98000000001</v>
      </c>
      <c r="I20" s="33">
        <f t="shared" si="23"/>
        <v>80778.486771273398</v>
      </c>
      <c r="J20" s="49">
        <f>(References!$C$49*I20)</f>
        <v>674.85439812600396</v>
      </c>
      <c r="K20" s="49">
        <f>J20/References!$G$52</f>
        <v>691.87451109904032</v>
      </c>
      <c r="L20" s="49">
        <f t="shared" ref="L20:L26" si="38">IFERROR(K20/F20,0)</f>
        <v>1.1087817840570573</v>
      </c>
      <c r="M20" s="239">
        <v>29.771515269210557</v>
      </c>
      <c r="N20" s="49">
        <f t="shared" ref="N20:N25" si="39">L20+M20</f>
        <v>30.880297053267615</v>
      </c>
      <c r="O20" s="49">
        <f t="shared" ref="O20:O25" si="40">M20*F20</f>
        <v>18577.282624714098</v>
      </c>
      <c r="P20" s="49">
        <f t="shared" ref="P20:P25" si="41">N20*F20</f>
        <v>19269.157135813137</v>
      </c>
      <c r="Q20" s="49">
        <f t="shared" ref="Q20:Q25" si="42">O20-P20</f>
        <v>-691.8745110990385</v>
      </c>
      <c r="R20" s="52">
        <f t="shared" ref="R20:R25" si="43">N20</f>
        <v>30.880297053267615</v>
      </c>
      <c r="S20" s="52">
        <f t="shared" ref="S20:S25" si="44">R20*F20</f>
        <v>19269.157135813137</v>
      </c>
      <c r="T20" s="52">
        <f t="shared" ref="T20:T25" si="45">S20-O20</f>
        <v>691.8745110990385</v>
      </c>
      <c r="U20" s="49"/>
      <c r="V20" s="270">
        <f t="shared" si="30"/>
        <v>3.7243041680305393E-2</v>
      </c>
      <c r="W20" s="15">
        <f t="shared" si="31"/>
        <v>0</v>
      </c>
    </row>
    <row r="21" spans="1:23">
      <c r="A21" s="45"/>
      <c r="B21" s="84" t="s">
        <v>106</v>
      </c>
      <c r="C21" s="90" t="s">
        <v>210</v>
      </c>
      <c r="D21" s="267">
        <v>121.33240000000001</v>
      </c>
      <c r="E21" s="23">
        <v>12</v>
      </c>
      <c r="F21" s="86">
        <f t="shared" si="36"/>
        <v>1455.9888000000001</v>
      </c>
      <c r="G21" s="228">
        <f>References!$B$29</f>
        <v>324</v>
      </c>
      <c r="H21" s="50">
        <f t="shared" si="37"/>
        <v>471740.37120000005</v>
      </c>
      <c r="I21" s="33">
        <f t="shared" si="23"/>
        <v>287381.34587803617</v>
      </c>
      <c r="J21" s="49">
        <f>(References!$C$49*I21)</f>
        <v>2400.8937646271011</v>
      </c>
      <c r="K21" s="49">
        <f>J21/References!$G$52</f>
        <v>2461.4453194864682</v>
      </c>
      <c r="L21" s="49">
        <f t="shared" si="38"/>
        <v>1.6905661083975838</v>
      </c>
      <c r="M21" s="239">
        <v>45.887274911816633</v>
      </c>
      <c r="N21" s="49">
        <f t="shared" si="39"/>
        <v>47.577841020214215</v>
      </c>
      <c r="O21" s="49">
        <f t="shared" si="40"/>
        <v>66811.358334126009</v>
      </c>
      <c r="P21" s="49">
        <f t="shared" si="41"/>
        <v>69272.803653612471</v>
      </c>
      <c r="Q21" s="49">
        <f t="shared" si="42"/>
        <v>-2461.4453194864618</v>
      </c>
      <c r="R21" s="52">
        <f t="shared" si="43"/>
        <v>47.577841020214215</v>
      </c>
      <c r="S21" s="52">
        <f t="shared" si="44"/>
        <v>69272.803653612471</v>
      </c>
      <c r="T21" s="52">
        <f t="shared" si="45"/>
        <v>2461.4453194864618</v>
      </c>
      <c r="U21" s="49"/>
      <c r="V21" s="270">
        <f t="shared" si="30"/>
        <v>3.6841719445018489E-2</v>
      </c>
      <c r="W21" s="15">
        <f t="shared" si="31"/>
        <v>0</v>
      </c>
    </row>
    <row r="22" spans="1:23">
      <c r="A22" s="45"/>
      <c r="B22" s="84" t="s">
        <v>106</v>
      </c>
      <c r="C22" s="90" t="s">
        <v>211</v>
      </c>
      <c r="D22" s="267">
        <v>95.332599999999985</v>
      </c>
      <c r="E22" s="23">
        <v>12</v>
      </c>
      <c r="F22" s="86">
        <f t="shared" si="36"/>
        <v>1143.9911999999999</v>
      </c>
      <c r="G22" s="228">
        <f>References!$B$30</f>
        <v>473</v>
      </c>
      <c r="H22" s="50">
        <f t="shared" si="37"/>
        <v>541107.83759999997</v>
      </c>
      <c r="I22" s="33">
        <f t="shared" si="23"/>
        <v>329639.58170269441</v>
      </c>
      <c r="J22" s="49">
        <f>(References!$C$49*I22)</f>
        <v>2753.9352419212532</v>
      </c>
      <c r="K22" s="49">
        <f>J22/References!$G$52</f>
        <v>2823.3906519594557</v>
      </c>
      <c r="L22" s="49">
        <f t="shared" si="38"/>
        <v>2.4680178063952378</v>
      </c>
      <c r="M22" s="239">
        <v>67.382243336079569</v>
      </c>
      <c r="N22" s="49">
        <f t="shared" si="39"/>
        <v>69.850261142474807</v>
      </c>
      <c r="O22" s="49">
        <f t="shared" si="40"/>
        <v>77084.693412733672</v>
      </c>
      <c r="P22" s="49">
        <f t="shared" si="41"/>
        <v>79908.084064693117</v>
      </c>
      <c r="Q22" s="49">
        <f t="shared" si="42"/>
        <v>-2823.3906519594457</v>
      </c>
      <c r="R22" s="52">
        <f t="shared" si="43"/>
        <v>69.850261142474807</v>
      </c>
      <c r="S22" s="52">
        <f t="shared" si="44"/>
        <v>79908.084064693117</v>
      </c>
      <c r="T22" s="52">
        <f t="shared" si="45"/>
        <v>2823.3906519594457</v>
      </c>
      <c r="U22" s="49"/>
      <c r="V22" s="270">
        <f t="shared" si="30"/>
        <v>3.6627124361022084E-2</v>
      </c>
      <c r="W22" s="15">
        <f t="shared" si="31"/>
        <v>0</v>
      </c>
    </row>
    <row r="23" spans="1:23" ht="15" customHeight="1">
      <c r="A23" s="45"/>
      <c r="B23" s="84" t="s">
        <v>106</v>
      </c>
      <c r="C23" s="90" t="s">
        <v>212</v>
      </c>
      <c r="D23" s="267">
        <v>238.33149999999998</v>
      </c>
      <c r="E23" s="23">
        <v>12</v>
      </c>
      <c r="F23" s="86">
        <f t="shared" si="36"/>
        <v>2859.9779999999996</v>
      </c>
      <c r="G23" s="228">
        <f>References!$B$31</f>
        <v>613</v>
      </c>
      <c r="H23" s="50">
        <f t="shared" si="37"/>
        <v>1753166.5139999997</v>
      </c>
      <c r="I23" s="33">
        <f t="shared" si="23"/>
        <v>1068018.3064680321</v>
      </c>
      <c r="J23" s="49">
        <f>(References!$C$49*I23)</f>
        <v>8922.6337383600858</v>
      </c>
      <c r="K23" s="49">
        <f>J23/References!$G$52</f>
        <v>9147.6663300800556</v>
      </c>
      <c r="L23" s="49">
        <f t="shared" si="38"/>
        <v>3.1985093347151818</v>
      </c>
      <c r="M23" s="239">
        <v>86.450007797887565</v>
      </c>
      <c r="N23" s="49">
        <f t="shared" si="39"/>
        <v>89.648517132602748</v>
      </c>
      <c r="O23" s="49">
        <f t="shared" si="40"/>
        <v>247245.12040178684</v>
      </c>
      <c r="P23" s="49">
        <f t="shared" si="41"/>
        <v>256392.78673186692</v>
      </c>
      <c r="Q23" s="49">
        <f t="shared" si="42"/>
        <v>-9147.6663300800719</v>
      </c>
      <c r="R23" s="52">
        <f t="shared" si="43"/>
        <v>89.648517132602748</v>
      </c>
      <c r="S23" s="52">
        <f t="shared" si="44"/>
        <v>256392.78673186692</v>
      </c>
      <c r="T23" s="52">
        <f t="shared" si="45"/>
        <v>9147.6663300800719</v>
      </c>
      <c r="U23" s="49"/>
      <c r="V23" s="270">
        <f t="shared" si="30"/>
        <v>3.6998369533904639E-2</v>
      </c>
      <c r="W23" s="15">
        <f t="shared" si="31"/>
        <v>0</v>
      </c>
    </row>
    <row r="24" spans="1:23">
      <c r="A24" s="45"/>
      <c r="B24" s="84" t="s">
        <v>106</v>
      </c>
      <c r="C24" s="90" t="s">
        <v>213</v>
      </c>
      <c r="D24" s="267">
        <v>69.332800000000006</v>
      </c>
      <c r="E24" s="23">
        <v>12</v>
      </c>
      <c r="F24" s="86">
        <f t="shared" si="36"/>
        <v>831.99360000000001</v>
      </c>
      <c r="G24" s="228">
        <f>References!$B$32</f>
        <v>840</v>
      </c>
      <c r="H24" s="50">
        <f t="shared" si="37"/>
        <v>698874.62400000007</v>
      </c>
      <c r="I24" s="33">
        <f t="shared" si="23"/>
        <v>425750.14204153506</v>
      </c>
      <c r="J24" s="49">
        <f>(References!$C$49*I24)</f>
        <v>3556.879651299409</v>
      </c>
      <c r="K24" s="49">
        <f>J24/References!$G$52</f>
        <v>3646.5856584984713</v>
      </c>
      <c r="L24" s="49">
        <f t="shared" si="38"/>
        <v>4.3829491699196623</v>
      </c>
      <c r="M24" s="239">
        <v>127.77807526671457</v>
      </c>
      <c r="N24" s="49">
        <f>L24+M24</f>
        <v>132.16102443663422</v>
      </c>
      <c r="O24" s="49">
        <f t="shared" si="40"/>
        <v>106310.54084222481</v>
      </c>
      <c r="P24" s="49">
        <f t="shared" si="41"/>
        <v>109957.12650072329</v>
      </c>
      <c r="Q24" s="49">
        <f t="shared" si="42"/>
        <v>-3646.5856584984722</v>
      </c>
      <c r="R24" s="52">
        <f t="shared" si="43"/>
        <v>132.16102443663422</v>
      </c>
      <c r="S24" s="52">
        <f t="shared" si="44"/>
        <v>109957.12650072329</v>
      </c>
      <c r="T24" s="52">
        <f t="shared" si="45"/>
        <v>3646.5856584984722</v>
      </c>
      <c r="U24" s="49"/>
      <c r="V24" s="270">
        <f t="shared" si="30"/>
        <v>3.4301261470491055E-2</v>
      </c>
      <c r="W24" s="15">
        <f t="shared" si="31"/>
        <v>-7.1054273576010019E-15</v>
      </c>
    </row>
    <row r="25" spans="1:23">
      <c r="A25" s="45"/>
      <c r="B25" s="84" t="s">
        <v>106</v>
      </c>
      <c r="C25" s="90" t="s">
        <v>214</v>
      </c>
      <c r="D25" s="267">
        <v>30.333100000000002</v>
      </c>
      <c r="E25" s="23">
        <v>12</v>
      </c>
      <c r="F25" s="86">
        <f t="shared" si="36"/>
        <v>363.99720000000002</v>
      </c>
      <c r="G25" s="228">
        <f>References!$B$33</f>
        <v>980</v>
      </c>
      <c r="H25" s="50">
        <f t="shared" si="37"/>
        <v>356717.25599999999</v>
      </c>
      <c r="I25" s="33">
        <f t="shared" si="23"/>
        <v>217309.96833370018</v>
      </c>
      <c r="J25" s="49">
        <f>(References!$C$49*I25)</f>
        <v>1815.4906553507399</v>
      </c>
      <c r="K25" s="49">
        <f>J25/References!$G$52</f>
        <v>1861.2780965252612</v>
      </c>
      <c r="L25" s="49">
        <f t="shared" si="38"/>
        <v>5.1134406982396046</v>
      </c>
      <c r="M25" s="239">
        <v>164.15333464999165</v>
      </c>
      <c r="N25" s="49">
        <f t="shared" si="39"/>
        <v>169.26677534823125</v>
      </c>
      <c r="O25" s="49">
        <f t="shared" si="40"/>
        <v>59751.354183259944</v>
      </c>
      <c r="P25" s="49">
        <f t="shared" si="41"/>
        <v>61612.632279785204</v>
      </c>
      <c r="Q25" s="49">
        <f t="shared" si="42"/>
        <v>-1861.2780965252605</v>
      </c>
      <c r="R25" s="52">
        <f t="shared" si="43"/>
        <v>169.26677534823125</v>
      </c>
      <c r="S25" s="52">
        <f t="shared" si="44"/>
        <v>61612.632279785204</v>
      </c>
      <c r="T25" s="52">
        <f t="shared" si="45"/>
        <v>1861.2780965252605</v>
      </c>
      <c r="U25" s="49"/>
      <c r="V25" s="270">
        <f t="shared" si="30"/>
        <v>3.1150391852486591E-2</v>
      </c>
      <c r="W25" s="15">
        <f t="shared" si="31"/>
        <v>0</v>
      </c>
    </row>
    <row r="26" spans="1:23">
      <c r="A26" s="45"/>
      <c r="B26" s="13" t="s">
        <v>106</v>
      </c>
      <c r="C26" s="90" t="s">
        <v>189</v>
      </c>
      <c r="D26" s="267">
        <v>3</v>
      </c>
      <c r="E26" s="23">
        <v>12</v>
      </c>
      <c r="F26" s="86">
        <f t="shared" si="36"/>
        <v>36</v>
      </c>
      <c r="G26" s="229">
        <f>References!B22</f>
        <v>68</v>
      </c>
      <c r="H26" s="50">
        <f>G26*F26</f>
        <v>2448</v>
      </c>
      <c r="I26" s="33">
        <f t="shared" si="23"/>
        <v>1491.3066119820623</v>
      </c>
      <c r="J26" s="49">
        <f>(References!$C$49*I26)</f>
        <v>12.458946264989802</v>
      </c>
      <c r="K26" s="49">
        <f>J26/References!$G$52</f>
        <v>12.773166152337298</v>
      </c>
      <c r="L26" s="49">
        <f t="shared" si="38"/>
        <v>0.35481017089825828</v>
      </c>
      <c r="M26" s="240">
        <v>14.97</v>
      </c>
      <c r="N26" s="49">
        <f>L26+M26</f>
        <v>15.324810170898258</v>
      </c>
      <c r="O26" s="49">
        <f t="shared" ref="O26" si="46">M26*F26</f>
        <v>538.92000000000007</v>
      </c>
      <c r="P26" s="49">
        <f t="shared" ref="P26" si="47">N26*F26</f>
        <v>551.69316615233731</v>
      </c>
      <c r="Q26" s="49">
        <f t="shared" ref="Q26" si="48">O26-P26</f>
        <v>-12.77316615233724</v>
      </c>
      <c r="R26" s="52">
        <f t="shared" ref="R26" si="49">N26</f>
        <v>15.324810170898258</v>
      </c>
      <c r="S26" s="52">
        <f t="shared" ref="S26" si="50">R26*F26</f>
        <v>551.69316615233731</v>
      </c>
      <c r="T26" s="52">
        <f t="shared" ref="T26" si="51">S26-O26</f>
        <v>12.77316615233724</v>
      </c>
      <c r="U26" s="49"/>
      <c r="V26" s="270">
        <f>L26/M26</f>
        <v>2.3701414221660538E-2</v>
      </c>
      <c r="W26" s="49">
        <f>N26-M26-L26</f>
        <v>-4.4408920985006262E-16</v>
      </c>
    </row>
    <row r="27" spans="1:23">
      <c r="A27" s="45"/>
      <c r="B27" s="84" t="s">
        <v>106</v>
      </c>
      <c r="C27" s="90" t="s">
        <v>216</v>
      </c>
      <c r="D27" s="267">
        <v>1</v>
      </c>
      <c r="E27" s="23">
        <v>12</v>
      </c>
      <c r="F27" s="86">
        <f t="shared" si="32"/>
        <v>12</v>
      </c>
      <c r="G27" s="228">
        <f>((References!$B$28-References!$B$27)/2)+References!$B$27</f>
        <v>212.5</v>
      </c>
      <c r="H27" s="50">
        <f t="shared" si="22"/>
        <v>2550</v>
      </c>
      <c r="I27" s="33">
        <f t="shared" si="23"/>
        <v>1553.4443874813151</v>
      </c>
      <c r="J27" s="49">
        <f>(References!$C$49*I27)</f>
        <v>12.978069026031044</v>
      </c>
      <c r="K27" s="49">
        <f>J27/References!$G$52</f>
        <v>13.305381408684687</v>
      </c>
      <c r="L27" s="49">
        <f t="shared" si="33"/>
        <v>1.1087817840570573</v>
      </c>
      <c r="M27" s="239">
        <v>34.49</v>
      </c>
      <c r="N27" s="49">
        <f t="shared" si="35"/>
        <v>35.59878178405706</v>
      </c>
      <c r="O27" s="49">
        <f t="shared" ref="O27:O28" si="52">M27*F27</f>
        <v>413.88</v>
      </c>
      <c r="P27" s="49">
        <f t="shared" ref="P27:P28" si="53">N27*F27</f>
        <v>427.18538140868475</v>
      </c>
      <c r="Q27" s="49">
        <f t="shared" ref="Q27:Q28" si="54">O27-P27</f>
        <v>-13.305381408684752</v>
      </c>
      <c r="R27" s="52">
        <f t="shared" ref="R27:R28" si="55">N27</f>
        <v>35.59878178405706</v>
      </c>
      <c r="S27" s="52">
        <f t="shared" ref="S27:S28" si="56">R27*F27</f>
        <v>427.18538140868475</v>
      </c>
      <c r="T27" s="52">
        <f t="shared" ref="T27:T28" si="57">S27-O27</f>
        <v>13.305381408684752</v>
      </c>
      <c r="U27" s="49"/>
      <c r="V27" s="270">
        <f t="shared" si="30"/>
        <v>3.2147920674313053E-2</v>
      </c>
      <c r="W27" s="15">
        <f t="shared" si="31"/>
        <v>0</v>
      </c>
    </row>
    <row r="28" spans="1:23">
      <c r="A28" s="45"/>
      <c r="B28" s="84" t="s">
        <v>106</v>
      </c>
      <c r="C28" s="90" t="s">
        <v>191</v>
      </c>
      <c r="D28" s="267">
        <v>2</v>
      </c>
      <c r="E28" s="23">
        <v>12</v>
      </c>
      <c r="F28" s="86">
        <f t="shared" ref="F28" si="58">D28*E28</f>
        <v>24</v>
      </c>
      <c r="G28" s="228">
        <f>References!$B$29</f>
        <v>324</v>
      </c>
      <c r="H28" s="50">
        <f t="shared" ref="H28" si="59">G28*F28</f>
        <v>7776</v>
      </c>
      <c r="I28" s="33">
        <f t="shared" si="23"/>
        <v>4737.0915910018457</v>
      </c>
      <c r="J28" s="49">
        <f>(References!$C$49*I28)</f>
        <v>39.575476371144084</v>
      </c>
      <c r="K28" s="49">
        <f>J28/References!$G$52</f>
        <v>40.573586601542019</v>
      </c>
      <c r="L28" s="49">
        <f t="shared" ref="L28" si="60">IFERROR(K28/F28,0)</f>
        <v>1.690566108397584</v>
      </c>
      <c r="M28" s="239">
        <v>51.004083265099979</v>
      </c>
      <c r="N28" s="49">
        <f>L28+M28</f>
        <v>52.694649373497562</v>
      </c>
      <c r="O28" s="49">
        <f t="shared" si="52"/>
        <v>1224.0979983623995</v>
      </c>
      <c r="P28" s="49">
        <f t="shared" si="53"/>
        <v>1264.6715849639415</v>
      </c>
      <c r="Q28" s="49">
        <f t="shared" si="54"/>
        <v>-40.573586601542047</v>
      </c>
      <c r="R28" s="52">
        <f t="shared" si="55"/>
        <v>52.694649373497562</v>
      </c>
      <c r="S28" s="52">
        <f t="shared" si="56"/>
        <v>1264.6715849639415</v>
      </c>
      <c r="T28" s="52">
        <f t="shared" si="57"/>
        <v>40.573586601542047</v>
      </c>
      <c r="U28" s="49"/>
      <c r="V28" s="270">
        <f t="shared" si="30"/>
        <v>3.3145701288476444E-2</v>
      </c>
      <c r="W28" s="15">
        <f t="shared" si="31"/>
        <v>0</v>
      </c>
    </row>
    <row r="29" spans="1:23">
      <c r="A29" s="45"/>
      <c r="B29" s="84" t="s">
        <v>106</v>
      </c>
      <c r="C29" s="90" t="s">
        <v>187</v>
      </c>
      <c r="D29" s="267">
        <v>2</v>
      </c>
      <c r="E29" s="23">
        <v>12</v>
      </c>
      <c r="F29" s="86">
        <f t="shared" si="32"/>
        <v>24</v>
      </c>
      <c r="G29" s="228">
        <f>References!$B$30</f>
        <v>473</v>
      </c>
      <c r="H29" s="50">
        <f t="shared" si="22"/>
        <v>11352</v>
      </c>
      <c r="I29" s="33">
        <f t="shared" si="23"/>
        <v>6915.5688967403485</v>
      </c>
      <c r="J29" s="49">
        <f>(References!$C$49*I29)</f>
        <v>57.775309640589967</v>
      </c>
      <c r="K29" s="49">
        <f>J29/References!$G$52</f>
        <v>59.232427353485711</v>
      </c>
      <c r="L29" s="49">
        <f t="shared" si="33"/>
        <v>2.4680178063952378</v>
      </c>
      <c r="M29" s="239">
        <v>71.722783755424615</v>
      </c>
      <c r="N29" s="49">
        <f t="shared" si="35"/>
        <v>74.190801561819853</v>
      </c>
      <c r="O29" s="49">
        <f t="shared" si="24"/>
        <v>1721.3468101301908</v>
      </c>
      <c r="P29" s="49">
        <f t="shared" si="25"/>
        <v>1780.5792374836765</v>
      </c>
      <c r="Q29" s="49">
        <f t="shared" si="26"/>
        <v>-59.232427353485718</v>
      </c>
      <c r="R29" s="52">
        <f t="shared" si="27"/>
        <v>74.190801561819853</v>
      </c>
      <c r="S29" s="52">
        <f t="shared" si="28"/>
        <v>1780.5792374836765</v>
      </c>
      <c r="T29" s="52">
        <f t="shared" si="29"/>
        <v>59.232427353485718</v>
      </c>
      <c r="U29" s="49"/>
      <c r="V29" s="270">
        <f t="shared" si="30"/>
        <v>3.4410513328807797E-2</v>
      </c>
      <c r="W29" s="15">
        <f t="shared" si="31"/>
        <v>0</v>
      </c>
    </row>
    <row r="30" spans="1:23">
      <c r="A30" s="45"/>
      <c r="B30" s="84" t="s">
        <v>106</v>
      </c>
      <c r="C30" s="90" t="s">
        <v>119</v>
      </c>
      <c r="D30" s="267">
        <v>2</v>
      </c>
      <c r="E30" s="23">
        <v>12</v>
      </c>
      <c r="F30" s="86">
        <f t="shared" si="32"/>
        <v>24</v>
      </c>
      <c r="G30" s="228">
        <f>References!$B$31</f>
        <v>613</v>
      </c>
      <c r="H30" s="50">
        <f t="shared" si="22"/>
        <v>14712</v>
      </c>
      <c r="I30" s="33">
        <f t="shared" si="23"/>
        <v>8962.4603249510219</v>
      </c>
      <c r="J30" s="49">
        <f>(References!$C$49*I30)</f>
        <v>74.875824121948511</v>
      </c>
      <c r="K30" s="49">
        <f>J30/References!$G$52</f>
        <v>76.764224033164354</v>
      </c>
      <c r="L30" s="49">
        <f t="shared" si="33"/>
        <v>3.1985093347151814</v>
      </c>
      <c r="M30" s="239">
        <v>93.753486387616789</v>
      </c>
      <c r="N30" s="49">
        <f t="shared" si="35"/>
        <v>96.951995722331972</v>
      </c>
      <c r="O30" s="49">
        <f t="shared" si="24"/>
        <v>2250.0836733028027</v>
      </c>
      <c r="P30" s="49">
        <f t="shared" si="25"/>
        <v>2326.8478973359674</v>
      </c>
      <c r="Q30" s="49">
        <f t="shared" si="26"/>
        <v>-76.764224033164737</v>
      </c>
      <c r="R30" s="52">
        <f t="shared" si="27"/>
        <v>96.951995722331972</v>
      </c>
      <c r="S30" s="52">
        <f t="shared" si="28"/>
        <v>2326.8478973359674</v>
      </c>
      <c r="T30" s="52">
        <f t="shared" si="29"/>
        <v>76.764224033164737</v>
      </c>
      <c r="U30" s="49"/>
      <c r="V30" s="270">
        <f t="shared" si="30"/>
        <v>3.4116164187123488E-2</v>
      </c>
      <c r="W30" s="15">
        <f t="shared" si="31"/>
        <v>0</v>
      </c>
    </row>
    <row r="31" spans="1:23">
      <c r="A31" s="45"/>
      <c r="B31" s="84" t="s">
        <v>106</v>
      </c>
      <c r="C31" s="90" t="s">
        <v>120</v>
      </c>
      <c r="D31" s="267">
        <v>5</v>
      </c>
      <c r="E31" s="23">
        <v>12</v>
      </c>
      <c r="F31" s="86">
        <f t="shared" ref="F31" si="61">D31*E31</f>
        <v>60</v>
      </c>
      <c r="G31" s="228">
        <f>References!$B$32</f>
        <v>840</v>
      </c>
      <c r="H31" s="50">
        <f t="shared" ref="H31" si="62">G31*F31</f>
        <v>50400</v>
      </c>
      <c r="I31" s="33">
        <f t="shared" si="23"/>
        <v>30703.371423160108</v>
      </c>
      <c r="J31" s="49">
        <f>(References!$C$49*I31)</f>
        <v>256.50771722037825</v>
      </c>
      <c r="K31" s="49">
        <f>J31/References!$G$52</f>
        <v>262.97695019517965</v>
      </c>
      <c r="L31" s="49">
        <f t="shared" ref="L31" si="63">IFERROR(K31/F31,0)</f>
        <v>4.3829491699196605</v>
      </c>
      <c r="M31" s="239">
        <v>138.01169197328124</v>
      </c>
      <c r="N31" s="49">
        <f t="shared" ref="N31" si="64">L31+M31</f>
        <v>142.39464114320091</v>
      </c>
      <c r="O31" s="49">
        <f t="shared" ref="O31" si="65">M31*F31</f>
        <v>8280.7015183968742</v>
      </c>
      <c r="P31" s="49">
        <f t="shared" ref="P31" si="66">N31*F31</f>
        <v>8543.6784685920557</v>
      </c>
      <c r="Q31" s="49">
        <f t="shared" ref="Q31" si="67">O31-P31</f>
        <v>-262.97695019518142</v>
      </c>
      <c r="R31" s="52">
        <f t="shared" ref="R31" si="68">N31</f>
        <v>142.39464114320091</v>
      </c>
      <c r="S31" s="52">
        <f t="shared" ref="S31" si="69">R31*F31</f>
        <v>8543.6784685920557</v>
      </c>
      <c r="T31" s="52">
        <f t="shared" ref="T31" si="70">S31-O31</f>
        <v>262.97695019518142</v>
      </c>
      <c r="U31" s="49"/>
      <c r="V31" s="270">
        <f t="shared" si="30"/>
        <v>3.1757810568456689E-2</v>
      </c>
      <c r="W31" s="15">
        <f t="shared" si="31"/>
        <v>8.8817841970012523E-15</v>
      </c>
    </row>
    <row r="32" spans="1:23">
      <c r="A32" s="45"/>
      <c r="B32" s="84" t="s">
        <v>106</v>
      </c>
      <c r="C32" s="90" t="s">
        <v>248</v>
      </c>
      <c r="D32" s="267">
        <v>1</v>
      </c>
      <c r="E32" s="23">
        <v>12</v>
      </c>
      <c r="F32" s="86">
        <f t="shared" ref="F32" si="71">D32*E32</f>
        <v>12</v>
      </c>
      <c r="G32" s="228">
        <f>References!$B$33</f>
        <v>980</v>
      </c>
      <c r="H32" s="50">
        <f t="shared" ref="H32" si="72">G32*F32</f>
        <v>11760</v>
      </c>
      <c r="I32" s="33">
        <f t="shared" si="23"/>
        <v>7164.1199987373584</v>
      </c>
      <c r="J32" s="49">
        <f>(References!$C$49*I32)</f>
        <v>59.851800684754927</v>
      </c>
      <c r="K32" s="49">
        <f>J32/References!$G$52</f>
        <v>61.361288378875258</v>
      </c>
      <c r="L32" s="49">
        <f t="shared" ref="L32" si="73">IFERROR(K32/F32,0)</f>
        <v>5.1134406982396046</v>
      </c>
      <c r="M32" s="239">
        <v>166.79920563609116</v>
      </c>
      <c r="N32" s="49">
        <f t="shared" ref="N32" si="74">L32+M32</f>
        <v>171.91264633433076</v>
      </c>
      <c r="O32" s="49">
        <f t="shared" ref="O32" si="75">M32*F32</f>
        <v>2001.5904676330938</v>
      </c>
      <c r="P32" s="49">
        <f t="shared" ref="P32" si="76">N32*F32</f>
        <v>2062.9517560119693</v>
      </c>
      <c r="Q32" s="49">
        <f t="shared" ref="Q32" si="77">O32-P32</f>
        <v>-61.361288378875543</v>
      </c>
      <c r="R32" s="52">
        <f t="shared" ref="R32" si="78">N32</f>
        <v>171.91264633433076</v>
      </c>
      <c r="S32" s="52">
        <f t="shared" ref="S32" si="79">R32*F32</f>
        <v>2062.9517560119693</v>
      </c>
      <c r="T32" s="52">
        <f t="shared" ref="T32" si="80">S32-O32</f>
        <v>61.361288378875543</v>
      </c>
      <c r="U32" s="49"/>
      <c r="V32" s="270">
        <f t="shared" si="30"/>
        <v>3.0656265290589516E-2</v>
      </c>
      <c r="W32" s="15">
        <f t="shared" si="31"/>
        <v>0</v>
      </c>
    </row>
    <row r="33" spans="1:23">
      <c r="A33" s="45"/>
      <c r="B33" s="84" t="s">
        <v>106</v>
      </c>
      <c r="C33" s="90" t="s">
        <v>218</v>
      </c>
      <c r="D33" s="267">
        <v>1</v>
      </c>
      <c r="E33" s="23">
        <v>1</v>
      </c>
      <c r="F33" s="86">
        <f>D33*E33</f>
        <v>1</v>
      </c>
      <c r="G33" s="228">
        <f>((References!$B$28-References!$B$27)/2)+References!$B$27</f>
        <v>212.5</v>
      </c>
      <c r="H33" s="50">
        <f>G33*F33</f>
        <v>212.5</v>
      </c>
      <c r="I33" s="33">
        <f t="shared" si="23"/>
        <v>129.45369895677624</v>
      </c>
      <c r="J33" s="49">
        <f>(References!$C$49*I33)</f>
        <v>1.0815057521692535</v>
      </c>
      <c r="K33" s="49">
        <f>J33/References!$G$52</f>
        <v>1.1087817840570571</v>
      </c>
      <c r="L33" s="49">
        <f>IFERROR(K33/F33,0)</f>
        <v>1.1087817840570571</v>
      </c>
      <c r="M33" s="239">
        <v>39.46</v>
      </c>
      <c r="N33" s="49">
        <f>L33+M33</f>
        <v>40.568781784057059</v>
      </c>
      <c r="O33" s="49">
        <f>M33*F33</f>
        <v>39.46</v>
      </c>
      <c r="P33" s="49">
        <f>N33*F33</f>
        <v>40.568781784057059</v>
      </c>
      <c r="Q33" s="49">
        <f>O33-P33</f>
        <v>-1.108781784057058</v>
      </c>
      <c r="R33" s="52">
        <f>N33</f>
        <v>40.568781784057059</v>
      </c>
      <c r="S33" s="52">
        <f>R33*F33</f>
        <v>40.568781784057059</v>
      </c>
      <c r="T33" s="52">
        <f>S33-O33</f>
        <v>1.108781784057058</v>
      </c>
      <c r="U33" s="49"/>
      <c r="V33" s="270">
        <f t="shared" si="30"/>
        <v>2.8098879474329881E-2</v>
      </c>
      <c r="W33" s="15">
        <f t="shared" si="31"/>
        <v>0</v>
      </c>
    </row>
    <row r="34" spans="1:23">
      <c r="A34" s="45"/>
      <c r="B34" s="84" t="s">
        <v>106</v>
      </c>
      <c r="C34" s="90" t="s">
        <v>193</v>
      </c>
      <c r="D34" s="267">
        <v>5</v>
      </c>
      <c r="E34" s="23">
        <v>1</v>
      </c>
      <c r="F34" s="86">
        <f t="shared" si="32"/>
        <v>5</v>
      </c>
      <c r="G34" s="228">
        <f>References!$B$32</f>
        <v>840</v>
      </c>
      <c r="H34" s="50">
        <f t="shared" si="22"/>
        <v>4200</v>
      </c>
      <c r="I34" s="33">
        <f t="shared" si="23"/>
        <v>2558.6142852633425</v>
      </c>
      <c r="J34" s="49">
        <f>(References!$C$49*I34)</f>
        <v>21.375643101698191</v>
      </c>
      <c r="K34" s="49">
        <f>J34/References!$G$52</f>
        <v>21.914745849598308</v>
      </c>
      <c r="L34" s="49">
        <f t="shared" si="33"/>
        <v>4.3829491699196614</v>
      </c>
      <c r="M34" s="239">
        <v>133.93</v>
      </c>
      <c r="N34" s="49">
        <f t="shared" si="35"/>
        <v>138.31294916991968</v>
      </c>
      <c r="O34" s="49">
        <f t="shared" si="24"/>
        <v>669.65000000000009</v>
      </c>
      <c r="P34" s="49">
        <f t="shared" si="25"/>
        <v>691.56474584959835</v>
      </c>
      <c r="Q34" s="49">
        <f t="shared" si="26"/>
        <v>-21.914745849598262</v>
      </c>
      <c r="R34" s="52">
        <f t="shared" si="27"/>
        <v>138.31294916991968</v>
      </c>
      <c r="S34" s="52">
        <f t="shared" si="28"/>
        <v>691.56474584959835</v>
      </c>
      <c r="T34" s="52">
        <f t="shared" si="29"/>
        <v>21.914745849598262</v>
      </c>
      <c r="U34" s="49"/>
      <c r="V34" s="270">
        <f t="shared" si="30"/>
        <v>3.2725671394905259E-2</v>
      </c>
      <c r="W34" s="15">
        <f t="shared" si="31"/>
        <v>7.9936057773011271E-15</v>
      </c>
    </row>
    <row r="35" spans="1:23">
      <c r="A35" s="45"/>
      <c r="B35" s="13" t="s">
        <v>124</v>
      </c>
      <c r="C35" t="s">
        <v>226</v>
      </c>
      <c r="D35" s="267">
        <v>9</v>
      </c>
      <c r="E35" s="23">
        <v>12</v>
      </c>
      <c r="F35" s="86">
        <f t="shared" si="32"/>
        <v>108</v>
      </c>
      <c r="G35" s="229">
        <f>References!$B$26</f>
        <v>29</v>
      </c>
      <c r="H35" s="50">
        <f t="shared" si="22"/>
        <v>3132</v>
      </c>
      <c r="I35" s="33">
        <f t="shared" si="23"/>
        <v>1907.9952241535211</v>
      </c>
      <c r="J35" s="49">
        <f>(References!$C$49*I35)</f>
        <v>15.940122427266365</v>
      </c>
      <c r="K35" s="49">
        <f>J35/References!$G$52</f>
        <v>16.342139047843311</v>
      </c>
      <c r="L35" s="49">
        <f>IFERROR(K35/F35,0)</f>
        <v>0.15131610229484546</v>
      </c>
      <c r="M35" s="240">
        <v>4.84</v>
      </c>
      <c r="N35" s="49">
        <f t="shared" si="35"/>
        <v>4.9913161022948449</v>
      </c>
      <c r="O35" s="49">
        <f t="shared" ref="O35" si="81">M35*F35</f>
        <v>522.72</v>
      </c>
      <c r="P35" s="49">
        <f t="shared" ref="P35" si="82">N35*F35</f>
        <v>539.06213904784329</v>
      </c>
      <c r="Q35" s="49">
        <f t="shared" ref="Q35" si="83">O35-P35</f>
        <v>-16.342139047843261</v>
      </c>
      <c r="R35" s="52">
        <f t="shared" ref="R35" si="84">N35</f>
        <v>4.9913161022948449</v>
      </c>
      <c r="S35" s="52">
        <f t="shared" ref="S35" si="85">R35*F35</f>
        <v>539.06213904784329</v>
      </c>
      <c r="T35" s="52">
        <f t="shared" ref="T35" si="86">S35-O35</f>
        <v>16.342139047843261</v>
      </c>
      <c r="U35" s="49"/>
      <c r="V35" s="270">
        <f t="shared" si="30"/>
        <v>3.1263657498935012E-2</v>
      </c>
      <c r="W35" s="15">
        <f t="shared" si="31"/>
        <v>-4.163336342344337E-16</v>
      </c>
    </row>
    <row r="36" spans="1:23">
      <c r="A36" s="105"/>
      <c r="B36" s="13" t="s">
        <v>126</v>
      </c>
      <c r="C36" s="90" t="s">
        <v>213</v>
      </c>
      <c r="D36" s="267">
        <v>4</v>
      </c>
      <c r="E36" s="23">
        <v>1</v>
      </c>
      <c r="F36" s="86">
        <f>D36*E36*12</f>
        <v>48</v>
      </c>
      <c r="G36" s="229">
        <f>References!B40</f>
        <v>2310</v>
      </c>
      <c r="H36" s="50">
        <f>G36*F36</f>
        <v>110880</v>
      </c>
      <c r="I36" s="33">
        <f t="shared" si="23"/>
        <v>67547.417130952235</v>
      </c>
      <c r="J36" s="49">
        <f>(References!$C$49*I36)</f>
        <v>564.31697788483223</v>
      </c>
      <c r="K36" s="49">
        <f>J36/References!$G$52</f>
        <v>578.54929042939534</v>
      </c>
      <c r="L36" s="49">
        <f>IFERROR(K36/F36,0)</f>
        <v>12.05311021727907</v>
      </c>
      <c r="M36" s="240">
        <v>378.34</v>
      </c>
      <c r="N36" s="49">
        <f>L36+M36</f>
        <v>390.39311021727906</v>
      </c>
      <c r="O36" s="49">
        <f t="shared" ref="O36" si="87">M36*F36</f>
        <v>18160.32</v>
      </c>
      <c r="P36" s="49">
        <f t="shared" ref="P36" si="88">N36*F36</f>
        <v>18738.869290429393</v>
      </c>
      <c r="Q36" s="49">
        <f t="shared" ref="Q36" si="89">O36-P36</f>
        <v>-578.5492904293933</v>
      </c>
      <c r="R36" s="52">
        <f t="shared" ref="R36" si="90">N36</f>
        <v>390.39311021727906</v>
      </c>
      <c r="S36" s="52">
        <f t="shared" ref="S36" si="91">R36*F36</f>
        <v>18738.869290429393</v>
      </c>
      <c r="T36" s="52">
        <f t="shared" ref="T36" si="92">S36-O36</f>
        <v>578.5492904293933</v>
      </c>
      <c r="U36" s="49"/>
      <c r="V36" s="270">
        <f>L36/M36</f>
        <v>3.1857879730610217E-2</v>
      </c>
      <c r="W36" s="49">
        <f>N36-M36-L36</f>
        <v>1.4210854715202004E-14</v>
      </c>
    </row>
    <row r="37" spans="1:23">
      <c r="A37" s="277"/>
      <c r="B37" s="84"/>
      <c r="C37" s="90"/>
      <c r="D37" s="41"/>
      <c r="E37" s="23"/>
      <c r="F37" s="91"/>
      <c r="G37" s="87"/>
      <c r="H37" s="50"/>
      <c r="I37" s="33"/>
      <c r="J37" s="49"/>
      <c r="K37" s="49"/>
      <c r="L37" s="49"/>
      <c r="M37" s="49"/>
      <c r="N37" s="49"/>
      <c r="O37" s="49"/>
      <c r="P37" s="49"/>
      <c r="Q37" s="49"/>
      <c r="R37" s="52"/>
      <c r="S37" s="52"/>
      <c r="T37" s="52"/>
      <c r="U37" s="49"/>
    </row>
    <row r="38" spans="1:23">
      <c r="A38" s="35"/>
      <c r="B38" s="59"/>
      <c r="C38" s="36" t="s">
        <v>16</v>
      </c>
      <c r="D38" s="37">
        <f>SUM(D16:D37)</f>
        <v>1445.4893</v>
      </c>
      <c r="E38" s="37"/>
      <c r="F38" s="37">
        <f>SUM(F16:F37)</f>
        <v>17279.871600000002</v>
      </c>
      <c r="G38" s="76"/>
      <c r="H38" s="37">
        <f>SUM(H16:H37)</f>
        <v>4759767.6963999998</v>
      </c>
      <c r="I38" s="37">
        <f>SUM(I16:I37)</f>
        <v>2899621.3387009595</v>
      </c>
      <c r="J38" s="55"/>
      <c r="K38" s="55"/>
      <c r="L38" s="55"/>
      <c r="M38" s="55"/>
      <c r="N38" s="55"/>
      <c r="O38" s="37">
        <f>SUM(O16:O37)</f>
        <v>710767.54662321275</v>
      </c>
      <c r="P38" s="92">
        <f>SUM(P16:P37)</f>
        <v>735603.04647314944</v>
      </c>
      <c r="Q38" s="92">
        <f>SUM(Q16:Q37)</f>
        <v>-24835.499849936659</v>
      </c>
      <c r="R38" s="92"/>
      <c r="S38" s="92">
        <f>SUM(S16:S37)</f>
        <v>735603.04647314944</v>
      </c>
      <c r="T38" s="92">
        <f>SUM(T16:T37)</f>
        <v>24835.499849936659</v>
      </c>
      <c r="U38" s="275"/>
    </row>
    <row r="39" spans="1:23" ht="14.5" customHeight="1">
      <c r="A39" s="291" t="s">
        <v>104</v>
      </c>
      <c r="B39" s="84" t="s">
        <v>107</v>
      </c>
      <c r="C39" s="90" t="s">
        <v>207</v>
      </c>
      <c r="D39" s="267">
        <v>125.6657</v>
      </c>
      <c r="E39" s="23">
        <v>12</v>
      </c>
      <c r="F39" s="91">
        <f>D39*E39</f>
        <v>1507.9884</v>
      </c>
      <c r="G39" s="228">
        <f>References!B14</f>
        <v>34</v>
      </c>
      <c r="H39" s="50">
        <f t="shared" ref="H39:H46" si="93">G39*F39</f>
        <v>51271.605599999995</v>
      </c>
      <c r="I39" s="33">
        <f t="shared" ref="I39:I49" si="94">$D$125*H39</f>
        <v>31234.348218225707</v>
      </c>
      <c r="J39" s="49">
        <f>(References!$C$49*I39)</f>
        <v>260.94370060872149</v>
      </c>
      <c r="K39" s="49">
        <f>J39/References!$G$52</f>
        <v>267.52481095829552</v>
      </c>
      <c r="L39" s="49">
        <f t="shared" ref="L39:L49" si="95">IFERROR(K39/F39,0)</f>
        <v>0.17740508544912914</v>
      </c>
      <c r="M39" s="239">
        <v>6.71</v>
      </c>
      <c r="N39" s="49">
        <f t="shared" ref="N39:N46" si="96">L39+M39</f>
        <v>6.8874050854491289</v>
      </c>
      <c r="O39" s="49">
        <f t="shared" ref="O39:O48" si="97">M39*F39</f>
        <v>10118.602164</v>
      </c>
      <c r="P39" s="49">
        <f t="shared" ref="P39:P48" si="98">N39*F39</f>
        <v>10386.126974958295</v>
      </c>
      <c r="Q39" s="49">
        <f t="shared" ref="Q39:Q48" si="99">O39-P39</f>
        <v>-267.52481095829535</v>
      </c>
      <c r="R39" s="52">
        <f t="shared" ref="R39:R48" si="100">N39</f>
        <v>6.8874050854491289</v>
      </c>
      <c r="S39" s="52">
        <f t="shared" ref="S39:S48" si="101">R39*F39</f>
        <v>10386.126974958295</v>
      </c>
      <c r="T39" s="52">
        <f t="shared" ref="T39:T48" si="102">S39-O39</f>
        <v>267.52481095829535</v>
      </c>
      <c r="U39" s="49"/>
      <c r="V39" s="270">
        <f t="shared" ref="V39:V48" si="103">L39/M39</f>
        <v>2.6438909902999873E-2</v>
      </c>
      <c r="W39" s="15">
        <f t="shared" ref="W39:W48" si="104">N39-M39-L39</f>
        <v>-2.2204460492503131E-16</v>
      </c>
    </row>
    <row r="40" spans="1:23" ht="14.5" customHeight="1">
      <c r="A40" s="292"/>
      <c r="B40" s="94" t="s">
        <v>107</v>
      </c>
      <c r="C40" s="90" t="s">
        <v>206</v>
      </c>
      <c r="D40" s="267">
        <v>4.3333000000000004</v>
      </c>
      <c r="E40" s="23">
        <v>12</v>
      </c>
      <c r="F40" s="91">
        <f>D40*E40</f>
        <v>51.999600000000001</v>
      </c>
      <c r="G40" s="228">
        <f>References!B21</f>
        <v>47</v>
      </c>
      <c r="H40" s="50">
        <f>G40*F40</f>
        <v>2443.9812000000002</v>
      </c>
      <c r="I40" s="33">
        <f t="shared" si="94"/>
        <v>1488.858383627392</v>
      </c>
      <c r="J40" s="49">
        <f>(References!$C$49*I40)</f>
        <v>12.438492828204778</v>
      </c>
      <c r="K40" s="49">
        <f>J40/References!$G$52</f>
        <v>12.752196871237212</v>
      </c>
      <c r="L40" s="49">
        <f t="shared" si="95"/>
        <v>0.24523644165026676</v>
      </c>
      <c r="M40" s="240">
        <v>11.72</v>
      </c>
      <c r="N40" s="49">
        <f>L40+M40</f>
        <v>11.965236441650267</v>
      </c>
      <c r="O40" s="49">
        <f t="shared" ref="O40:O41" si="105">M40*F40</f>
        <v>609.43531200000007</v>
      </c>
      <c r="P40" s="49">
        <f t="shared" ref="P40:P41" si="106">N40*F40</f>
        <v>622.18750887123724</v>
      </c>
      <c r="Q40" s="49">
        <f t="shared" ref="Q40:Q41" si="107">O40-P40</f>
        <v>-12.752196871237174</v>
      </c>
      <c r="R40" s="52">
        <f t="shared" ref="R40:R41" si="108">N40</f>
        <v>11.965236441650267</v>
      </c>
      <c r="S40" s="52">
        <f t="shared" ref="S40:S41" si="109">R40*F40</f>
        <v>622.18750887123724</v>
      </c>
      <c r="T40" s="52">
        <f t="shared" ref="T40:T41" si="110">S40-O40</f>
        <v>12.752196871237174</v>
      </c>
      <c r="U40" s="49"/>
      <c r="V40" s="270">
        <f t="shared" si="103"/>
        <v>2.0924611062309448E-2</v>
      </c>
      <c r="W40" s="15">
        <f t="shared" si="104"/>
        <v>0</v>
      </c>
    </row>
    <row r="41" spans="1:23">
      <c r="A41" s="292"/>
      <c r="B41" s="84" t="s">
        <v>107</v>
      </c>
      <c r="C41" s="90" t="s">
        <v>208</v>
      </c>
      <c r="D41" s="267">
        <v>103.99930000000001</v>
      </c>
      <c r="E41" s="23">
        <v>12</v>
      </c>
      <c r="F41" s="91">
        <f t="shared" ref="F41:F48" si="111">D41*E41</f>
        <v>1247.9916000000001</v>
      </c>
      <c r="G41" s="228">
        <f>References!B22</f>
        <v>68</v>
      </c>
      <c r="H41" s="50">
        <f t="shared" si="93"/>
        <v>84863.428800000009</v>
      </c>
      <c r="I41" s="33">
        <f t="shared" si="94"/>
        <v>51698.281243835372</v>
      </c>
      <c r="J41" s="49">
        <f>(References!$C$49*I41)</f>
        <v>431.90723009885136</v>
      </c>
      <c r="K41" s="49">
        <f>J41/References!$G$52</f>
        <v>442.80011287559086</v>
      </c>
      <c r="L41" s="49">
        <f t="shared" si="95"/>
        <v>0.35481017089825834</v>
      </c>
      <c r="M41" s="239">
        <v>16</v>
      </c>
      <c r="N41" s="49">
        <f t="shared" si="96"/>
        <v>16.354810170898258</v>
      </c>
      <c r="O41" s="49">
        <f t="shared" si="105"/>
        <v>19967.865600000001</v>
      </c>
      <c r="P41" s="49">
        <f t="shared" si="106"/>
        <v>20410.665712875591</v>
      </c>
      <c r="Q41" s="49">
        <f t="shared" si="107"/>
        <v>-442.80011287558955</v>
      </c>
      <c r="R41" s="52">
        <f t="shared" si="108"/>
        <v>16.354810170898258</v>
      </c>
      <c r="S41" s="52">
        <f t="shared" si="109"/>
        <v>20410.665712875591</v>
      </c>
      <c r="T41" s="52">
        <f t="shared" si="110"/>
        <v>442.80011287558955</v>
      </c>
      <c r="U41" s="49"/>
      <c r="V41" s="270">
        <f t="shared" si="103"/>
        <v>2.2175635681141146E-2</v>
      </c>
      <c r="W41" s="15">
        <f t="shared" si="104"/>
        <v>-4.9960036108132044E-16</v>
      </c>
    </row>
    <row r="42" spans="1:23">
      <c r="A42" s="292"/>
      <c r="B42" s="84" t="s">
        <v>107</v>
      </c>
      <c r="C42" s="90" t="s">
        <v>215</v>
      </c>
      <c r="D42" s="267">
        <v>38.999699999999997</v>
      </c>
      <c r="E42" s="23">
        <v>12</v>
      </c>
      <c r="F42" s="91">
        <f t="shared" si="111"/>
        <v>467.99639999999999</v>
      </c>
      <c r="G42" s="228">
        <f>References!B27</f>
        <v>175</v>
      </c>
      <c r="H42" s="50">
        <f t="shared" si="93"/>
        <v>81899.37</v>
      </c>
      <c r="I42" s="33">
        <f t="shared" si="94"/>
        <v>49892.594770492382</v>
      </c>
      <c r="J42" s="49">
        <f>(References!$C$49*I42)</f>
        <v>416.82183413664939</v>
      </c>
      <c r="K42" s="49">
        <f>J42/References!$G$52</f>
        <v>427.33425685528948</v>
      </c>
      <c r="L42" s="49">
        <f t="shared" si="95"/>
        <v>0.91311441039992935</v>
      </c>
      <c r="M42" s="239">
        <v>32.89</v>
      </c>
      <c r="N42" s="49">
        <f t="shared" si="96"/>
        <v>33.803114410399928</v>
      </c>
      <c r="O42" s="49">
        <f t="shared" si="97"/>
        <v>15392.401596</v>
      </c>
      <c r="P42" s="49">
        <f t="shared" si="98"/>
        <v>15819.735852855289</v>
      </c>
      <c r="Q42" s="49">
        <f t="shared" si="99"/>
        <v>-427.33425685528891</v>
      </c>
      <c r="R42" s="52">
        <f t="shared" si="100"/>
        <v>33.803114410399928</v>
      </c>
      <c r="S42" s="52">
        <f t="shared" si="101"/>
        <v>15819.735852855289</v>
      </c>
      <c r="T42" s="52">
        <f t="shared" si="102"/>
        <v>427.33425685528891</v>
      </c>
      <c r="U42" s="49"/>
      <c r="V42" s="270">
        <f t="shared" si="103"/>
        <v>2.7762675901487666E-2</v>
      </c>
      <c r="W42" s="15">
        <f t="shared" si="104"/>
        <v>-1.7763568394002505E-15</v>
      </c>
    </row>
    <row r="43" spans="1:23">
      <c r="A43" s="292"/>
      <c r="B43" s="84" t="s">
        <v>107</v>
      </c>
      <c r="C43" s="90" t="s">
        <v>209</v>
      </c>
      <c r="D43" s="267">
        <v>25.9998</v>
      </c>
      <c r="E43" s="23">
        <v>12</v>
      </c>
      <c r="F43" s="91">
        <f t="shared" si="111"/>
        <v>311.99760000000003</v>
      </c>
      <c r="G43" s="228">
        <f>((References!$B$28-References!$B$27)/2)+References!$B$27</f>
        <v>212.5</v>
      </c>
      <c r="H43" s="50">
        <f t="shared" si="93"/>
        <v>66299.490000000005</v>
      </c>
      <c r="I43" s="33">
        <f t="shared" si="94"/>
        <v>40389.243385636699</v>
      </c>
      <c r="J43" s="49">
        <f>(References!$C$49*I43)</f>
        <v>337.42719906300198</v>
      </c>
      <c r="K43" s="49">
        <f>J43/References!$G$52</f>
        <v>345.93725554952016</v>
      </c>
      <c r="L43" s="49">
        <f t="shared" si="95"/>
        <v>1.1087817840570573</v>
      </c>
      <c r="M43" s="239">
        <v>39.479999999999997</v>
      </c>
      <c r="N43" s="49">
        <f t="shared" si="96"/>
        <v>40.588781784057055</v>
      </c>
      <c r="O43" s="49">
        <f t="shared" si="97"/>
        <v>12317.665248000001</v>
      </c>
      <c r="P43" s="49">
        <f t="shared" si="98"/>
        <v>12663.60250354952</v>
      </c>
      <c r="Q43" s="49">
        <f t="shared" si="99"/>
        <v>-345.93725554951925</v>
      </c>
      <c r="R43" s="52">
        <f t="shared" si="100"/>
        <v>40.588781784057055</v>
      </c>
      <c r="S43" s="52">
        <f t="shared" si="101"/>
        <v>12663.60250354952</v>
      </c>
      <c r="T43" s="52">
        <f t="shared" si="102"/>
        <v>345.93725554951925</v>
      </c>
      <c r="U43" s="49"/>
      <c r="V43" s="270">
        <f t="shared" si="103"/>
        <v>2.8084644986247655E-2</v>
      </c>
      <c r="W43" s="15">
        <f t="shared" si="104"/>
        <v>0</v>
      </c>
    </row>
    <row r="44" spans="1:23">
      <c r="A44" s="292"/>
      <c r="B44" s="84" t="s">
        <v>107</v>
      </c>
      <c r="C44" s="90" t="s">
        <v>210</v>
      </c>
      <c r="D44" s="267">
        <v>82.332699999999988</v>
      </c>
      <c r="E44" s="23">
        <v>12</v>
      </c>
      <c r="F44" s="91">
        <f t="shared" si="111"/>
        <v>987.99239999999986</v>
      </c>
      <c r="G44" s="228">
        <f>References!$B$29</f>
        <v>324</v>
      </c>
      <c r="H44" s="50">
        <f t="shared" si="93"/>
        <v>320109.53759999998</v>
      </c>
      <c r="I44" s="33">
        <f t="shared" si="94"/>
        <v>195008.77041723879</v>
      </c>
      <c r="J44" s="49">
        <f>(References!$C$49*I44)</f>
        <v>1629.1779117112469</v>
      </c>
      <c r="K44" s="49">
        <f>J44/References!$G$52</f>
        <v>1670.2664667943889</v>
      </c>
      <c r="L44" s="49">
        <f t="shared" si="95"/>
        <v>1.690566108397584</v>
      </c>
      <c r="M44" s="239">
        <v>61.42</v>
      </c>
      <c r="N44" s="49">
        <f t="shared" si="96"/>
        <v>63.110566108397585</v>
      </c>
      <c r="O44" s="49">
        <f t="shared" si="97"/>
        <v>60682.493207999993</v>
      </c>
      <c r="P44" s="49">
        <f t="shared" si="98"/>
        <v>62352.759674794383</v>
      </c>
      <c r="Q44" s="49">
        <f t="shared" si="99"/>
        <v>-1670.26646679439</v>
      </c>
      <c r="R44" s="52">
        <f t="shared" si="100"/>
        <v>63.110566108397585</v>
      </c>
      <c r="S44" s="52">
        <f t="shared" si="101"/>
        <v>62352.759674794383</v>
      </c>
      <c r="T44" s="52">
        <f t="shared" si="102"/>
        <v>1670.26646679439</v>
      </c>
      <c r="U44" s="49"/>
      <c r="V44" s="270">
        <f t="shared" si="103"/>
        <v>2.7524684278697233E-2</v>
      </c>
      <c r="W44" s="15">
        <f t="shared" si="104"/>
        <v>0</v>
      </c>
    </row>
    <row r="45" spans="1:23">
      <c r="A45" s="292"/>
      <c r="B45" s="84" t="s">
        <v>107</v>
      </c>
      <c r="C45" s="90" t="s">
        <v>211</v>
      </c>
      <c r="D45" s="267">
        <v>99.665900000000022</v>
      </c>
      <c r="E45" s="23">
        <v>12</v>
      </c>
      <c r="F45" s="91">
        <f t="shared" si="111"/>
        <v>1195.9908000000003</v>
      </c>
      <c r="G45" s="228">
        <f>References!$B$30</f>
        <v>473</v>
      </c>
      <c r="H45" s="50">
        <f t="shared" si="93"/>
        <v>565703.64840000018</v>
      </c>
      <c r="I45" s="33">
        <f t="shared" si="94"/>
        <v>344623.19905281707</v>
      </c>
      <c r="J45" s="49">
        <f>(References!$C$49*I45)</f>
        <v>2879.1141165540389</v>
      </c>
      <c r="K45" s="49">
        <f>J45/References!$G$52</f>
        <v>2951.726590684887</v>
      </c>
      <c r="L45" s="49">
        <f t="shared" si="95"/>
        <v>2.4680178063952383</v>
      </c>
      <c r="M45" s="239">
        <v>90.69</v>
      </c>
      <c r="N45" s="49">
        <f t="shared" si="96"/>
        <v>93.158017806395236</v>
      </c>
      <c r="O45" s="49">
        <f t="shared" si="97"/>
        <v>108464.40565200002</v>
      </c>
      <c r="P45" s="49">
        <f t="shared" si="98"/>
        <v>111416.13224268491</v>
      </c>
      <c r="Q45" s="49">
        <f t="shared" si="99"/>
        <v>-2951.7265906848916</v>
      </c>
      <c r="R45" s="52">
        <f t="shared" si="100"/>
        <v>93.158017806395236</v>
      </c>
      <c r="S45" s="52">
        <f t="shared" si="101"/>
        <v>111416.13224268491</v>
      </c>
      <c r="T45" s="52">
        <f t="shared" si="102"/>
        <v>2951.7265906848916</v>
      </c>
      <c r="U45" s="49"/>
      <c r="V45" s="270">
        <f t="shared" si="103"/>
        <v>2.7213781082757064E-2</v>
      </c>
      <c r="W45" s="15">
        <f t="shared" si="104"/>
        <v>0</v>
      </c>
    </row>
    <row r="46" spans="1:23">
      <c r="A46" s="292"/>
      <c r="B46" s="84" t="s">
        <v>107</v>
      </c>
      <c r="C46" s="90" t="s">
        <v>212</v>
      </c>
      <c r="D46" s="267">
        <v>168.99870000000001</v>
      </c>
      <c r="E46" s="23">
        <v>12</v>
      </c>
      <c r="F46" s="91">
        <f t="shared" si="111"/>
        <v>2027.9844000000003</v>
      </c>
      <c r="G46" s="228">
        <f>References!$B$31</f>
        <v>613</v>
      </c>
      <c r="H46" s="50">
        <f t="shared" si="93"/>
        <v>1243154.4372000003</v>
      </c>
      <c r="I46" s="33">
        <f t="shared" si="94"/>
        <v>757322.07185915031</v>
      </c>
      <c r="J46" s="49">
        <f>(References!$C$49*I46)</f>
        <v>6326.9584690189722</v>
      </c>
      <c r="K46" s="49">
        <f>J46/References!$G$52</f>
        <v>6486.5270340567686</v>
      </c>
      <c r="L46" s="49">
        <f t="shared" si="95"/>
        <v>3.1985093347151823</v>
      </c>
      <c r="M46" s="239">
        <v>117.52</v>
      </c>
      <c r="N46" s="49">
        <f t="shared" si="96"/>
        <v>120.71850933471518</v>
      </c>
      <c r="O46" s="49">
        <f t="shared" si="97"/>
        <v>238328.72668800002</v>
      </c>
      <c r="P46" s="49">
        <f t="shared" si="98"/>
        <v>244815.2537220568</v>
      </c>
      <c r="Q46" s="49">
        <f t="shared" si="99"/>
        <v>-6486.5270340567804</v>
      </c>
      <c r="R46" s="52">
        <f t="shared" si="100"/>
        <v>120.71850933471518</v>
      </c>
      <c r="S46" s="52">
        <f t="shared" si="101"/>
        <v>244815.2537220568</v>
      </c>
      <c r="T46" s="52">
        <f t="shared" si="102"/>
        <v>6486.5270340567804</v>
      </c>
      <c r="U46" s="49"/>
      <c r="V46" s="270">
        <f t="shared" si="103"/>
        <v>2.7216723406357918E-2</v>
      </c>
      <c r="W46" s="15">
        <f t="shared" si="104"/>
        <v>0</v>
      </c>
    </row>
    <row r="47" spans="1:23">
      <c r="A47" s="292"/>
      <c r="B47" s="84" t="s">
        <v>107</v>
      </c>
      <c r="C47" s="90" t="s">
        <v>213</v>
      </c>
      <c r="D47" s="267">
        <v>56.332900000000002</v>
      </c>
      <c r="E47" s="23">
        <v>12</v>
      </c>
      <c r="F47" s="91">
        <f t="shared" si="111"/>
        <v>675.99480000000005</v>
      </c>
      <c r="G47" s="228">
        <f>References!$B$32</f>
        <v>840</v>
      </c>
      <c r="H47" s="50">
        <f t="shared" ref="H47:H48" si="112">G47*F47</f>
        <v>567835.6320000001</v>
      </c>
      <c r="I47" s="33">
        <f t="shared" si="94"/>
        <v>345921.99040874728</v>
      </c>
      <c r="J47" s="49">
        <f>(References!$C$49*I47)</f>
        <v>2889.9647166807699</v>
      </c>
      <c r="K47" s="49">
        <f>J47/References!$G$52</f>
        <v>2962.8508475300082</v>
      </c>
      <c r="L47" s="49">
        <f t="shared" si="95"/>
        <v>4.3829491699196623</v>
      </c>
      <c r="M47" s="239">
        <v>174.38</v>
      </c>
      <c r="N47" s="49">
        <f t="shared" ref="N47:N48" si="113">L47+M47</f>
        <v>178.76294916991966</v>
      </c>
      <c r="O47" s="49">
        <f t="shared" si="97"/>
        <v>117879.973224</v>
      </c>
      <c r="P47" s="49">
        <f t="shared" si="98"/>
        <v>120842.82407153002</v>
      </c>
      <c r="Q47" s="49">
        <f t="shared" si="99"/>
        <v>-2962.8508475300187</v>
      </c>
      <c r="R47" s="52">
        <f t="shared" si="100"/>
        <v>178.76294916991966</v>
      </c>
      <c r="S47" s="52">
        <f t="shared" si="101"/>
        <v>120842.82407153002</v>
      </c>
      <c r="T47" s="52">
        <f t="shared" si="102"/>
        <v>2962.8508475300187</v>
      </c>
      <c r="U47" s="49"/>
      <c r="V47" s="270">
        <f t="shared" si="103"/>
        <v>2.5134471670602492E-2</v>
      </c>
      <c r="W47" s="15">
        <f t="shared" si="104"/>
        <v>7.1054273576010019E-15</v>
      </c>
    </row>
    <row r="48" spans="1:23">
      <c r="A48" s="292"/>
      <c r="B48" s="84" t="s">
        <v>107</v>
      </c>
      <c r="C48" s="90" t="s">
        <v>214</v>
      </c>
      <c r="D48" s="267">
        <v>21.666499999999999</v>
      </c>
      <c r="E48" s="23">
        <v>12</v>
      </c>
      <c r="F48" s="91">
        <f t="shared" si="111"/>
        <v>259.99799999999999</v>
      </c>
      <c r="G48" s="228">
        <f>References!$B$33</f>
        <v>980</v>
      </c>
      <c r="H48" s="50">
        <f t="shared" si="112"/>
        <v>254798.03999999998</v>
      </c>
      <c r="I48" s="33">
        <f t="shared" si="94"/>
        <v>155221.40595264296</v>
      </c>
      <c r="J48" s="49">
        <f>(References!$C$49*I48)</f>
        <v>1296.7790395362426</v>
      </c>
      <c r="K48" s="49">
        <f>J48/References!$G$52</f>
        <v>1329.4843546609006</v>
      </c>
      <c r="L48" s="49">
        <f t="shared" si="95"/>
        <v>5.1134406982396046</v>
      </c>
      <c r="M48" s="239">
        <v>226.29</v>
      </c>
      <c r="N48" s="49">
        <f t="shared" si="113"/>
        <v>231.40344069823959</v>
      </c>
      <c r="O48" s="49">
        <f t="shared" si="97"/>
        <v>58834.947419999997</v>
      </c>
      <c r="P48" s="49">
        <f t="shared" si="98"/>
        <v>60164.431774660894</v>
      </c>
      <c r="Q48" s="49">
        <f t="shared" si="99"/>
        <v>-1329.4843546608972</v>
      </c>
      <c r="R48" s="52">
        <f t="shared" si="100"/>
        <v>231.40344069823959</v>
      </c>
      <c r="S48" s="52">
        <f t="shared" si="101"/>
        <v>60164.431774660894</v>
      </c>
      <c r="T48" s="52">
        <f t="shared" si="102"/>
        <v>1329.4843546608972</v>
      </c>
      <c r="U48" s="49"/>
      <c r="V48" s="270">
        <f t="shared" si="103"/>
        <v>2.259684784232447E-2</v>
      </c>
      <c r="W48" s="15">
        <f t="shared" si="104"/>
        <v>0</v>
      </c>
    </row>
    <row r="49" spans="1:23">
      <c r="A49" s="103"/>
      <c r="B49" s="94" t="s">
        <v>125</v>
      </c>
      <c r="C49" s="90" t="s">
        <v>222</v>
      </c>
      <c r="D49" s="267">
        <v>9</v>
      </c>
      <c r="E49" s="23">
        <v>1</v>
      </c>
      <c r="F49" s="86">
        <f>D49*E49*12</f>
        <v>108</v>
      </c>
      <c r="G49" s="229">
        <f>References!$B$37</f>
        <v>1301</v>
      </c>
      <c r="H49" s="50">
        <f>G49*F49</f>
        <v>140508</v>
      </c>
      <c r="I49" s="33">
        <f t="shared" si="94"/>
        <v>85596.613331852786</v>
      </c>
      <c r="J49" s="49">
        <f>(References!$C$49*I49)</f>
        <v>715.10687165081174</v>
      </c>
      <c r="K49" s="49">
        <f>J49/References!$G$52</f>
        <v>733.14216900841882</v>
      </c>
      <c r="L49" s="49">
        <f t="shared" si="95"/>
        <v>6.7883534167446191</v>
      </c>
      <c r="M49" s="240">
        <v>306.54000000000002</v>
      </c>
      <c r="N49" s="49">
        <f>L49+M49</f>
        <v>313.32835341674462</v>
      </c>
      <c r="O49" s="49">
        <f t="shared" ref="O49" si="114">M49*F49</f>
        <v>33106.32</v>
      </c>
      <c r="P49" s="49">
        <f t="shared" ref="P49" si="115">N49*F49</f>
        <v>33839.462169008417</v>
      </c>
      <c r="Q49" s="49">
        <f t="shared" ref="Q49" si="116">O49-P49</f>
        <v>-733.14216900841711</v>
      </c>
      <c r="R49" s="52">
        <f t="shared" ref="R49" si="117">N49</f>
        <v>313.32835341674462</v>
      </c>
      <c r="S49" s="52">
        <f t="shared" ref="S49" si="118">R49*F49</f>
        <v>33839.462169008417</v>
      </c>
      <c r="T49" s="52">
        <f t="shared" ref="T49" si="119">S49-O49</f>
        <v>733.14216900841711</v>
      </c>
      <c r="U49" s="49"/>
      <c r="V49" s="270">
        <f>L49/M49</f>
        <v>2.2145081936271346E-2</v>
      </c>
      <c r="W49" s="49">
        <f>N49-M49-L49</f>
        <v>-2.042810365310288E-14</v>
      </c>
    </row>
    <row r="50" spans="1:23">
      <c r="A50" s="45"/>
      <c r="B50" s="34"/>
      <c r="C50" s="90"/>
      <c r="D50" s="24"/>
      <c r="E50" s="23"/>
      <c r="F50" s="91"/>
      <c r="G50" s="87"/>
      <c r="H50" s="50"/>
      <c r="I50" s="33"/>
      <c r="J50" s="49"/>
      <c r="K50" s="49"/>
      <c r="L50" s="49"/>
      <c r="M50" s="49"/>
      <c r="N50" s="49"/>
      <c r="O50" s="49"/>
      <c r="P50" s="49"/>
      <c r="Q50" s="49"/>
      <c r="R50" s="52"/>
      <c r="S50" s="52"/>
      <c r="T50" s="52"/>
      <c r="U50" s="49"/>
    </row>
    <row r="51" spans="1:23">
      <c r="A51" s="35"/>
      <c r="B51" s="17"/>
      <c r="C51" s="36" t="s">
        <v>16</v>
      </c>
      <c r="D51" s="37">
        <f>SUM(D39:D50)</f>
        <v>736.99450000000002</v>
      </c>
      <c r="E51" s="37"/>
      <c r="F51" s="37">
        <f>SUM(F39:F50)</f>
        <v>8843.9340000000011</v>
      </c>
      <c r="G51" s="77"/>
      <c r="H51" s="37">
        <f>SUM(H39:H50)</f>
        <v>3378887.1708000004</v>
      </c>
      <c r="I51" s="37">
        <f>SUM(I39:I50)</f>
        <v>2058397.3770242666</v>
      </c>
      <c r="J51" s="54"/>
      <c r="K51" s="54"/>
      <c r="L51" s="54"/>
      <c r="M51" s="54"/>
      <c r="N51" s="54"/>
      <c r="O51" s="92">
        <f>SUM(O39:O50)</f>
        <v>675702.83611199993</v>
      </c>
      <c r="P51" s="92">
        <f>SUM(P39:P50)</f>
        <v>693333.1822078455</v>
      </c>
      <c r="Q51" s="92">
        <f>SUM(Q39:Q50)</f>
        <v>-17630.346095845325</v>
      </c>
      <c r="R51" s="92"/>
      <c r="S51" s="92">
        <f>SUM(S39:S50)</f>
        <v>693333.1822078455</v>
      </c>
      <c r="T51" s="92">
        <f>SUM(T39:T50)</f>
        <v>17630.346095845325</v>
      </c>
      <c r="U51" s="275"/>
    </row>
    <row r="52" spans="1:23">
      <c r="C52" s="46" t="s">
        <v>3</v>
      </c>
      <c r="D52" s="47">
        <f>D13+D38+D51</f>
        <v>13444.733800000004</v>
      </c>
      <c r="E52" s="47"/>
      <c r="F52" s="47">
        <f>F13+F38+F51</f>
        <v>609994.13893333345</v>
      </c>
      <c r="G52" s="78"/>
      <c r="H52" s="47">
        <f>H13+H38+H51</f>
        <v>32177073.86720001</v>
      </c>
      <c r="I52" s="47">
        <f>I13+I38+I51</f>
        <v>19602076.39395041</v>
      </c>
      <c r="J52" s="49"/>
      <c r="K52" s="56"/>
      <c r="L52" s="56"/>
      <c r="M52" s="56"/>
      <c r="N52" s="56"/>
      <c r="O52" s="47">
        <f>O13+O38+O51</f>
        <v>4777973.6727352142</v>
      </c>
      <c r="P52" s="47">
        <f>P13+P38+P51</f>
        <v>4945867.1003503185</v>
      </c>
      <c r="Q52" s="47">
        <f>Q13+Q38+Q51</f>
        <v>-167893.4276151048</v>
      </c>
      <c r="R52" s="47"/>
      <c r="S52" s="47">
        <f>S13+S38+S51</f>
        <v>4945867.1003503185</v>
      </c>
      <c r="T52" s="47">
        <f>T13+T38+T51</f>
        <v>167893.4276151048</v>
      </c>
      <c r="U52" s="276"/>
    </row>
    <row r="53" spans="1:23">
      <c r="J53" s="40"/>
      <c r="P53" s="43"/>
      <c r="T53" s="22">
        <f>T52/O52</f>
        <v>3.5139044104232575E-2</v>
      </c>
      <c r="U53" s="271"/>
    </row>
    <row r="54" spans="1:23">
      <c r="J54" s="40"/>
      <c r="P54" s="43"/>
    </row>
    <row r="55" spans="1:23">
      <c r="A55" s="95"/>
      <c r="B55" s="96"/>
      <c r="C55" s="97" t="s">
        <v>123</v>
      </c>
      <c r="D55" s="98"/>
      <c r="E55" s="99"/>
      <c r="F55" s="99"/>
      <c r="G55" s="100"/>
      <c r="H55" s="99"/>
      <c r="I55" s="101"/>
      <c r="J55" s="102"/>
      <c r="K55" s="99"/>
      <c r="L55" s="99"/>
      <c r="M55" s="99"/>
      <c r="N55" s="272"/>
      <c r="V55" s="273"/>
      <c r="W55" s="273"/>
    </row>
    <row r="56" spans="1:23" ht="14.5" customHeight="1">
      <c r="A56" s="103"/>
      <c r="B56" s="94" t="s">
        <v>115</v>
      </c>
      <c r="C56" s="90" t="s">
        <v>109</v>
      </c>
      <c r="D56" s="85">
        <v>1</v>
      </c>
      <c r="E56" s="23">
        <f>References!$B$7</f>
        <v>4.333333333333333</v>
      </c>
      <c r="F56" s="86">
        <f>D56*E56*12</f>
        <v>52</v>
      </c>
      <c r="G56" s="229">
        <f>References!B18</f>
        <v>117</v>
      </c>
      <c r="H56" s="50">
        <f>G56*F56</f>
        <v>6084</v>
      </c>
      <c r="I56" s="33">
        <f t="shared" ref="I56:I64" si="120">$D$125*H56</f>
        <v>3706.3355503671846</v>
      </c>
      <c r="J56" s="49">
        <f>(References!$C$49*I56)</f>
        <v>30.964145864459951</v>
      </c>
      <c r="K56" s="49">
        <f>J56/References!$G$52</f>
        <v>31.745074702132406</v>
      </c>
      <c r="L56" s="49">
        <f t="shared" ref="L56:L77" si="121">IFERROR(K56/F56*E56,0)</f>
        <v>2.6454228918443672</v>
      </c>
      <c r="M56" s="240">
        <v>76.22</v>
      </c>
      <c r="N56" s="49">
        <f>L56+M56</f>
        <v>78.865422891844361</v>
      </c>
      <c r="O56" t="s">
        <v>251</v>
      </c>
      <c r="R56" s="49"/>
      <c r="S56" s="49"/>
      <c r="T56" s="49"/>
      <c r="U56" s="49"/>
      <c r="V56" s="271">
        <f t="shared" ref="V56:V64" si="122">L56/M56</f>
        <v>3.4707726211550341E-2</v>
      </c>
      <c r="W56" s="49">
        <f t="shared" ref="W56:W64" si="123">N56-M56-L56</f>
        <v>-5.3290705182007514E-15</v>
      </c>
    </row>
    <row r="57" spans="1:23" ht="14.5" customHeight="1">
      <c r="A57" s="103"/>
      <c r="B57" s="94" t="s">
        <v>115</v>
      </c>
      <c r="C57" s="90" t="s">
        <v>112</v>
      </c>
      <c r="D57" s="85">
        <v>1</v>
      </c>
      <c r="E57" s="23">
        <f>References!$B$7</f>
        <v>4.333333333333333</v>
      </c>
      <c r="F57" s="86">
        <f>D57*E57*12</f>
        <v>52</v>
      </c>
      <c r="G57" s="229">
        <f>References!B14</f>
        <v>34</v>
      </c>
      <c r="H57" s="50">
        <f>G57*F57</f>
        <v>1768</v>
      </c>
      <c r="I57" s="33">
        <f t="shared" si="120"/>
        <v>1077.0547753203784</v>
      </c>
      <c r="J57" s="49">
        <f>(References!$C$49*I57)</f>
        <v>8.9981278580481909</v>
      </c>
      <c r="K57" s="49">
        <f>J57/References!$G$52</f>
        <v>9.2250644433547162</v>
      </c>
      <c r="L57" s="49">
        <f t="shared" si="121"/>
        <v>0.76875537027955965</v>
      </c>
      <c r="M57" s="240">
        <v>18.54</v>
      </c>
      <c r="N57" s="49">
        <f>L57+M57</f>
        <v>19.30875537027956</v>
      </c>
      <c r="O57" t="s">
        <v>251</v>
      </c>
      <c r="R57" s="49"/>
      <c r="S57" s="49"/>
      <c r="T57" s="49"/>
      <c r="U57" s="49"/>
      <c r="V57" s="271">
        <f t="shared" si="122"/>
        <v>4.146469095359006E-2</v>
      </c>
      <c r="W57" s="49">
        <f t="shared" si="123"/>
        <v>0</v>
      </c>
    </row>
    <row r="58" spans="1:23">
      <c r="A58" s="103"/>
      <c r="B58" s="94" t="s">
        <v>115</v>
      </c>
      <c r="C58" s="90" t="s">
        <v>110</v>
      </c>
      <c r="D58" s="85">
        <v>1</v>
      </c>
      <c r="E58" s="23">
        <f>References!$B$7</f>
        <v>4.333333333333333</v>
      </c>
      <c r="F58" s="86">
        <f>D58*E58*12</f>
        <v>52</v>
      </c>
      <c r="G58" s="229">
        <f>References!$B$21</f>
        <v>47</v>
      </c>
      <c r="H58" s="50">
        <f t="shared" ref="H58:H97" si="124">G58*F58</f>
        <v>2444</v>
      </c>
      <c r="I58" s="33">
        <f t="shared" si="120"/>
        <v>1488.8698364722877</v>
      </c>
      <c r="J58" s="49">
        <f>(References!$C$49*I58)</f>
        <v>12.438588509654851</v>
      </c>
      <c r="K58" s="49">
        <f>J58/References!$G$52</f>
        <v>12.752294965813872</v>
      </c>
      <c r="L58" s="49">
        <f t="shared" si="121"/>
        <v>1.062691247151156</v>
      </c>
      <c r="M58" s="240">
        <v>30.85</v>
      </c>
      <c r="N58" s="49">
        <f t="shared" ref="N58:N59" si="125">L58+M58</f>
        <v>31.912691247151159</v>
      </c>
      <c r="O58" t="s">
        <v>251</v>
      </c>
      <c r="R58" s="49"/>
      <c r="S58" s="49"/>
      <c r="T58" s="49"/>
      <c r="U58" s="49"/>
      <c r="V58" s="271">
        <f t="shared" si="122"/>
        <v>3.4447042047039092E-2</v>
      </c>
      <c r="W58" s="49">
        <f t="shared" si="123"/>
        <v>0</v>
      </c>
    </row>
    <row r="59" spans="1:23">
      <c r="A59" s="103"/>
      <c r="B59" s="94" t="s">
        <v>115</v>
      </c>
      <c r="C59" s="90" t="s">
        <v>111</v>
      </c>
      <c r="D59" s="85">
        <v>1</v>
      </c>
      <c r="E59" s="23">
        <f>References!$B$7</f>
        <v>4.333333333333333</v>
      </c>
      <c r="F59" s="86">
        <f t="shared" ref="F59" si="126">D59*E59*12</f>
        <v>52</v>
      </c>
      <c r="G59" s="229">
        <f>References!$B$22</f>
        <v>68</v>
      </c>
      <c r="H59" s="50">
        <f t="shared" si="124"/>
        <v>3536</v>
      </c>
      <c r="I59" s="33">
        <f t="shared" si="120"/>
        <v>2154.1095506407569</v>
      </c>
      <c r="J59" s="49">
        <f>(References!$C$49*I59)</f>
        <v>17.996255716096382</v>
      </c>
      <c r="K59" s="49">
        <f>J59/References!$G$52</f>
        <v>18.450128886709432</v>
      </c>
      <c r="L59" s="49">
        <f t="shared" si="121"/>
        <v>1.5375107405591193</v>
      </c>
      <c r="M59" s="240">
        <v>44.65</v>
      </c>
      <c r="N59" s="49">
        <f t="shared" si="125"/>
        <v>46.187510740559119</v>
      </c>
      <c r="O59" t="s">
        <v>251</v>
      </c>
      <c r="R59" s="49"/>
      <c r="S59" s="49"/>
      <c r="T59" s="49"/>
      <c r="U59" s="49"/>
      <c r="V59" s="271">
        <f t="shared" si="122"/>
        <v>3.4434731031559224E-2</v>
      </c>
      <c r="W59" s="49">
        <f t="shared" si="123"/>
        <v>0</v>
      </c>
    </row>
    <row r="60" spans="1:23">
      <c r="A60" s="103"/>
      <c r="B60" s="94" t="s">
        <v>113</v>
      </c>
      <c r="C60" s="90" t="s">
        <v>114</v>
      </c>
      <c r="D60" s="85">
        <v>1</v>
      </c>
      <c r="E60" s="23">
        <v>1</v>
      </c>
      <c r="F60" s="86">
        <f>D60*E60*12</f>
        <v>12</v>
      </c>
      <c r="G60" s="229">
        <f>References!B24</f>
        <v>34</v>
      </c>
      <c r="H60" s="50">
        <f>G60*F60</f>
        <v>408</v>
      </c>
      <c r="I60" s="33">
        <f t="shared" si="120"/>
        <v>248.55110199701039</v>
      </c>
      <c r="J60" s="49">
        <f>(References!$C$49*I60)</f>
        <v>2.0764910441649671</v>
      </c>
      <c r="K60" s="49">
        <f>J60/References!$G$52</f>
        <v>2.1288610253895501</v>
      </c>
      <c r="L60" s="49">
        <f t="shared" si="121"/>
        <v>0.17740508544912917</v>
      </c>
      <c r="M60" s="240">
        <v>5.49</v>
      </c>
      <c r="N60" s="49">
        <f>L60+M60</f>
        <v>5.6674050854491291</v>
      </c>
      <c r="O60" t="s">
        <v>251</v>
      </c>
      <c r="R60" s="49"/>
      <c r="S60" s="49"/>
      <c r="T60" s="49"/>
      <c r="U60" s="49"/>
      <c r="V60" s="271">
        <f t="shared" si="122"/>
        <v>3.2314223214777622E-2</v>
      </c>
      <c r="W60" s="49">
        <f t="shared" si="123"/>
        <v>-2.4980018054066022E-16</v>
      </c>
    </row>
    <row r="61" spans="1:23">
      <c r="A61" s="103"/>
      <c r="B61" s="94" t="s">
        <v>113</v>
      </c>
      <c r="C61" s="90" t="s">
        <v>228</v>
      </c>
      <c r="D61" s="85">
        <v>1</v>
      </c>
      <c r="E61" s="23">
        <v>1</v>
      </c>
      <c r="F61" s="86">
        <f>D61*E61*12</f>
        <v>12</v>
      </c>
      <c r="G61" s="229">
        <f>References!B24</f>
        <v>34</v>
      </c>
      <c r="H61" s="50">
        <f t="shared" ref="H61:H64" si="127">G61*F61</f>
        <v>408</v>
      </c>
      <c r="I61" s="33">
        <f t="shared" si="120"/>
        <v>248.55110199701039</v>
      </c>
      <c r="J61" s="49">
        <f>(References!$C$49*I61)</f>
        <v>2.0764910441649671</v>
      </c>
      <c r="K61" s="49">
        <f>J61/References!$G$52</f>
        <v>2.1288610253895501</v>
      </c>
      <c r="L61" s="49">
        <f t="shared" ref="L61:L64" si="128">IFERROR(K61/F61*E61,0)</f>
        <v>0.17740508544912917</v>
      </c>
      <c r="M61" s="240">
        <v>5.49</v>
      </c>
      <c r="N61" s="49">
        <f t="shared" ref="N61:N64" si="129">L61+M61</f>
        <v>5.6674050854491291</v>
      </c>
      <c r="O61" t="s">
        <v>251</v>
      </c>
      <c r="R61" s="49"/>
      <c r="S61" s="49"/>
      <c r="T61" s="49"/>
      <c r="U61" s="49"/>
      <c r="V61" s="271">
        <f t="shared" si="122"/>
        <v>3.2314223214777622E-2</v>
      </c>
      <c r="W61" s="49">
        <f t="shared" si="123"/>
        <v>-2.4980018054066022E-16</v>
      </c>
    </row>
    <row r="62" spans="1:23">
      <c r="A62" s="103"/>
      <c r="B62" s="94" t="s">
        <v>116</v>
      </c>
      <c r="C62" s="90" t="s">
        <v>109</v>
      </c>
      <c r="D62" s="85">
        <v>1</v>
      </c>
      <c r="E62" s="23">
        <f>References!$B$7</f>
        <v>4.333333333333333</v>
      </c>
      <c r="F62" s="86">
        <f t="shared" ref="F62" si="130">D62*E62*12</f>
        <v>52</v>
      </c>
      <c r="G62" s="229">
        <f>References!B18</f>
        <v>117</v>
      </c>
      <c r="H62" s="50">
        <f>G62*F62</f>
        <v>6084</v>
      </c>
      <c r="I62" s="33">
        <f t="shared" si="120"/>
        <v>3706.3355503671846</v>
      </c>
      <c r="J62" s="49">
        <f>(References!$C$49*I62)</f>
        <v>30.964145864459951</v>
      </c>
      <c r="K62" s="49">
        <f>J62/References!$G$52</f>
        <v>31.745074702132406</v>
      </c>
      <c r="L62" s="49">
        <f t="shared" si="128"/>
        <v>2.6454228918443672</v>
      </c>
      <c r="M62" s="240">
        <v>76.22</v>
      </c>
      <c r="N62" s="49">
        <f t="shared" si="129"/>
        <v>78.865422891844361</v>
      </c>
      <c r="O62" t="s">
        <v>251</v>
      </c>
      <c r="R62" s="49"/>
      <c r="S62" s="49"/>
      <c r="T62" s="49"/>
      <c r="U62" s="49"/>
      <c r="V62" s="271">
        <f t="shared" si="122"/>
        <v>3.4707726211550341E-2</v>
      </c>
      <c r="W62" s="49">
        <f t="shared" si="123"/>
        <v>-5.3290705182007514E-15</v>
      </c>
    </row>
    <row r="63" spans="1:23">
      <c r="A63" s="103"/>
      <c r="B63" s="94" t="s">
        <v>117</v>
      </c>
      <c r="C63" s="90" t="s">
        <v>114</v>
      </c>
      <c r="D63" s="85">
        <v>1</v>
      </c>
      <c r="E63" s="23">
        <v>1</v>
      </c>
      <c r="F63" s="86">
        <f>D63*E63*12</f>
        <v>12</v>
      </c>
      <c r="G63" s="229">
        <f>References!B24</f>
        <v>34</v>
      </c>
      <c r="H63" s="50">
        <f t="shared" si="127"/>
        <v>408</v>
      </c>
      <c r="I63" s="33">
        <f t="shared" si="120"/>
        <v>248.55110199701039</v>
      </c>
      <c r="J63" s="49">
        <f>(References!$C$49*I63)</f>
        <v>2.0764910441649671</v>
      </c>
      <c r="K63" s="49">
        <f>J63/References!$G$52</f>
        <v>2.1288610253895501</v>
      </c>
      <c r="L63" s="49">
        <f t="shared" si="128"/>
        <v>0.17740508544912917</v>
      </c>
      <c r="M63" s="240">
        <v>5.49</v>
      </c>
      <c r="N63" s="49">
        <f t="shared" si="129"/>
        <v>5.6674050854491291</v>
      </c>
      <c r="O63" t="s">
        <v>251</v>
      </c>
      <c r="R63" s="49"/>
      <c r="S63" s="49"/>
      <c r="T63" s="49"/>
      <c r="U63" s="49"/>
      <c r="V63" s="271">
        <f t="shared" si="122"/>
        <v>3.2314223214777622E-2</v>
      </c>
      <c r="W63" s="49">
        <f t="shared" si="123"/>
        <v>-2.4980018054066022E-16</v>
      </c>
    </row>
    <row r="64" spans="1:23">
      <c r="A64" s="103"/>
      <c r="B64" s="94" t="s">
        <v>117</v>
      </c>
      <c r="C64" s="90" t="s">
        <v>228</v>
      </c>
      <c r="D64" s="85">
        <v>1</v>
      </c>
      <c r="E64" s="23">
        <v>1</v>
      </c>
      <c r="F64" s="86">
        <f>D64*E64*12</f>
        <v>12</v>
      </c>
      <c r="G64" s="229">
        <f>References!B24</f>
        <v>34</v>
      </c>
      <c r="H64" s="50">
        <f t="shared" si="127"/>
        <v>408</v>
      </c>
      <c r="I64" s="33">
        <f t="shared" si="120"/>
        <v>248.55110199701039</v>
      </c>
      <c r="J64" s="49">
        <f>(References!$C$49*I64)</f>
        <v>2.0764910441649671</v>
      </c>
      <c r="K64" s="49">
        <f>J64/References!$G$52</f>
        <v>2.1288610253895501</v>
      </c>
      <c r="L64" s="49">
        <f t="shared" si="128"/>
        <v>0.17740508544912917</v>
      </c>
      <c r="M64" s="240">
        <v>5.49</v>
      </c>
      <c r="N64" s="49">
        <f t="shared" si="129"/>
        <v>5.6674050854491291</v>
      </c>
      <c r="O64" t="s">
        <v>251</v>
      </c>
      <c r="R64" s="49"/>
      <c r="S64" s="49"/>
      <c r="T64" s="49"/>
      <c r="U64" s="49"/>
      <c r="V64" s="271">
        <f t="shared" si="122"/>
        <v>3.2314223214777622E-2</v>
      </c>
      <c r="W64" s="49">
        <f t="shared" si="123"/>
        <v>-2.4980018054066022E-16</v>
      </c>
    </row>
    <row r="65" spans="1:23" ht="43.5">
      <c r="A65" s="103"/>
      <c r="B65" s="118" t="s">
        <v>128</v>
      </c>
      <c r="C65" s="90"/>
      <c r="D65" s="85"/>
      <c r="E65" s="23"/>
      <c r="F65" s="86"/>
      <c r="G65" s="104"/>
      <c r="H65" s="50"/>
      <c r="I65" s="33"/>
      <c r="J65" s="49"/>
      <c r="K65" s="49"/>
      <c r="L65" s="49"/>
      <c r="M65" s="262"/>
      <c r="N65" s="49"/>
      <c r="O65" s="49"/>
      <c r="S65" s="49"/>
      <c r="T65" s="49"/>
      <c r="U65" s="49"/>
      <c r="V65" s="273"/>
      <c r="W65" s="273"/>
    </row>
    <row r="66" spans="1:23">
      <c r="A66" s="103"/>
      <c r="B66" s="230" t="s">
        <v>116</v>
      </c>
      <c r="C66" s="231" t="s">
        <v>186</v>
      </c>
      <c r="D66" s="267">
        <v>403</v>
      </c>
      <c r="E66" s="232">
        <f>References!$B$7</f>
        <v>4.333333333333333</v>
      </c>
      <c r="F66" s="233">
        <f>D66*E66*12</f>
        <v>20956</v>
      </c>
      <c r="G66" s="234">
        <f>References!B13</f>
        <v>20</v>
      </c>
      <c r="H66" s="235">
        <f t="shared" ref="H66:H77" si="131">G66*F66</f>
        <v>419120</v>
      </c>
      <c r="I66" s="236">
        <f t="shared" ref="I66:I97" si="132">$D$125*H66</f>
        <v>255325.33791418382</v>
      </c>
      <c r="J66" s="237">
        <f>(References!$C$49*I66)</f>
        <v>2133.08560399613</v>
      </c>
      <c r="K66" s="237">
        <f>J66/References!$G$52</f>
        <v>2186.882923924677</v>
      </c>
      <c r="L66" s="237">
        <f t="shared" si="121"/>
        <v>0.45220904134091749</v>
      </c>
      <c r="M66" s="279">
        <v>11.47</v>
      </c>
      <c r="N66" s="237">
        <f t="shared" ref="N66:N77" si="133">L66+M66</f>
        <v>11.922209041340919</v>
      </c>
      <c r="O66" s="237" t="s">
        <v>230</v>
      </c>
      <c r="S66" s="49"/>
      <c r="T66" s="49"/>
      <c r="U66" s="49"/>
      <c r="V66" s="271">
        <f t="shared" ref="V66:V96" si="134">L66/M66</f>
        <v>3.942537413608696E-2</v>
      </c>
      <c r="W66" s="49">
        <f t="shared" ref="W66:W96" si="135">N66-M66-L66</f>
        <v>6.106226635438361E-16</v>
      </c>
    </row>
    <row r="67" spans="1:23">
      <c r="A67" s="103"/>
      <c r="B67" s="230" t="s">
        <v>116</v>
      </c>
      <c r="C67" s="231" t="s">
        <v>98</v>
      </c>
      <c r="D67" s="267">
        <v>1301.5833333333333</v>
      </c>
      <c r="E67" s="232">
        <f>References!$B$7</f>
        <v>4.333333333333333</v>
      </c>
      <c r="F67" s="233">
        <f t="shared" ref="F67:F114" si="136">D67*E67*12</f>
        <v>67682.333333333314</v>
      </c>
      <c r="G67" s="234">
        <f>References!B14</f>
        <v>34</v>
      </c>
      <c r="H67" s="235">
        <f t="shared" si="131"/>
        <v>2301199.3333333326</v>
      </c>
      <c r="I67" s="236">
        <f t="shared" si="132"/>
        <v>1401876.544644082</v>
      </c>
      <c r="J67" s="237">
        <f>(References!$C$49*I67)</f>
        <v>11711.813251237885</v>
      </c>
      <c r="K67" s="237">
        <f>J67/References!$G$52</f>
        <v>12007.190128396436</v>
      </c>
      <c r="L67" s="237">
        <f t="shared" si="121"/>
        <v>0.76875537027955942</v>
      </c>
      <c r="M67" s="279">
        <v>18.54</v>
      </c>
      <c r="N67" s="237">
        <f t="shared" si="133"/>
        <v>19.30875537027956</v>
      </c>
      <c r="O67" s="237" t="s">
        <v>230</v>
      </c>
      <c r="S67" s="49"/>
      <c r="T67" s="49"/>
      <c r="U67" s="49"/>
      <c r="V67" s="271">
        <f t="shared" si="134"/>
        <v>4.1464690953590046E-2</v>
      </c>
      <c r="W67" s="49">
        <f t="shared" si="135"/>
        <v>9.9920072216264089E-16</v>
      </c>
    </row>
    <row r="68" spans="1:23">
      <c r="A68" s="103"/>
      <c r="B68" s="230" t="s">
        <v>116</v>
      </c>
      <c r="C68" s="231" t="s">
        <v>99</v>
      </c>
      <c r="D68" s="267">
        <v>74.666666666666671</v>
      </c>
      <c r="E68" s="232">
        <f>References!$B$7</f>
        <v>4.333333333333333</v>
      </c>
      <c r="F68" s="233">
        <f t="shared" si="136"/>
        <v>3882.6666666666665</v>
      </c>
      <c r="G68" s="234">
        <f>References!B15</f>
        <v>51</v>
      </c>
      <c r="H68" s="235">
        <f t="shared" si="131"/>
        <v>198016</v>
      </c>
      <c r="I68" s="236">
        <f t="shared" si="132"/>
        <v>120630.13483588237</v>
      </c>
      <c r="J68" s="237">
        <f>(References!$C$49*I68)</f>
        <v>1007.7903201013972</v>
      </c>
      <c r="K68" s="237">
        <f>J68/References!$G$52</f>
        <v>1033.2072176557281</v>
      </c>
      <c r="L68" s="237">
        <f t="shared" si="121"/>
        <v>1.1531330554193393</v>
      </c>
      <c r="M68" s="279">
        <v>31.04</v>
      </c>
      <c r="N68" s="237">
        <f t="shared" si="133"/>
        <v>32.193133055419338</v>
      </c>
      <c r="O68" s="237" t="s">
        <v>230</v>
      </c>
      <c r="S68" s="49"/>
      <c r="T68" s="49"/>
      <c r="U68" s="49"/>
      <c r="V68" s="271">
        <f t="shared" si="134"/>
        <v>3.7149905135932325E-2</v>
      </c>
      <c r="W68" s="49">
        <f t="shared" si="135"/>
        <v>0</v>
      </c>
    </row>
    <row r="69" spans="1:23">
      <c r="A69" s="103"/>
      <c r="B69" s="230" t="s">
        <v>116</v>
      </c>
      <c r="C69" s="231" t="s">
        <v>100</v>
      </c>
      <c r="D69" s="267">
        <v>1</v>
      </c>
      <c r="E69" s="232">
        <f>References!$B$7</f>
        <v>4.333333333333333</v>
      </c>
      <c r="F69" s="233">
        <f t="shared" si="136"/>
        <v>52</v>
      </c>
      <c r="G69" s="234">
        <f>References!B16</f>
        <v>77</v>
      </c>
      <c r="H69" s="235">
        <f t="shared" si="131"/>
        <v>4004</v>
      </c>
      <c r="I69" s="236">
        <f t="shared" si="132"/>
        <v>2439.2122852843863</v>
      </c>
      <c r="J69" s="237">
        <f>(References!$C$49*I69)</f>
        <v>20.378113090285609</v>
      </c>
      <c r="K69" s="237">
        <f>J69/References!$G$52</f>
        <v>20.892057709950389</v>
      </c>
      <c r="L69" s="237">
        <f t="shared" si="121"/>
        <v>1.7410048091625325</v>
      </c>
      <c r="M69" s="279">
        <v>45.58</v>
      </c>
      <c r="N69" s="237">
        <f t="shared" si="133"/>
        <v>47.321004809162531</v>
      </c>
      <c r="O69" s="237" t="s">
        <v>230</v>
      </c>
      <c r="S69" s="49"/>
      <c r="T69" s="49"/>
      <c r="U69" s="49"/>
      <c r="V69" s="271">
        <f t="shared" si="134"/>
        <v>3.8196682956615456E-2</v>
      </c>
      <c r="W69" s="49">
        <f t="shared" si="135"/>
        <v>0</v>
      </c>
    </row>
    <row r="70" spans="1:23">
      <c r="A70" s="103"/>
      <c r="B70" s="230" t="s">
        <v>116</v>
      </c>
      <c r="C70" s="231" t="s">
        <v>101</v>
      </c>
      <c r="D70" s="267">
        <v>2</v>
      </c>
      <c r="E70" s="232">
        <f>References!$B$7</f>
        <v>4.333333333333333</v>
      </c>
      <c r="F70" s="233">
        <f t="shared" si="136"/>
        <v>104</v>
      </c>
      <c r="G70" s="234">
        <f>References!B17</f>
        <v>97</v>
      </c>
      <c r="H70" s="235">
        <f t="shared" si="131"/>
        <v>10088</v>
      </c>
      <c r="I70" s="236">
        <f t="shared" si="132"/>
        <v>6145.5478356515705</v>
      </c>
      <c r="J70" s="237">
        <f>(References!$C$49*I70)</f>
        <v>51.342258954745553</v>
      </c>
      <c r="K70" s="237">
        <f>J70/References!$G$52</f>
        <v>52.637132412082785</v>
      </c>
      <c r="L70" s="237">
        <f t="shared" si="121"/>
        <v>2.1932138505034491</v>
      </c>
      <c r="M70" s="279">
        <v>60.72</v>
      </c>
      <c r="N70" s="237">
        <f t="shared" si="133"/>
        <v>62.913213850503446</v>
      </c>
      <c r="O70" s="237" t="s">
        <v>230</v>
      </c>
      <c r="S70" s="49"/>
      <c r="T70" s="49"/>
      <c r="U70" s="49"/>
      <c r="V70" s="271">
        <f t="shared" si="134"/>
        <v>3.6120122702625976E-2</v>
      </c>
      <c r="W70" s="49">
        <f t="shared" si="135"/>
        <v>0</v>
      </c>
    </row>
    <row r="71" spans="1:23">
      <c r="A71" s="103"/>
      <c r="B71" s="230" t="s">
        <v>116</v>
      </c>
      <c r="C71" s="231" t="s">
        <v>96</v>
      </c>
      <c r="D71" s="267">
        <v>29.166666666666668</v>
      </c>
      <c r="E71" s="232">
        <f>References!B9</f>
        <v>1</v>
      </c>
      <c r="F71" s="233">
        <f t="shared" si="136"/>
        <v>350</v>
      </c>
      <c r="G71" s="234">
        <f>G67</f>
        <v>34</v>
      </c>
      <c r="H71" s="235">
        <f t="shared" si="131"/>
        <v>11900</v>
      </c>
      <c r="I71" s="236">
        <f t="shared" si="132"/>
        <v>7249.4071415794697</v>
      </c>
      <c r="J71" s="237">
        <f>(References!$C$49*I71)</f>
        <v>60.564322121478206</v>
      </c>
      <c r="K71" s="237">
        <f>J71/References!$G$52</f>
        <v>62.091779907195203</v>
      </c>
      <c r="L71" s="237">
        <f t="shared" si="121"/>
        <v>0.17740508544912914</v>
      </c>
      <c r="M71" s="279">
        <v>6.33</v>
      </c>
      <c r="N71" s="237">
        <f>N7</f>
        <v>6.507405085449129</v>
      </c>
      <c r="O71" s="237" t="s">
        <v>230</v>
      </c>
      <c r="S71" s="49"/>
      <c r="T71" s="49"/>
      <c r="U71" s="49"/>
      <c r="V71" s="271">
        <f t="shared" si="134"/>
        <v>2.8026079849783433E-2</v>
      </c>
      <c r="W71" s="49">
        <f t="shared" si="135"/>
        <v>-2.2204460492503131E-16</v>
      </c>
    </row>
    <row r="72" spans="1:23">
      <c r="A72" s="103"/>
      <c r="B72" s="230" t="s">
        <v>116</v>
      </c>
      <c r="C72" s="231" t="s">
        <v>102</v>
      </c>
      <c r="D72" s="267">
        <v>482.66666666666669</v>
      </c>
      <c r="E72" s="232">
        <f>References!$B$7</f>
        <v>4.333333333333333</v>
      </c>
      <c r="F72" s="233">
        <f t="shared" si="136"/>
        <v>25098.666666666668</v>
      </c>
      <c r="G72" s="234">
        <f>G8</f>
        <v>34</v>
      </c>
      <c r="H72" s="235">
        <f t="shared" si="131"/>
        <v>853354.66666666674</v>
      </c>
      <c r="I72" s="236">
        <f t="shared" si="132"/>
        <v>519858.4382213027</v>
      </c>
      <c r="J72" s="237">
        <f>(References!$C$49*I72)</f>
        <v>4343.0963794845939</v>
      </c>
      <c r="K72" s="237">
        <f>J72/References!$G$52</f>
        <v>4452.63110465921</v>
      </c>
      <c r="L72" s="237">
        <f t="shared" si="121"/>
        <v>0.76875537027955965</v>
      </c>
      <c r="M72" s="279">
        <v>18.54</v>
      </c>
      <c r="N72" s="237">
        <f t="shared" si="133"/>
        <v>19.30875537027956</v>
      </c>
      <c r="O72" s="237" t="s">
        <v>230</v>
      </c>
      <c r="S72" s="49"/>
      <c r="T72" s="49"/>
      <c r="U72" s="49"/>
      <c r="V72" s="271">
        <f t="shared" si="134"/>
        <v>4.146469095359006E-2</v>
      </c>
      <c r="W72" s="49">
        <f t="shared" si="135"/>
        <v>0</v>
      </c>
    </row>
    <row r="73" spans="1:23">
      <c r="A73" s="103"/>
      <c r="B73" s="230" t="s">
        <v>116</v>
      </c>
      <c r="C73" s="231" t="s">
        <v>103</v>
      </c>
      <c r="D73" s="267">
        <v>848.08333333333337</v>
      </c>
      <c r="E73" s="232">
        <f>References!$B$7</f>
        <v>4.333333333333333</v>
      </c>
      <c r="F73" s="233">
        <f t="shared" si="136"/>
        <v>44100.333333333336</v>
      </c>
      <c r="G73" s="234">
        <f>G9</f>
        <v>47</v>
      </c>
      <c r="H73" s="235">
        <f t="shared" si="131"/>
        <v>2072715.6666666667</v>
      </c>
      <c r="I73" s="236">
        <f t="shared" si="132"/>
        <v>1262685.6938148728</v>
      </c>
      <c r="J73" s="237">
        <f>(References!$C$49*I73)</f>
        <v>10548.959605229786</v>
      </c>
      <c r="K73" s="237">
        <f>J73/References!$G$52</f>
        <v>10815.008822257316</v>
      </c>
      <c r="L73" s="237">
        <f t="shared" si="121"/>
        <v>1.062691247151156</v>
      </c>
      <c r="M73" s="279">
        <v>30.85</v>
      </c>
      <c r="N73" s="237">
        <f t="shared" si="133"/>
        <v>31.912691247151159</v>
      </c>
      <c r="O73" s="237" t="s">
        <v>230</v>
      </c>
      <c r="S73" s="49"/>
      <c r="T73" s="49"/>
      <c r="U73" s="49"/>
      <c r="V73" s="271">
        <f t="shared" si="134"/>
        <v>3.4447042047039092E-2</v>
      </c>
      <c r="W73" s="49">
        <f t="shared" si="135"/>
        <v>0</v>
      </c>
    </row>
    <row r="74" spans="1:23">
      <c r="A74" s="103"/>
      <c r="B74" s="230" t="s">
        <v>116</v>
      </c>
      <c r="C74" s="231" t="s">
        <v>127</v>
      </c>
      <c r="D74" s="267">
        <v>184.58333333333334</v>
      </c>
      <c r="E74" s="232">
        <f>References!$B$7</f>
        <v>4.333333333333333</v>
      </c>
      <c r="F74" s="233">
        <f t="shared" si="136"/>
        <v>9598.3333333333321</v>
      </c>
      <c r="G74" s="234">
        <f>G10</f>
        <v>68</v>
      </c>
      <c r="H74" s="235">
        <f t="shared" si="131"/>
        <v>652686.66666666663</v>
      </c>
      <c r="I74" s="236">
        <f t="shared" si="132"/>
        <v>397612.72122243966</v>
      </c>
      <c r="J74" s="237">
        <f>(References!$C$49*I74)</f>
        <v>3321.8088675961235</v>
      </c>
      <c r="K74" s="237">
        <f>J74/References!$G$52</f>
        <v>3405.5862903384491</v>
      </c>
      <c r="L74" s="237">
        <f t="shared" si="121"/>
        <v>1.5375107405591193</v>
      </c>
      <c r="M74" s="279">
        <v>44.65</v>
      </c>
      <c r="N74" s="237">
        <f t="shared" si="133"/>
        <v>46.187510740559119</v>
      </c>
      <c r="O74" s="237" t="s">
        <v>230</v>
      </c>
      <c r="S74" s="49"/>
      <c r="T74" s="49"/>
      <c r="U74" s="49"/>
      <c r="V74" s="271">
        <f t="shared" si="134"/>
        <v>3.4434731031559224E-2</v>
      </c>
      <c r="W74" s="49">
        <f t="shared" si="135"/>
        <v>0</v>
      </c>
    </row>
    <row r="75" spans="1:23">
      <c r="A75" s="103"/>
      <c r="B75" s="94" t="s">
        <v>116</v>
      </c>
      <c r="C75" s="90" t="s">
        <v>112</v>
      </c>
      <c r="D75" s="85">
        <v>1</v>
      </c>
      <c r="E75" s="23">
        <f>References!$B$7</f>
        <v>4.333333333333333</v>
      </c>
      <c r="F75" s="86">
        <f t="shared" si="136"/>
        <v>52</v>
      </c>
      <c r="G75" s="229">
        <f>G57</f>
        <v>34</v>
      </c>
      <c r="H75" s="50">
        <f t="shared" si="131"/>
        <v>1768</v>
      </c>
      <c r="I75" s="33">
        <f t="shared" si="132"/>
        <v>1077.0547753203784</v>
      </c>
      <c r="J75" s="49">
        <f>(References!$C$49*I75)</f>
        <v>8.9981278580481909</v>
      </c>
      <c r="K75" s="49">
        <f>J75/References!$G$52</f>
        <v>9.2250644433547162</v>
      </c>
      <c r="L75" s="49">
        <f t="shared" si="121"/>
        <v>0.76875537027955965</v>
      </c>
      <c r="M75" s="240">
        <v>18.54</v>
      </c>
      <c r="N75" s="49">
        <f t="shared" si="133"/>
        <v>19.30875537027956</v>
      </c>
      <c r="O75" s="49" t="s">
        <v>251</v>
      </c>
      <c r="S75" s="49"/>
      <c r="T75" s="49"/>
      <c r="U75" s="49"/>
      <c r="V75" s="271">
        <f t="shared" si="134"/>
        <v>4.146469095359006E-2</v>
      </c>
      <c r="W75" s="49">
        <f t="shared" si="135"/>
        <v>0</v>
      </c>
    </row>
    <row r="76" spans="1:23">
      <c r="A76" s="103"/>
      <c r="B76" s="94" t="s">
        <v>116</v>
      </c>
      <c r="C76" s="90" t="s">
        <v>110</v>
      </c>
      <c r="D76" s="85">
        <v>1</v>
      </c>
      <c r="E76" s="23">
        <f>References!$B$7</f>
        <v>4.333333333333333</v>
      </c>
      <c r="F76" s="86">
        <f t="shared" si="136"/>
        <v>52</v>
      </c>
      <c r="G76" s="229">
        <f>References!$B$21</f>
        <v>47</v>
      </c>
      <c r="H76" s="50">
        <f t="shared" si="131"/>
        <v>2444</v>
      </c>
      <c r="I76" s="33">
        <f t="shared" si="132"/>
        <v>1488.8698364722877</v>
      </c>
      <c r="J76" s="49">
        <f>(References!$C$49*I76)</f>
        <v>12.438588509654851</v>
      </c>
      <c r="K76" s="49">
        <f>J76/References!$G$52</f>
        <v>12.752294965813872</v>
      </c>
      <c r="L76" s="49">
        <f t="shared" si="121"/>
        <v>1.062691247151156</v>
      </c>
      <c r="M76" s="240">
        <v>30.85</v>
      </c>
      <c r="N76" s="49">
        <f t="shared" si="133"/>
        <v>31.912691247151159</v>
      </c>
      <c r="O76" s="49" t="s">
        <v>251</v>
      </c>
      <c r="S76" s="49"/>
      <c r="T76" s="49"/>
      <c r="U76" s="49"/>
      <c r="V76" s="271">
        <f t="shared" si="134"/>
        <v>3.4447042047039092E-2</v>
      </c>
      <c r="W76" s="49">
        <f t="shared" si="135"/>
        <v>0</v>
      </c>
    </row>
    <row r="77" spans="1:23">
      <c r="A77" s="103"/>
      <c r="B77" s="94" t="s">
        <v>116</v>
      </c>
      <c r="C77" s="90" t="s">
        <v>111</v>
      </c>
      <c r="D77" s="85">
        <v>1</v>
      </c>
      <c r="E77" s="23">
        <f>References!$B$7</f>
        <v>4.333333333333333</v>
      </c>
      <c r="F77" s="86">
        <f t="shared" si="136"/>
        <v>52</v>
      </c>
      <c r="G77" s="229">
        <f>References!$B$22</f>
        <v>68</v>
      </c>
      <c r="H77" s="50">
        <f t="shared" si="131"/>
        <v>3536</v>
      </c>
      <c r="I77" s="33">
        <f t="shared" si="132"/>
        <v>2154.1095506407569</v>
      </c>
      <c r="J77" s="49">
        <f>(References!$C$49*I77)</f>
        <v>17.996255716096382</v>
      </c>
      <c r="K77" s="49">
        <f>J77/References!$G$52</f>
        <v>18.450128886709432</v>
      </c>
      <c r="L77" s="49">
        <f t="shared" si="121"/>
        <v>1.5375107405591193</v>
      </c>
      <c r="M77" s="240">
        <v>44.65</v>
      </c>
      <c r="N77" s="49">
        <f t="shared" si="133"/>
        <v>46.187510740559119</v>
      </c>
      <c r="O77" s="49" t="s">
        <v>251</v>
      </c>
      <c r="S77" s="49"/>
      <c r="T77" s="49"/>
      <c r="U77" s="49"/>
      <c r="V77" s="271">
        <f t="shared" si="134"/>
        <v>3.4434731031559224E-2</v>
      </c>
      <c r="W77" s="49">
        <f t="shared" si="135"/>
        <v>0</v>
      </c>
    </row>
    <row r="78" spans="1:23">
      <c r="A78" s="103"/>
      <c r="B78" s="94" t="s">
        <v>107</v>
      </c>
      <c r="C78" s="90" t="s">
        <v>254</v>
      </c>
      <c r="D78" s="85">
        <v>1</v>
      </c>
      <c r="E78" s="23">
        <v>1</v>
      </c>
      <c r="F78" s="86">
        <f t="shared" si="136"/>
        <v>12</v>
      </c>
      <c r="G78" s="229">
        <f t="shared" ref="G78:G87" si="137">G39</f>
        <v>34</v>
      </c>
      <c r="H78" s="50">
        <f t="shared" si="124"/>
        <v>408</v>
      </c>
      <c r="I78" s="33">
        <f t="shared" si="132"/>
        <v>248.55110199701039</v>
      </c>
      <c r="J78" s="49">
        <f>(References!$C$49*I78)</f>
        <v>2.0764910441649671</v>
      </c>
      <c r="K78" s="49">
        <f>J78/References!$G$52</f>
        <v>2.1288610253895501</v>
      </c>
      <c r="L78" s="49">
        <f t="shared" ref="L78:L87" si="138">IFERROR(K78/F78*E78,0)</f>
        <v>0.17740508544912917</v>
      </c>
      <c r="M78" s="240">
        <v>10.94</v>
      </c>
      <c r="N78" s="49">
        <f t="shared" ref="N78:N97" si="139">L78+M78</f>
        <v>11.117405085449128</v>
      </c>
      <c r="O78" s="49" t="s">
        <v>251</v>
      </c>
      <c r="S78" s="49"/>
      <c r="T78" s="49"/>
      <c r="U78" s="49"/>
      <c r="V78" s="271">
        <f t="shared" si="134"/>
        <v>1.6216186969755866E-2</v>
      </c>
      <c r="W78" s="49">
        <f t="shared" si="135"/>
        <v>-2.4980018054066022E-16</v>
      </c>
    </row>
    <row r="79" spans="1:23">
      <c r="A79" s="103"/>
      <c r="B79" s="94" t="s">
        <v>107</v>
      </c>
      <c r="C79" s="90" t="s">
        <v>255</v>
      </c>
      <c r="D79" s="85">
        <v>1</v>
      </c>
      <c r="E79" s="23">
        <v>1</v>
      </c>
      <c r="F79" s="86">
        <f t="shared" si="136"/>
        <v>12</v>
      </c>
      <c r="G79" s="229">
        <f t="shared" si="137"/>
        <v>47</v>
      </c>
      <c r="H79" s="50">
        <f t="shared" si="124"/>
        <v>564</v>
      </c>
      <c r="I79" s="33">
        <f t="shared" si="132"/>
        <v>343.58534687822026</v>
      </c>
      <c r="J79" s="49">
        <f>(References!$C$49*I79)</f>
        <v>2.8704435022280426</v>
      </c>
      <c r="K79" s="49">
        <f>J79/References!$G$52</f>
        <v>2.9428372998032013</v>
      </c>
      <c r="L79" s="49">
        <f t="shared" si="138"/>
        <v>0.24523644165026678</v>
      </c>
      <c r="M79" s="240">
        <v>15.63</v>
      </c>
      <c r="N79" s="49">
        <f t="shared" si="139"/>
        <v>15.875236441650268</v>
      </c>
      <c r="O79" s="49" t="s">
        <v>251</v>
      </c>
      <c r="S79" s="49"/>
      <c r="T79" s="49"/>
      <c r="U79" s="49"/>
      <c r="V79" s="271">
        <f t="shared" si="134"/>
        <v>1.5690111429959488E-2</v>
      </c>
      <c r="W79" s="49">
        <f t="shared" si="135"/>
        <v>0</v>
      </c>
    </row>
    <row r="80" spans="1:23">
      <c r="A80" s="103"/>
      <c r="B80" s="94" t="s">
        <v>107</v>
      </c>
      <c r="C80" s="90" t="s">
        <v>256</v>
      </c>
      <c r="D80" s="85">
        <v>1</v>
      </c>
      <c r="E80" s="23">
        <v>1</v>
      </c>
      <c r="F80" s="86">
        <f t="shared" si="136"/>
        <v>12</v>
      </c>
      <c r="G80" s="229">
        <f t="shared" si="137"/>
        <v>68</v>
      </c>
      <c r="H80" s="50">
        <f t="shared" si="124"/>
        <v>816</v>
      </c>
      <c r="I80" s="33">
        <f t="shared" si="132"/>
        <v>497.10220399402078</v>
      </c>
      <c r="J80" s="49">
        <f>(References!$C$49*I80)</f>
        <v>4.1529820883299342</v>
      </c>
      <c r="K80" s="49">
        <f>J80/References!$G$52</f>
        <v>4.2577220507791003</v>
      </c>
      <c r="L80" s="49">
        <f t="shared" si="138"/>
        <v>0.35481017089825834</v>
      </c>
      <c r="M80" s="240">
        <v>18.78</v>
      </c>
      <c r="N80" s="49">
        <f t="shared" si="139"/>
        <v>19.134810170898259</v>
      </c>
      <c r="O80" s="49" t="s">
        <v>251</v>
      </c>
      <c r="S80" s="49"/>
      <c r="T80" s="49"/>
      <c r="U80" s="49"/>
      <c r="V80" s="271">
        <f t="shared" si="134"/>
        <v>1.8892980346020143E-2</v>
      </c>
      <c r="W80" s="49">
        <f t="shared" si="135"/>
        <v>-4.9960036108132044E-16</v>
      </c>
    </row>
    <row r="81" spans="1:23">
      <c r="A81" s="103"/>
      <c r="B81" s="94" t="s">
        <v>107</v>
      </c>
      <c r="C81" s="90" t="s">
        <v>195</v>
      </c>
      <c r="D81" s="85">
        <v>1</v>
      </c>
      <c r="E81" s="23">
        <v>1</v>
      </c>
      <c r="F81" s="86">
        <f t="shared" si="136"/>
        <v>12</v>
      </c>
      <c r="G81" s="229">
        <f t="shared" si="137"/>
        <v>175</v>
      </c>
      <c r="H81" s="50">
        <f t="shared" si="124"/>
        <v>2100</v>
      </c>
      <c r="I81" s="33">
        <f t="shared" si="132"/>
        <v>1279.3071426316712</v>
      </c>
      <c r="J81" s="49">
        <f>(References!$C$49*I81)</f>
        <v>10.687821550849096</v>
      </c>
      <c r="K81" s="49">
        <f>J81/References!$G$52</f>
        <v>10.957372924799154</v>
      </c>
      <c r="L81" s="49">
        <f t="shared" si="138"/>
        <v>0.91311441039992947</v>
      </c>
      <c r="M81" s="240">
        <v>37.33</v>
      </c>
      <c r="N81" s="49">
        <f t="shared" si="139"/>
        <v>38.243114410399926</v>
      </c>
      <c r="O81" s="49" t="s">
        <v>251</v>
      </c>
      <c r="S81" s="49"/>
      <c r="T81" s="49"/>
      <c r="U81" s="49"/>
      <c r="V81" s="271">
        <f t="shared" si="134"/>
        <v>2.4460605689791842E-2</v>
      </c>
      <c r="W81" s="49">
        <f t="shared" si="135"/>
        <v>-1.8873791418627661E-15</v>
      </c>
    </row>
    <row r="82" spans="1:23">
      <c r="A82" s="103"/>
      <c r="B82" s="94" t="s">
        <v>107</v>
      </c>
      <c r="C82" s="90" t="s">
        <v>216</v>
      </c>
      <c r="D82" s="85">
        <v>1</v>
      </c>
      <c r="E82" s="23">
        <v>1</v>
      </c>
      <c r="F82" s="86">
        <f t="shared" si="136"/>
        <v>12</v>
      </c>
      <c r="G82" s="229">
        <f t="shared" si="137"/>
        <v>212.5</v>
      </c>
      <c r="H82" s="50">
        <f t="shared" si="124"/>
        <v>2550</v>
      </c>
      <c r="I82" s="33">
        <f t="shared" si="132"/>
        <v>1553.4443874813151</v>
      </c>
      <c r="J82" s="49">
        <f>(References!$C$49*I82)</f>
        <v>12.978069026031044</v>
      </c>
      <c r="K82" s="49">
        <f>J82/References!$G$52</f>
        <v>13.305381408684687</v>
      </c>
      <c r="L82" s="49">
        <f t="shared" si="138"/>
        <v>1.1087817840570573</v>
      </c>
      <c r="M82" s="240">
        <v>44.2</v>
      </c>
      <c r="N82" s="49">
        <f t="shared" si="139"/>
        <v>45.308781784057061</v>
      </c>
      <c r="O82" s="49" t="s">
        <v>251</v>
      </c>
      <c r="S82" s="49"/>
      <c r="T82" s="49"/>
      <c r="U82" s="49"/>
      <c r="V82" s="271">
        <f t="shared" si="134"/>
        <v>2.508556072527279E-2</v>
      </c>
      <c r="W82" s="49">
        <f t="shared" si="135"/>
        <v>0</v>
      </c>
    </row>
    <row r="83" spans="1:23">
      <c r="A83" s="103"/>
      <c r="B83" s="94" t="s">
        <v>107</v>
      </c>
      <c r="C83" s="90" t="s">
        <v>191</v>
      </c>
      <c r="D83" s="85">
        <v>1</v>
      </c>
      <c r="E83" s="23">
        <v>1</v>
      </c>
      <c r="F83" s="86">
        <f t="shared" si="136"/>
        <v>12</v>
      </c>
      <c r="G83" s="229">
        <f t="shared" si="137"/>
        <v>324</v>
      </c>
      <c r="H83" s="50">
        <f t="shared" si="124"/>
        <v>3888</v>
      </c>
      <c r="I83" s="33">
        <f t="shared" si="132"/>
        <v>2368.5457955009228</v>
      </c>
      <c r="J83" s="49">
        <f>(References!$C$49*I83)</f>
        <v>19.787738185572042</v>
      </c>
      <c r="K83" s="49">
        <f>J83/References!$G$52</f>
        <v>20.286793300771009</v>
      </c>
      <c r="L83" s="49">
        <f t="shared" si="138"/>
        <v>1.690566108397584</v>
      </c>
      <c r="M83" s="240">
        <v>66.540000000000006</v>
      </c>
      <c r="N83" s="49">
        <f t="shared" si="139"/>
        <v>68.230566108397596</v>
      </c>
      <c r="O83" s="49" t="s">
        <v>251</v>
      </c>
      <c r="S83" s="49"/>
      <c r="T83" s="49"/>
      <c r="U83" s="49"/>
      <c r="V83" s="271">
        <f t="shared" si="134"/>
        <v>2.5406764478472857E-2</v>
      </c>
      <c r="W83" s="49">
        <f t="shared" si="135"/>
        <v>5.9952043329758453E-15</v>
      </c>
    </row>
    <row r="84" spans="1:23">
      <c r="A84" s="103"/>
      <c r="B84" s="94" t="s">
        <v>107</v>
      </c>
      <c r="C84" s="90" t="s">
        <v>118</v>
      </c>
      <c r="D84" s="85">
        <v>1</v>
      </c>
      <c r="E84" s="23">
        <v>1</v>
      </c>
      <c r="F84" s="86">
        <f t="shared" si="136"/>
        <v>12</v>
      </c>
      <c r="G84" s="229">
        <f t="shared" si="137"/>
        <v>473</v>
      </c>
      <c r="H84" s="50">
        <f t="shared" si="124"/>
        <v>5676</v>
      </c>
      <c r="I84" s="33">
        <f t="shared" si="132"/>
        <v>3457.7844483701742</v>
      </c>
      <c r="J84" s="49">
        <f>(References!$C$49*I84)</f>
        <v>28.887654820294983</v>
      </c>
      <c r="K84" s="49">
        <f>J84/References!$G$52</f>
        <v>29.616213676742856</v>
      </c>
      <c r="L84" s="49">
        <f t="shared" si="138"/>
        <v>2.4680178063952378</v>
      </c>
      <c r="M84" s="240">
        <v>95.03</v>
      </c>
      <c r="N84" s="49">
        <f t="shared" si="139"/>
        <v>97.498017806395239</v>
      </c>
      <c r="O84" s="49" t="s">
        <v>251</v>
      </c>
      <c r="S84" s="49"/>
      <c r="T84" s="49"/>
      <c r="U84" s="49"/>
      <c r="V84" s="271">
        <f t="shared" si="134"/>
        <v>2.5970933456753002E-2</v>
      </c>
      <c r="W84" s="49">
        <f t="shared" si="135"/>
        <v>0</v>
      </c>
    </row>
    <row r="85" spans="1:23">
      <c r="A85" s="103"/>
      <c r="B85" s="94" t="s">
        <v>107</v>
      </c>
      <c r="C85" s="90" t="s">
        <v>119</v>
      </c>
      <c r="D85" s="85">
        <v>1</v>
      </c>
      <c r="E85" s="23">
        <v>1</v>
      </c>
      <c r="F85" s="86">
        <f t="shared" si="136"/>
        <v>12</v>
      </c>
      <c r="G85" s="229">
        <f t="shared" si="137"/>
        <v>613</v>
      </c>
      <c r="H85" s="50">
        <f t="shared" si="124"/>
        <v>7356</v>
      </c>
      <c r="I85" s="33">
        <f t="shared" si="132"/>
        <v>4481.230162475511</v>
      </c>
      <c r="J85" s="49">
        <f>(References!$C$49*I85)</f>
        <v>37.437912060974256</v>
      </c>
      <c r="K85" s="49">
        <f>J85/References!$G$52</f>
        <v>38.382112016582177</v>
      </c>
      <c r="L85" s="49">
        <f t="shared" si="138"/>
        <v>3.1985093347151814</v>
      </c>
      <c r="M85" s="240">
        <v>124.82</v>
      </c>
      <c r="N85" s="49">
        <f t="shared" si="139"/>
        <v>128.01850933471516</v>
      </c>
      <c r="O85" s="49" t="s">
        <v>251</v>
      </c>
      <c r="S85" s="49"/>
      <c r="T85" s="49"/>
      <c r="U85" s="49"/>
      <c r="V85" s="271">
        <f t="shared" si="134"/>
        <v>2.5624974641204789E-2</v>
      </c>
      <c r="W85" s="49">
        <f t="shared" si="135"/>
        <v>-1.2434497875801753E-14</v>
      </c>
    </row>
    <row r="86" spans="1:23">
      <c r="A86" s="103"/>
      <c r="B86" s="94" t="s">
        <v>107</v>
      </c>
      <c r="C86" s="90" t="s">
        <v>120</v>
      </c>
      <c r="D86" s="85">
        <v>1</v>
      </c>
      <c r="E86" s="23">
        <v>1</v>
      </c>
      <c r="F86" s="86">
        <f t="shared" si="136"/>
        <v>12</v>
      </c>
      <c r="G86" s="229">
        <f t="shared" si="137"/>
        <v>840</v>
      </c>
      <c r="H86" s="50">
        <f t="shared" si="124"/>
        <v>10080</v>
      </c>
      <c r="I86" s="33">
        <f t="shared" si="132"/>
        <v>6140.6742846320212</v>
      </c>
      <c r="J86" s="49">
        <f>(References!$C$49*I86)</f>
        <v>51.301543444075655</v>
      </c>
      <c r="K86" s="49">
        <f>J86/References!$G$52</f>
        <v>52.595390039035934</v>
      </c>
      <c r="L86" s="49">
        <f t="shared" si="138"/>
        <v>4.3829491699196614</v>
      </c>
      <c r="M86" s="240">
        <v>184.62</v>
      </c>
      <c r="N86" s="49">
        <f t="shared" si="139"/>
        <v>189.00294916991967</v>
      </c>
      <c r="O86" s="49" t="s">
        <v>251</v>
      </c>
      <c r="S86" s="49"/>
      <c r="T86" s="49"/>
      <c r="U86" s="49"/>
      <c r="V86" s="271">
        <f t="shared" si="134"/>
        <v>2.3740381160869142E-2</v>
      </c>
      <c r="W86" s="49">
        <f t="shared" si="135"/>
        <v>7.9936057773011271E-15</v>
      </c>
    </row>
    <row r="87" spans="1:23">
      <c r="A87" s="103"/>
      <c r="B87" s="94" t="s">
        <v>107</v>
      </c>
      <c r="C87" s="90" t="s">
        <v>190</v>
      </c>
      <c r="D87" s="85">
        <v>1</v>
      </c>
      <c r="E87" s="23">
        <v>1</v>
      </c>
      <c r="F87" s="86">
        <f t="shared" si="136"/>
        <v>12</v>
      </c>
      <c r="G87" s="229">
        <f t="shared" si="137"/>
        <v>980</v>
      </c>
      <c r="H87" s="50">
        <f t="shared" si="124"/>
        <v>11760</v>
      </c>
      <c r="I87" s="33">
        <f t="shared" si="132"/>
        <v>7164.1199987373584</v>
      </c>
      <c r="J87" s="49">
        <f>(References!$C$49*I87)</f>
        <v>59.851800684754927</v>
      </c>
      <c r="K87" s="49">
        <f>J87/References!$G$52</f>
        <v>61.361288378875258</v>
      </c>
      <c r="L87" s="49">
        <f t="shared" si="138"/>
        <v>5.1134406982396046</v>
      </c>
      <c r="M87" s="240">
        <v>228.94</v>
      </c>
      <c r="N87" s="49">
        <f t="shared" si="139"/>
        <v>234.0534406982396</v>
      </c>
      <c r="O87" s="49" t="s">
        <v>251</v>
      </c>
      <c r="S87" s="49"/>
      <c r="T87" s="49"/>
      <c r="U87" s="49"/>
      <c r="V87" s="271">
        <f t="shared" si="134"/>
        <v>2.2335287403859545E-2</v>
      </c>
      <c r="W87" s="49">
        <f t="shared" si="135"/>
        <v>0</v>
      </c>
    </row>
    <row r="88" spans="1:23">
      <c r="A88" s="103"/>
      <c r="B88" s="94" t="s">
        <v>107</v>
      </c>
      <c r="C88" s="90" t="s">
        <v>217</v>
      </c>
      <c r="D88" s="85">
        <v>1</v>
      </c>
      <c r="E88" s="23">
        <v>1</v>
      </c>
      <c r="F88" s="86">
        <f t="shared" si="136"/>
        <v>12</v>
      </c>
      <c r="G88" s="229">
        <f t="shared" ref="G88:G94" si="140">G42</f>
        <v>175</v>
      </c>
      <c r="H88" s="50">
        <f t="shared" ref="H88" si="141">G88*F88</f>
        <v>2100</v>
      </c>
      <c r="I88" s="33">
        <f t="shared" si="132"/>
        <v>1279.3071426316712</v>
      </c>
      <c r="J88" s="49">
        <f>(References!$C$49*I88)</f>
        <v>10.687821550849096</v>
      </c>
      <c r="K88" s="49">
        <f>J88/References!$G$52</f>
        <v>10.957372924799154</v>
      </c>
      <c r="L88" s="49">
        <f t="shared" ref="L88:L94" si="142">IFERROR(K88/F88*E88,0)</f>
        <v>0.91311441039992947</v>
      </c>
      <c r="M88" s="240">
        <v>44.68</v>
      </c>
      <c r="N88" s="49">
        <f t="shared" si="139"/>
        <v>45.593114410399927</v>
      </c>
      <c r="O88" s="49" t="s">
        <v>251</v>
      </c>
      <c r="S88" s="49"/>
      <c r="T88" s="49"/>
      <c r="U88" s="49"/>
      <c r="V88" s="271">
        <f t="shared" si="134"/>
        <v>2.0436759409130024E-2</v>
      </c>
      <c r="W88" s="49">
        <f t="shared" si="135"/>
        <v>-1.8873791418627661E-15</v>
      </c>
    </row>
    <row r="89" spans="1:23">
      <c r="A89" s="103"/>
      <c r="B89" s="94" t="s">
        <v>107</v>
      </c>
      <c r="C89" s="90" t="s">
        <v>218</v>
      </c>
      <c r="D89" s="85">
        <v>1</v>
      </c>
      <c r="E89" s="23">
        <v>1</v>
      </c>
      <c r="F89" s="86">
        <f t="shared" si="136"/>
        <v>12</v>
      </c>
      <c r="G89" s="229">
        <f t="shared" si="140"/>
        <v>212.5</v>
      </c>
      <c r="H89" s="50">
        <f t="shared" ref="H89:H95" si="143">G89*F89</f>
        <v>2550</v>
      </c>
      <c r="I89" s="33">
        <f t="shared" si="132"/>
        <v>1553.4443874813151</v>
      </c>
      <c r="J89" s="49">
        <f>(References!$C$49*I89)</f>
        <v>12.978069026031044</v>
      </c>
      <c r="K89" s="49">
        <f>J89/References!$G$52</f>
        <v>13.305381408684687</v>
      </c>
      <c r="L89" s="49">
        <f t="shared" si="142"/>
        <v>1.1087817840570573</v>
      </c>
      <c r="M89" s="240">
        <v>49.17</v>
      </c>
      <c r="N89" s="49">
        <f t="shared" si="139"/>
        <v>50.27878178405706</v>
      </c>
      <c r="O89" s="49" t="s">
        <v>251</v>
      </c>
      <c r="S89" s="49"/>
      <c r="T89" s="49"/>
      <c r="U89" s="49"/>
      <c r="V89" s="271">
        <f t="shared" si="134"/>
        <v>2.2549965101831548E-2</v>
      </c>
      <c r="W89" s="49">
        <f t="shared" si="135"/>
        <v>0</v>
      </c>
    </row>
    <row r="90" spans="1:23">
      <c r="A90" s="103"/>
      <c r="B90" s="94" t="s">
        <v>107</v>
      </c>
      <c r="C90" s="90" t="s">
        <v>194</v>
      </c>
      <c r="D90" s="85">
        <v>1</v>
      </c>
      <c r="E90" s="23">
        <v>1</v>
      </c>
      <c r="F90" s="86">
        <f t="shared" si="136"/>
        <v>12</v>
      </c>
      <c r="G90" s="229">
        <f t="shared" si="140"/>
        <v>324</v>
      </c>
      <c r="H90" s="50">
        <f t="shared" si="143"/>
        <v>3888</v>
      </c>
      <c r="I90" s="33">
        <f t="shared" si="132"/>
        <v>2368.5457955009228</v>
      </c>
      <c r="J90" s="49">
        <f>(References!$C$49*I90)</f>
        <v>19.787738185572042</v>
      </c>
      <c r="K90" s="49">
        <f>J90/References!$G$52</f>
        <v>20.286793300771009</v>
      </c>
      <c r="L90" s="49">
        <f t="shared" si="142"/>
        <v>1.690566108397584</v>
      </c>
      <c r="M90" s="240">
        <v>65.650000000000006</v>
      </c>
      <c r="N90" s="49">
        <f t="shared" si="139"/>
        <v>67.340566108397596</v>
      </c>
      <c r="O90" s="49" t="s">
        <v>251</v>
      </c>
      <c r="S90" s="49"/>
      <c r="T90" s="49"/>
      <c r="U90" s="49"/>
      <c r="V90" s="271">
        <f t="shared" si="134"/>
        <v>2.575119738610181E-2</v>
      </c>
      <c r="W90" s="49">
        <f t="shared" si="135"/>
        <v>5.9952043329758453E-15</v>
      </c>
    </row>
    <row r="91" spans="1:23">
      <c r="A91" s="103"/>
      <c r="B91" s="94" t="s">
        <v>107</v>
      </c>
      <c r="C91" s="90" t="s">
        <v>219</v>
      </c>
      <c r="D91" s="85">
        <v>1</v>
      </c>
      <c r="E91" s="23">
        <v>1</v>
      </c>
      <c r="F91" s="86">
        <f t="shared" si="136"/>
        <v>12</v>
      </c>
      <c r="G91" s="229">
        <f t="shared" si="140"/>
        <v>473</v>
      </c>
      <c r="H91" s="50">
        <f t="shared" si="143"/>
        <v>5676</v>
      </c>
      <c r="I91" s="33">
        <f t="shared" si="132"/>
        <v>3457.7844483701742</v>
      </c>
      <c r="J91" s="49">
        <f>(References!$C$49*I91)</f>
        <v>28.887654820294983</v>
      </c>
      <c r="K91" s="49">
        <f>J91/References!$G$52</f>
        <v>29.616213676742856</v>
      </c>
      <c r="L91" s="49">
        <f t="shared" si="142"/>
        <v>2.4680178063952378</v>
      </c>
      <c r="M91" s="240">
        <v>92.6</v>
      </c>
      <c r="N91" s="49">
        <f t="shared" si="139"/>
        <v>95.068017806395233</v>
      </c>
      <c r="O91" s="49" t="s">
        <v>251</v>
      </c>
      <c r="S91" s="49"/>
      <c r="T91" s="49"/>
      <c r="U91" s="49"/>
      <c r="V91" s="271">
        <f t="shared" si="134"/>
        <v>2.665246011225959E-2</v>
      </c>
      <c r="W91" s="49">
        <f t="shared" si="135"/>
        <v>0</v>
      </c>
    </row>
    <row r="92" spans="1:23">
      <c r="A92" s="103"/>
      <c r="B92" s="94" t="s">
        <v>107</v>
      </c>
      <c r="C92" s="90" t="s">
        <v>220</v>
      </c>
      <c r="D92" s="85">
        <v>1</v>
      </c>
      <c r="E92" s="23">
        <v>1</v>
      </c>
      <c r="F92" s="86">
        <f t="shared" si="136"/>
        <v>12</v>
      </c>
      <c r="G92" s="229">
        <f t="shared" si="140"/>
        <v>613</v>
      </c>
      <c r="H92" s="50">
        <f t="shared" si="143"/>
        <v>7356</v>
      </c>
      <c r="I92" s="33">
        <f t="shared" si="132"/>
        <v>4481.230162475511</v>
      </c>
      <c r="J92" s="49">
        <f>(References!$C$49*I92)</f>
        <v>37.437912060974256</v>
      </c>
      <c r="K92" s="49">
        <f>J92/References!$G$52</f>
        <v>38.382112016582177</v>
      </c>
      <c r="L92" s="49">
        <f t="shared" si="142"/>
        <v>3.1985093347151814</v>
      </c>
      <c r="M92" s="240">
        <v>121.69</v>
      </c>
      <c r="N92" s="49">
        <f t="shared" si="139"/>
        <v>124.88850933471518</v>
      </c>
      <c r="O92" s="49" t="s">
        <v>251</v>
      </c>
      <c r="S92" s="49"/>
      <c r="T92" s="49"/>
      <c r="U92" s="49"/>
      <c r="V92" s="271">
        <f t="shared" si="134"/>
        <v>2.6284077037679196E-2</v>
      </c>
      <c r="W92" s="49">
        <f t="shared" si="135"/>
        <v>0</v>
      </c>
    </row>
    <row r="93" spans="1:23">
      <c r="A93" s="103"/>
      <c r="B93" s="94" t="s">
        <v>107</v>
      </c>
      <c r="C93" s="90" t="s">
        <v>193</v>
      </c>
      <c r="D93" s="85">
        <v>1</v>
      </c>
      <c r="E93" s="23">
        <v>1</v>
      </c>
      <c r="F93" s="86">
        <f t="shared" si="136"/>
        <v>12</v>
      </c>
      <c r="G93" s="229">
        <f t="shared" si="140"/>
        <v>840</v>
      </c>
      <c r="H93" s="50">
        <f t="shared" si="143"/>
        <v>10080</v>
      </c>
      <c r="I93" s="33">
        <f t="shared" si="132"/>
        <v>6140.6742846320212</v>
      </c>
      <c r="J93" s="49">
        <f>(References!$C$49*I93)</f>
        <v>51.301543444075655</v>
      </c>
      <c r="K93" s="49">
        <f>J93/References!$G$52</f>
        <v>52.595390039035934</v>
      </c>
      <c r="L93" s="49">
        <f t="shared" si="142"/>
        <v>4.3829491699196614</v>
      </c>
      <c r="M93" s="240">
        <v>180.54</v>
      </c>
      <c r="N93" s="49">
        <f t="shared" si="139"/>
        <v>184.92294916991966</v>
      </c>
      <c r="O93" s="49" t="s">
        <v>251</v>
      </c>
      <c r="S93" s="49"/>
      <c r="T93" s="49"/>
      <c r="U93" s="49"/>
      <c r="V93" s="271">
        <f t="shared" si="134"/>
        <v>2.4276886949815342E-2</v>
      </c>
      <c r="W93" s="49">
        <f t="shared" si="135"/>
        <v>7.9936057773011271E-15</v>
      </c>
    </row>
    <row r="94" spans="1:23">
      <c r="A94" s="103"/>
      <c r="B94" s="94" t="s">
        <v>107</v>
      </c>
      <c r="C94" s="90" t="s">
        <v>221</v>
      </c>
      <c r="D94" s="85">
        <v>1</v>
      </c>
      <c r="E94" s="23">
        <v>1</v>
      </c>
      <c r="F94" s="86">
        <f t="shared" si="136"/>
        <v>12</v>
      </c>
      <c r="G94" s="229">
        <f t="shared" si="140"/>
        <v>980</v>
      </c>
      <c r="H94" s="50">
        <f t="shared" si="143"/>
        <v>11760</v>
      </c>
      <c r="I94" s="33">
        <f t="shared" si="132"/>
        <v>7164.1199987373584</v>
      </c>
      <c r="J94" s="49">
        <f>(References!$C$49*I94)</f>
        <v>59.851800684754927</v>
      </c>
      <c r="K94" s="49">
        <f>J94/References!$G$52</f>
        <v>61.361288378875258</v>
      </c>
      <c r="L94" s="49">
        <f t="shared" si="142"/>
        <v>5.1134406982396046</v>
      </c>
      <c r="M94" s="240">
        <v>224.55</v>
      </c>
      <c r="N94" s="49">
        <f t="shared" si="139"/>
        <v>229.66344069823961</v>
      </c>
      <c r="O94" s="49" t="s">
        <v>251</v>
      </c>
      <c r="S94" s="49"/>
      <c r="T94" s="49"/>
      <c r="U94" s="49"/>
      <c r="V94" s="271">
        <f t="shared" si="134"/>
        <v>2.2771946997281692E-2</v>
      </c>
      <c r="W94" s="49">
        <f t="shared" si="135"/>
        <v>0</v>
      </c>
    </row>
    <row r="95" spans="1:23" ht="14.25" customHeight="1">
      <c r="A95" s="103"/>
      <c r="B95" s="94" t="s">
        <v>107</v>
      </c>
      <c r="C95" s="90" t="s">
        <v>31</v>
      </c>
      <c r="D95" s="85">
        <v>1</v>
      </c>
      <c r="E95" s="23">
        <v>1</v>
      </c>
      <c r="F95" s="86">
        <f t="shared" si="136"/>
        <v>12</v>
      </c>
      <c r="G95" s="229">
        <f>References!B14</f>
        <v>34</v>
      </c>
      <c r="H95" s="50">
        <f t="shared" si="143"/>
        <v>408</v>
      </c>
      <c r="I95" s="33">
        <f t="shared" si="132"/>
        <v>248.55110199701039</v>
      </c>
      <c r="J95" s="49">
        <f>(References!$C$49*I95)</f>
        <v>2.0764910441649671</v>
      </c>
      <c r="K95" s="49">
        <f>J95/References!$G$52</f>
        <v>2.1288610253895501</v>
      </c>
      <c r="L95" s="49">
        <f t="shared" ref="L95" si="144">IFERROR(K95/F95*E95,0)</f>
        <v>0.17740508544912917</v>
      </c>
      <c r="M95" s="240">
        <v>6.87</v>
      </c>
      <c r="N95" s="49">
        <f t="shared" si="139"/>
        <v>7.047405085449129</v>
      </c>
      <c r="O95" s="49" t="s">
        <v>251</v>
      </c>
      <c r="S95" s="49"/>
      <c r="T95" s="49"/>
      <c r="U95" s="49"/>
      <c r="V95" s="271">
        <f t="shared" si="134"/>
        <v>2.5823156542813561E-2</v>
      </c>
      <c r="W95" s="49">
        <f t="shared" si="135"/>
        <v>-2.4980018054066022E-16</v>
      </c>
    </row>
    <row r="96" spans="1:23">
      <c r="A96" s="103"/>
      <c r="B96" s="94" t="s">
        <v>125</v>
      </c>
      <c r="C96" s="90" t="s">
        <v>223</v>
      </c>
      <c r="D96" s="85">
        <v>1</v>
      </c>
      <c r="E96" s="23">
        <v>1</v>
      </c>
      <c r="F96" s="86">
        <f t="shared" si="136"/>
        <v>12</v>
      </c>
      <c r="G96" s="229">
        <f>References!B38</f>
        <v>1686</v>
      </c>
      <c r="H96" s="50">
        <f t="shared" si="124"/>
        <v>20232</v>
      </c>
      <c r="I96" s="33">
        <f t="shared" si="132"/>
        <v>12325.210528439986</v>
      </c>
      <c r="J96" s="49">
        <f>(References!$C$49*I96)</f>
        <v>102.96952648418042</v>
      </c>
      <c r="K96" s="49">
        <f>J96/References!$G$52</f>
        <v>105.56646143549355</v>
      </c>
      <c r="L96" s="49">
        <f t="shared" ref="L96:L103" si="145">IFERROR(K96/F96*E96,0)</f>
        <v>8.7972051196244632</v>
      </c>
      <c r="M96" s="240">
        <v>487.09</v>
      </c>
      <c r="N96" s="49">
        <f t="shared" si="139"/>
        <v>495.88720511962441</v>
      </c>
      <c r="O96" s="49" t="s">
        <v>251</v>
      </c>
      <c r="S96" s="49"/>
      <c r="T96" s="49"/>
      <c r="U96" s="49"/>
      <c r="V96" s="271">
        <f t="shared" si="134"/>
        <v>1.806073850751291E-2</v>
      </c>
      <c r="W96" s="49">
        <f t="shared" si="135"/>
        <v>-2.6645352591003757E-14</v>
      </c>
    </row>
    <row r="97" spans="1:23">
      <c r="A97" s="103"/>
      <c r="B97" s="94" t="s">
        <v>125</v>
      </c>
      <c r="C97" s="90" t="s">
        <v>224</v>
      </c>
      <c r="D97" s="85">
        <v>1</v>
      </c>
      <c r="E97" s="23">
        <v>1</v>
      </c>
      <c r="F97" s="86">
        <f t="shared" si="136"/>
        <v>12</v>
      </c>
      <c r="G97" s="229">
        <f>References!B40</f>
        <v>2310</v>
      </c>
      <c r="H97" s="50">
        <f t="shared" si="124"/>
        <v>27720</v>
      </c>
      <c r="I97" s="33">
        <f t="shared" si="132"/>
        <v>16886.854282738059</v>
      </c>
      <c r="J97" s="49">
        <f>(References!$C$49*I97)</f>
        <v>141.07924447120806</v>
      </c>
      <c r="K97" s="49">
        <f>J97/References!$G$52</f>
        <v>144.63732260734884</v>
      </c>
      <c r="L97" s="49">
        <f t="shared" si="145"/>
        <v>12.05311021727907</v>
      </c>
      <c r="M97" s="240">
        <v>651.19000000000005</v>
      </c>
      <c r="N97" s="49">
        <f t="shared" si="139"/>
        <v>663.24311021727908</v>
      </c>
      <c r="O97" s="49" t="s">
        <v>251</v>
      </c>
      <c r="S97" s="49"/>
      <c r="T97" s="49"/>
      <c r="U97" s="49"/>
      <c r="V97" s="271">
        <f t="shared" ref="V97:V116" si="146">L97/M97</f>
        <v>1.850936012113065E-2</v>
      </c>
      <c r="W97" s="49">
        <f t="shared" ref="W97:W116" si="147">N97-M97-L97</f>
        <v>-4.2632564145606011E-14</v>
      </c>
    </row>
    <row r="98" spans="1:23">
      <c r="A98" s="103"/>
      <c r="B98" s="94" t="s">
        <v>125</v>
      </c>
      <c r="C98" s="90" t="s">
        <v>118</v>
      </c>
      <c r="D98" s="85">
        <v>1</v>
      </c>
      <c r="E98" s="23">
        <v>1</v>
      </c>
      <c r="F98" s="86">
        <f t="shared" si="136"/>
        <v>12</v>
      </c>
      <c r="G98" s="229">
        <f>References!B37</f>
        <v>1301</v>
      </c>
      <c r="H98" s="50">
        <f t="shared" ref="H98:H114" si="148">G98*F98</f>
        <v>15612</v>
      </c>
      <c r="I98" s="33">
        <f t="shared" ref="I98:I114" si="149">$D$125*H98</f>
        <v>9510.73481465031</v>
      </c>
      <c r="J98" s="49">
        <f>(References!$C$49*I98)</f>
        <v>79.456319072312411</v>
      </c>
      <c r="K98" s="49">
        <f>J98/References!$G$52</f>
        <v>81.460241000935412</v>
      </c>
      <c r="L98" s="49">
        <f t="shared" si="145"/>
        <v>6.7883534167446173</v>
      </c>
      <c r="M98" s="240">
        <v>309.91000000000003</v>
      </c>
      <c r="N98" s="49">
        <f t="shared" ref="N98:N114" si="150">L98+M98</f>
        <v>316.69835341674462</v>
      </c>
      <c r="O98" s="49" t="s">
        <v>251</v>
      </c>
      <c r="S98" s="49"/>
      <c r="T98" s="49"/>
      <c r="U98" s="49"/>
      <c r="V98" s="271">
        <f t="shared" si="146"/>
        <v>2.1904273552788282E-2</v>
      </c>
      <c r="W98" s="49">
        <f t="shared" si="147"/>
        <v>-1.865174681370263E-14</v>
      </c>
    </row>
    <row r="99" spans="1:23">
      <c r="A99" s="103"/>
      <c r="B99" s="94" t="s">
        <v>125</v>
      </c>
      <c r="C99" s="90" t="s">
        <v>119</v>
      </c>
      <c r="D99" s="85">
        <v>1</v>
      </c>
      <c r="E99" s="23">
        <v>1</v>
      </c>
      <c r="F99" s="86">
        <f t="shared" si="136"/>
        <v>12</v>
      </c>
      <c r="G99" s="229">
        <f>References!B38</f>
        <v>1686</v>
      </c>
      <c r="H99" s="50">
        <f t="shared" si="148"/>
        <v>20232</v>
      </c>
      <c r="I99" s="33">
        <f t="shared" si="149"/>
        <v>12325.210528439986</v>
      </c>
      <c r="J99" s="49">
        <f>(References!$C$49*I99)</f>
        <v>102.96952648418042</v>
      </c>
      <c r="K99" s="49">
        <f>J99/References!$G$52</f>
        <v>105.56646143549355</v>
      </c>
      <c r="L99" s="49">
        <f t="shared" si="145"/>
        <v>8.7972051196244632</v>
      </c>
      <c r="M99" s="240">
        <v>490.14</v>
      </c>
      <c r="N99" s="49">
        <f t="shared" si="150"/>
        <v>498.93720511962442</v>
      </c>
      <c r="O99" s="49" t="s">
        <v>251</v>
      </c>
      <c r="S99" s="49"/>
      <c r="T99" s="49"/>
      <c r="U99" s="49"/>
      <c r="V99" s="271">
        <f t="shared" si="146"/>
        <v>1.7948351735472445E-2</v>
      </c>
      <c r="W99" s="49">
        <f t="shared" si="147"/>
        <v>-2.6645352591003757E-14</v>
      </c>
    </row>
    <row r="100" spans="1:23">
      <c r="A100" s="103"/>
      <c r="B100" s="94" t="s">
        <v>125</v>
      </c>
      <c r="C100" s="90" t="s">
        <v>120</v>
      </c>
      <c r="D100" s="85">
        <v>1</v>
      </c>
      <c r="E100" s="23">
        <v>1</v>
      </c>
      <c r="F100" s="86">
        <f t="shared" si="136"/>
        <v>12</v>
      </c>
      <c r="G100" s="229">
        <f>References!B40</f>
        <v>2310</v>
      </c>
      <c r="H100" s="50">
        <f t="shared" si="148"/>
        <v>27720</v>
      </c>
      <c r="I100" s="33">
        <f t="shared" si="149"/>
        <v>16886.854282738059</v>
      </c>
      <c r="J100" s="49">
        <f>(References!$C$49*I100)</f>
        <v>141.07924447120806</v>
      </c>
      <c r="K100" s="49">
        <f>J100/References!$G$52</f>
        <v>144.63732260734884</v>
      </c>
      <c r="L100" s="49">
        <f t="shared" si="145"/>
        <v>12.05311021727907</v>
      </c>
      <c r="M100" s="240">
        <v>654.01</v>
      </c>
      <c r="N100" s="49">
        <f t="shared" si="150"/>
        <v>666.06311021727902</v>
      </c>
      <c r="O100" s="49" t="s">
        <v>251</v>
      </c>
      <c r="S100" s="49"/>
      <c r="T100" s="49"/>
      <c r="U100" s="49"/>
      <c r="V100" s="271">
        <f t="shared" si="146"/>
        <v>1.8429550339106541E-2</v>
      </c>
      <c r="W100" s="49">
        <f t="shared" si="147"/>
        <v>-4.2632564145606011E-14</v>
      </c>
    </row>
    <row r="101" spans="1:23">
      <c r="A101" s="103"/>
      <c r="B101" s="13" t="s">
        <v>106</v>
      </c>
      <c r="C101" s="90" t="s">
        <v>188</v>
      </c>
      <c r="D101" s="85">
        <v>1</v>
      </c>
      <c r="E101" s="23">
        <v>1</v>
      </c>
      <c r="F101" s="86">
        <f t="shared" si="136"/>
        <v>12</v>
      </c>
      <c r="G101" s="229">
        <f>References!B26</f>
        <v>29</v>
      </c>
      <c r="H101" s="50">
        <f t="shared" si="148"/>
        <v>348</v>
      </c>
      <c r="I101" s="33">
        <f t="shared" si="149"/>
        <v>211.99946935039122</v>
      </c>
      <c r="J101" s="49">
        <f>(References!$C$49*I101)</f>
        <v>1.7711247141407072</v>
      </c>
      <c r="K101" s="49">
        <f>J101/References!$G$52</f>
        <v>1.8157932275381454</v>
      </c>
      <c r="L101" s="49">
        <f t="shared" si="145"/>
        <v>0.15131610229484546</v>
      </c>
      <c r="M101" s="240">
        <v>9.6322823915440683</v>
      </c>
      <c r="N101" s="49">
        <f t="shared" si="150"/>
        <v>9.7835984938389142</v>
      </c>
      <c r="O101" s="49" t="s">
        <v>251</v>
      </c>
      <c r="S101" s="49"/>
      <c r="T101" s="49"/>
      <c r="U101" s="49"/>
      <c r="V101" s="271">
        <f t="shared" ref="V101:V108" si="151">L101/M101</f>
        <v>1.5709267663049618E-2</v>
      </c>
      <c r="W101" s="49">
        <f t="shared" ref="W101:W108" si="152">N101-M101-L101</f>
        <v>4.7184478546569153E-16</v>
      </c>
    </row>
    <row r="102" spans="1:23">
      <c r="A102" s="45"/>
      <c r="B102" s="13" t="s">
        <v>106</v>
      </c>
      <c r="C102" s="90" t="s">
        <v>252</v>
      </c>
      <c r="D102" s="85">
        <v>1</v>
      </c>
      <c r="E102" s="23">
        <v>12</v>
      </c>
      <c r="F102" s="86">
        <f>D102*E102</f>
        <v>12</v>
      </c>
      <c r="G102" s="228">
        <f>References!B21</f>
        <v>47</v>
      </c>
      <c r="H102" s="50">
        <f>G102*F102</f>
        <v>564</v>
      </c>
      <c r="I102" s="33">
        <f t="shared" si="149"/>
        <v>343.58534687822026</v>
      </c>
      <c r="J102" s="49">
        <f>(References!$C$49*I102)</f>
        <v>2.8704435022280426</v>
      </c>
      <c r="K102" s="49">
        <f>J102/References!$G$52</f>
        <v>2.9428372998032013</v>
      </c>
      <c r="L102" s="49">
        <f>IFERROR(K102/F102,0)</f>
        <v>0.24523644165026678</v>
      </c>
      <c r="M102" s="240">
        <v>13.07628801394632</v>
      </c>
      <c r="N102" s="49">
        <f>L102+M102</f>
        <v>13.321524455596586</v>
      </c>
      <c r="O102" s="49" t="s">
        <v>251</v>
      </c>
      <c r="S102" s="49"/>
      <c r="T102" s="49"/>
      <c r="U102" s="49"/>
      <c r="V102" s="271">
        <f t="shared" si="151"/>
        <v>1.8754285726095474E-2</v>
      </c>
      <c r="W102" s="49">
        <f t="shared" si="152"/>
        <v>0</v>
      </c>
    </row>
    <row r="103" spans="1:23">
      <c r="A103" s="103"/>
      <c r="B103" s="84" t="s">
        <v>106</v>
      </c>
      <c r="C103" s="90" t="s">
        <v>195</v>
      </c>
      <c r="D103" s="85">
        <v>1</v>
      </c>
      <c r="E103" s="23">
        <v>1</v>
      </c>
      <c r="F103" s="86">
        <f t="shared" si="136"/>
        <v>12</v>
      </c>
      <c r="G103" s="228">
        <f>References!$B$27</f>
        <v>175</v>
      </c>
      <c r="H103" s="50">
        <f t="shared" si="148"/>
        <v>2100</v>
      </c>
      <c r="I103" s="33">
        <f t="shared" si="149"/>
        <v>1279.3071426316712</v>
      </c>
      <c r="J103" s="49">
        <f>(References!$C$49*I103)</f>
        <v>10.687821550849096</v>
      </c>
      <c r="K103" s="49">
        <f>J103/References!$G$52</f>
        <v>10.957372924799154</v>
      </c>
      <c r="L103" s="49">
        <f t="shared" si="145"/>
        <v>0.91311441039992947</v>
      </c>
      <c r="M103" s="239">
        <v>29.56</v>
      </c>
      <c r="N103" s="49">
        <f t="shared" si="150"/>
        <v>30.47311441039993</v>
      </c>
      <c r="O103" s="49" t="s">
        <v>251</v>
      </c>
      <c r="S103" s="49"/>
      <c r="T103" s="49"/>
      <c r="U103" s="49"/>
      <c r="V103" s="271">
        <f t="shared" si="151"/>
        <v>3.0890203328820347E-2</v>
      </c>
      <c r="W103" s="49">
        <f t="shared" si="152"/>
        <v>1.6653345369377348E-15</v>
      </c>
    </row>
    <row r="104" spans="1:23">
      <c r="A104" s="103"/>
      <c r="B104" s="13" t="s">
        <v>106</v>
      </c>
      <c r="C104" s="90" t="s">
        <v>217</v>
      </c>
      <c r="D104" s="85">
        <v>1</v>
      </c>
      <c r="E104" s="23">
        <v>1</v>
      </c>
      <c r="F104" s="86">
        <f t="shared" si="136"/>
        <v>12</v>
      </c>
      <c r="G104" s="229">
        <f>G42</f>
        <v>175</v>
      </c>
      <c r="H104" s="50">
        <f t="shared" ref="H104:H108" si="153">G104*F104</f>
        <v>2100</v>
      </c>
      <c r="I104" s="33">
        <f t="shared" si="149"/>
        <v>1279.3071426316712</v>
      </c>
      <c r="J104" s="49">
        <f>(References!$C$49*I104)</f>
        <v>10.687821550849096</v>
      </c>
      <c r="K104" s="49">
        <f>J104/References!$G$52</f>
        <v>10.957372924799154</v>
      </c>
      <c r="L104" s="49">
        <f t="shared" ref="L104:L108" si="154">IFERROR(K104/F104*E104,0)</f>
        <v>0.91311441039992947</v>
      </c>
      <c r="M104" s="240">
        <v>36.909999999999997</v>
      </c>
      <c r="N104" s="49">
        <f t="shared" si="150"/>
        <v>37.823114410399924</v>
      </c>
      <c r="O104" s="49" t="s">
        <v>251</v>
      </c>
      <c r="S104" s="49"/>
      <c r="T104" s="49"/>
      <c r="U104" s="49"/>
      <c r="V104" s="271">
        <f t="shared" si="151"/>
        <v>2.473894365754347E-2</v>
      </c>
      <c r="W104" s="49">
        <f t="shared" si="152"/>
        <v>-1.8873791418627661E-15</v>
      </c>
    </row>
    <row r="105" spans="1:23">
      <c r="A105" s="103"/>
      <c r="B105" s="13" t="s">
        <v>106</v>
      </c>
      <c r="C105" s="90" t="s">
        <v>194</v>
      </c>
      <c r="D105" s="85">
        <v>1</v>
      </c>
      <c r="E105" s="23">
        <v>1</v>
      </c>
      <c r="F105" s="86">
        <f t="shared" si="136"/>
        <v>12</v>
      </c>
      <c r="G105" s="229">
        <f>References!B29</f>
        <v>324</v>
      </c>
      <c r="H105" s="50">
        <f t="shared" si="153"/>
        <v>3888</v>
      </c>
      <c r="I105" s="33">
        <f t="shared" si="149"/>
        <v>2368.5457955009228</v>
      </c>
      <c r="J105" s="49">
        <f>(References!$C$49*I105)</f>
        <v>19.787738185572042</v>
      </c>
      <c r="K105" s="49">
        <f>J105/References!$G$52</f>
        <v>20.286793300771009</v>
      </c>
      <c r="L105" s="49">
        <f t="shared" si="154"/>
        <v>1.690566108397584</v>
      </c>
      <c r="M105" s="240">
        <v>50.118481819339401</v>
      </c>
      <c r="N105" s="49">
        <f t="shared" si="150"/>
        <v>51.809047927736984</v>
      </c>
      <c r="O105" s="49" t="s">
        <v>251</v>
      </c>
      <c r="S105" s="49"/>
      <c r="T105" s="49"/>
      <c r="U105" s="49"/>
      <c r="V105" s="271">
        <f t="shared" si="151"/>
        <v>3.3731391036374909E-2</v>
      </c>
      <c r="W105" s="49">
        <f t="shared" si="152"/>
        <v>0</v>
      </c>
    </row>
    <row r="106" spans="1:23">
      <c r="A106" s="103"/>
      <c r="B106" s="13" t="s">
        <v>106</v>
      </c>
      <c r="C106" s="90" t="s">
        <v>219</v>
      </c>
      <c r="D106" s="85">
        <v>1</v>
      </c>
      <c r="E106" s="23">
        <v>1</v>
      </c>
      <c r="F106" s="86">
        <f t="shared" si="136"/>
        <v>12</v>
      </c>
      <c r="G106" s="229">
        <f>G45</f>
        <v>473</v>
      </c>
      <c r="H106" s="50">
        <f t="shared" si="153"/>
        <v>5676</v>
      </c>
      <c r="I106" s="33">
        <f t="shared" si="149"/>
        <v>3457.7844483701742</v>
      </c>
      <c r="J106" s="49">
        <f>(References!$C$49*I106)</f>
        <v>28.887654820294983</v>
      </c>
      <c r="K106" s="49">
        <f>J106/References!$G$52</f>
        <v>29.616213676742856</v>
      </c>
      <c r="L106" s="49">
        <f t="shared" si="154"/>
        <v>2.4680178063952378</v>
      </c>
      <c r="M106" s="240">
        <v>69.295579792969704</v>
      </c>
      <c r="N106" s="49">
        <f t="shared" si="150"/>
        <v>71.763597599364942</v>
      </c>
      <c r="O106" s="49" t="s">
        <v>251</v>
      </c>
      <c r="S106" s="49"/>
      <c r="T106" s="49"/>
      <c r="U106" s="49"/>
      <c r="V106" s="271">
        <f t="shared" si="151"/>
        <v>3.5615804265853437E-2</v>
      </c>
      <c r="W106" s="49">
        <f t="shared" si="152"/>
        <v>0</v>
      </c>
    </row>
    <row r="107" spans="1:23">
      <c r="A107" s="45"/>
      <c r="B107" s="84" t="s">
        <v>106</v>
      </c>
      <c r="C107" s="90" t="s">
        <v>220</v>
      </c>
      <c r="D107" s="85">
        <v>1</v>
      </c>
      <c r="E107" s="23">
        <v>1</v>
      </c>
      <c r="F107" s="86">
        <f t="shared" ref="F107" si="155">D107*E107</f>
        <v>1</v>
      </c>
      <c r="G107" s="228">
        <f>References!$B$31</f>
        <v>613</v>
      </c>
      <c r="H107" s="50">
        <f t="shared" ref="H107" si="156">G107*F107</f>
        <v>613</v>
      </c>
      <c r="I107" s="33">
        <f t="shared" si="149"/>
        <v>373.43584687295925</v>
      </c>
      <c r="J107" s="49">
        <f>(References!$C$49*I107)</f>
        <v>3.1198260050811881</v>
      </c>
      <c r="K107" s="49">
        <f>J107/References!$G$52</f>
        <v>3.1985093347151814</v>
      </c>
      <c r="L107" s="49">
        <f t="shared" ref="L107" si="157">IFERROR(K107/F107,0)</f>
        <v>3.1985093347151814</v>
      </c>
      <c r="M107" s="239">
        <v>90.615614598316952</v>
      </c>
      <c r="N107" s="49">
        <f t="shared" ref="N107" si="158">L107+M107</f>
        <v>93.814123933032135</v>
      </c>
      <c r="O107" s="49" t="s">
        <v>251</v>
      </c>
      <c r="S107" s="49"/>
      <c r="T107" s="49"/>
      <c r="U107" s="49"/>
      <c r="V107" s="271">
        <f t="shared" si="151"/>
        <v>3.5297551629414087E-2</v>
      </c>
      <c r="W107" s="49">
        <f t="shared" si="152"/>
        <v>0</v>
      </c>
    </row>
    <row r="108" spans="1:23">
      <c r="A108" s="103"/>
      <c r="B108" s="13" t="s">
        <v>106</v>
      </c>
      <c r="C108" s="90" t="s">
        <v>221</v>
      </c>
      <c r="D108" s="85">
        <v>1</v>
      </c>
      <c r="E108" s="23">
        <v>1</v>
      </c>
      <c r="F108" s="86">
        <f t="shared" si="136"/>
        <v>12</v>
      </c>
      <c r="G108" s="229">
        <f>G48</f>
        <v>980</v>
      </c>
      <c r="H108" s="50">
        <f t="shared" si="153"/>
        <v>11760</v>
      </c>
      <c r="I108" s="33">
        <f t="shared" si="149"/>
        <v>7164.1199987373584</v>
      </c>
      <c r="J108" s="49">
        <f>(References!$C$49*I108)</f>
        <v>59.851800684754927</v>
      </c>
      <c r="K108" s="49">
        <f>J108/References!$G$52</f>
        <v>61.361288378875258</v>
      </c>
      <c r="L108" s="49">
        <f t="shared" si="154"/>
        <v>5.1134406982396046</v>
      </c>
      <c r="M108" s="240">
        <v>162.40399846083494</v>
      </c>
      <c r="N108" s="49">
        <f t="shared" si="150"/>
        <v>167.51743915907454</v>
      </c>
      <c r="O108" s="49" t="s">
        <v>251</v>
      </c>
      <c r="S108" s="49"/>
      <c r="T108" s="49"/>
      <c r="U108" s="49"/>
      <c r="V108" s="271">
        <f t="shared" si="151"/>
        <v>3.1485928589823194E-2</v>
      </c>
      <c r="W108" s="49">
        <f t="shared" si="152"/>
        <v>0</v>
      </c>
    </row>
    <row r="109" spans="1:23">
      <c r="A109" s="103"/>
      <c r="B109" s="13" t="s">
        <v>124</v>
      </c>
      <c r="C109" s="90" t="s">
        <v>122</v>
      </c>
      <c r="D109" s="85">
        <v>1</v>
      </c>
      <c r="E109" s="23">
        <v>1</v>
      </c>
      <c r="F109" s="86">
        <f t="shared" si="136"/>
        <v>12</v>
      </c>
      <c r="G109" s="229">
        <f>References!B26</f>
        <v>29</v>
      </c>
      <c r="H109" s="50">
        <f t="shared" si="148"/>
        <v>348</v>
      </c>
      <c r="I109" s="33">
        <f t="shared" si="149"/>
        <v>211.99946935039122</v>
      </c>
      <c r="J109" s="49">
        <f>(References!$C$49*I109)</f>
        <v>1.7711247141407072</v>
      </c>
      <c r="K109" s="49">
        <f>J109/References!$G$52</f>
        <v>1.8157932275381454</v>
      </c>
      <c r="L109" s="49">
        <f t="shared" ref="L109:L114" si="159">IFERROR(K109/F109*E109,0)</f>
        <v>0.15131610229484546</v>
      </c>
      <c r="M109" s="240">
        <v>9.6300000000000008</v>
      </c>
      <c r="N109" s="49">
        <f t="shared" si="150"/>
        <v>9.7813161022948467</v>
      </c>
      <c r="O109" s="49" t="s">
        <v>251</v>
      </c>
      <c r="S109" s="49"/>
      <c r="T109" s="49"/>
      <c r="U109" s="49"/>
      <c r="V109" s="271">
        <f t="shared" si="146"/>
        <v>1.5712990892507314E-2</v>
      </c>
      <c r="W109" s="49">
        <f t="shared" si="147"/>
        <v>4.7184478546569153E-16</v>
      </c>
    </row>
    <row r="110" spans="1:23">
      <c r="A110" s="103"/>
      <c r="B110" s="13" t="s">
        <v>126</v>
      </c>
      <c r="C110" s="90" t="s">
        <v>211</v>
      </c>
      <c r="D110" s="85">
        <v>1</v>
      </c>
      <c r="E110" s="23">
        <v>1</v>
      </c>
      <c r="F110" s="86">
        <f t="shared" si="136"/>
        <v>12</v>
      </c>
      <c r="G110" s="229">
        <f>References!B37</f>
        <v>1301</v>
      </c>
      <c r="H110" s="50">
        <f t="shared" si="148"/>
        <v>15612</v>
      </c>
      <c r="I110" s="33">
        <f t="shared" si="149"/>
        <v>9510.73481465031</v>
      </c>
      <c r="J110" s="49">
        <f>(References!$C$49*I110)</f>
        <v>79.456319072312411</v>
      </c>
      <c r="K110" s="49">
        <f>J110/References!$G$52</f>
        <v>81.460241000935412</v>
      </c>
      <c r="L110" s="49">
        <f t="shared" si="159"/>
        <v>6.7883534167446173</v>
      </c>
      <c r="M110" s="240">
        <v>224.98</v>
      </c>
      <c r="N110" s="49">
        <f t="shared" si="150"/>
        <v>231.76835341674462</v>
      </c>
      <c r="O110" s="49" t="s">
        <v>251</v>
      </c>
      <c r="S110" s="49"/>
      <c r="T110" s="49"/>
      <c r="U110" s="49"/>
      <c r="V110" s="271">
        <f t="shared" si="146"/>
        <v>3.0173141687014925E-2</v>
      </c>
      <c r="W110" s="49">
        <f t="shared" si="147"/>
        <v>9.7699626167013776E-15</v>
      </c>
    </row>
    <row r="111" spans="1:23">
      <c r="A111" s="105"/>
      <c r="B111" s="13" t="s">
        <v>126</v>
      </c>
      <c r="C111" s="90" t="s">
        <v>212</v>
      </c>
      <c r="D111" s="85">
        <v>1</v>
      </c>
      <c r="E111" s="23">
        <v>1</v>
      </c>
      <c r="F111" s="86">
        <f t="shared" si="136"/>
        <v>12</v>
      </c>
      <c r="G111" s="229">
        <f>References!B38</f>
        <v>1686</v>
      </c>
      <c r="H111" s="50">
        <f t="shared" si="148"/>
        <v>20232</v>
      </c>
      <c r="I111" s="33">
        <f t="shared" si="149"/>
        <v>12325.210528439986</v>
      </c>
      <c r="J111" s="49">
        <f>(References!$C$49*I111)</f>
        <v>102.96952648418042</v>
      </c>
      <c r="K111" s="49">
        <f>J111/References!$G$52</f>
        <v>105.56646143549355</v>
      </c>
      <c r="L111" s="49">
        <f t="shared" si="159"/>
        <v>8.7972051196244632</v>
      </c>
      <c r="M111" s="240">
        <v>378.34</v>
      </c>
      <c r="N111" s="49">
        <f t="shared" si="150"/>
        <v>387.13720511962441</v>
      </c>
      <c r="O111" s="49" t="s">
        <v>251</v>
      </c>
      <c r="S111" s="49"/>
      <c r="T111" s="49"/>
      <c r="U111" s="49"/>
      <c r="V111" s="271">
        <f t="shared" si="146"/>
        <v>2.3252114816367457E-2</v>
      </c>
      <c r="W111" s="49">
        <f t="shared" si="147"/>
        <v>-2.6645352591003757E-14</v>
      </c>
    </row>
    <row r="112" spans="1:23">
      <c r="A112" s="105"/>
      <c r="B112" s="13" t="s">
        <v>126</v>
      </c>
      <c r="C112" s="90" t="s">
        <v>118</v>
      </c>
      <c r="D112" s="85">
        <v>1</v>
      </c>
      <c r="E112" s="23">
        <v>1</v>
      </c>
      <c r="F112" s="86">
        <f t="shared" si="136"/>
        <v>12</v>
      </c>
      <c r="G112" s="229">
        <f>References!B37</f>
        <v>1301</v>
      </c>
      <c r="H112" s="50">
        <f t="shared" si="148"/>
        <v>15612</v>
      </c>
      <c r="I112" s="33">
        <f t="shared" si="149"/>
        <v>9510.73481465031</v>
      </c>
      <c r="J112" s="49">
        <f>(References!$C$49*I112)</f>
        <v>79.456319072312411</v>
      </c>
      <c r="K112" s="49">
        <f>J112/References!$G$52</f>
        <v>81.460241000935412</v>
      </c>
      <c r="L112" s="49">
        <f t="shared" si="159"/>
        <v>6.7883534167446173</v>
      </c>
      <c r="M112" s="240">
        <v>228.35</v>
      </c>
      <c r="N112" s="49">
        <f t="shared" si="150"/>
        <v>235.13835341674462</v>
      </c>
      <c r="O112" s="49" t="s">
        <v>251</v>
      </c>
      <c r="S112" s="49"/>
      <c r="T112" s="49"/>
      <c r="U112" s="49"/>
      <c r="V112" s="271">
        <f t="shared" si="146"/>
        <v>2.9727845048148096E-2</v>
      </c>
      <c r="W112" s="49">
        <f t="shared" si="147"/>
        <v>9.7699626167013776E-15</v>
      </c>
    </row>
    <row r="113" spans="1:23">
      <c r="A113" s="105"/>
      <c r="B113" s="13" t="s">
        <v>126</v>
      </c>
      <c r="C113" s="90" t="s">
        <v>119</v>
      </c>
      <c r="D113" s="85">
        <v>1</v>
      </c>
      <c r="E113" s="23">
        <v>1</v>
      </c>
      <c r="F113" s="86">
        <f t="shared" si="136"/>
        <v>12</v>
      </c>
      <c r="G113" s="229">
        <f>References!B38</f>
        <v>1686</v>
      </c>
      <c r="H113" s="50">
        <f t="shared" si="148"/>
        <v>20232</v>
      </c>
      <c r="I113" s="33">
        <f t="shared" si="149"/>
        <v>12325.210528439986</v>
      </c>
      <c r="J113" s="49">
        <f>(References!$C$49*I113)</f>
        <v>102.96952648418042</v>
      </c>
      <c r="K113" s="49">
        <f>J113/References!$G$52</f>
        <v>105.56646143549355</v>
      </c>
      <c r="L113" s="49">
        <f t="shared" si="159"/>
        <v>8.7972051196244632</v>
      </c>
      <c r="M113" s="240">
        <v>381.39</v>
      </c>
      <c r="N113" s="49">
        <f t="shared" si="150"/>
        <v>390.18720511962442</v>
      </c>
      <c r="O113" s="49" t="s">
        <v>251</v>
      </c>
      <c r="S113" s="49"/>
      <c r="T113" s="49"/>
      <c r="U113" s="49"/>
      <c r="V113" s="271">
        <f t="shared" si="146"/>
        <v>2.3066166180614234E-2</v>
      </c>
      <c r="W113" s="49">
        <f t="shared" si="147"/>
        <v>-2.6645352591003757E-14</v>
      </c>
    </row>
    <row r="114" spans="1:23">
      <c r="A114" s="106"/>
      <c r="B114" s="107" t="s">
        <v>126</v>
      </c>
      <c r="C114" s="108" t="s">
        <v>120</v>
      </c>
      <c r="D114" s="109">
        <v>1</v>
      </c>
      <c r="E114" s="110">
        <v>1</v>
      </c>
      <c r="F114" s="111">
        <f t="shared" si="136"/>
        <v>12</v>
      </c>
      <c r="G114" s="238">
        <f>References!B40</f>
        <v>2310</v>
      </c>
      <c r="H114" s="112">
        <f t="shared" si="148"/>
        <v>27720</v>
      </c>
      <c r="I114" s="113">
        <f t="shared" si="149"/>
        <v>16886.854282738059</v>
      </c>
      <c r="J114" s="114">
        <f>(References!$C$49*I114)</f>
        <v>141.07924447120806</v>
      </c>
      <c r="K114" s="114">
        <f>J114/References!$G$52</f>
        <v>144.63732260734884</v>
      </c>
      <c r="L114" s="114">
        <f t="shared" si="159"/>
        <v>12.05311021727907</v>
      </c>
      <c r="M114" s="240">
        <v>490.89</v>
      </c>
      <c r="N114" s="49">
        <f t="shared" si="150"/>
        <v>502.94311021727907</v>
      </c>
      <c r="O114" s="49" t="s">
        <v>251</v>
      </c>
      <c r="S114" s="49"/>
      <c r="T114" s="49"/>
      <c r="U114" s="49"/>
      <c r="V114" s="271">
        <f t="shared" si="146"/>
        <v>2.455358678579533E-2</v>
      </c>
      <c r="W114" s="49">
        <f t="shared" si="147"/>
        <v>1.4210854715202004E-14</v>
      </c>
    </row>
    <row r="115" spans="1:23">
      <c r="A115" s="45"/>
      <c r="B115" s="13" t="s">
        <v>231</v>
      </c>
      <c r="C115" s="60" t="s">
        <v>232</v>
      </c>
      <c r="D115" s="85">
        <v>1</v>
      </c>
      <c r="E115" s="23">
        <v>1</v>
      </c>
      <c r="F115" s="86">
        <v>12</v>
      </c>
      <c r="G115" s="229">
        <f>References!B42</f>
        <v>125</v>
      </c>
      <c r="H115" s="264">
        <f t="shared" ref="H115:H116" si="160">G115*F115</f>
        <v>1500</v>
      </c>
      <c r="I115" s="265">
        <f t="shared" ref="I115:I116" si="161">$D$125*H115</f>
        <v>913.79081616547944</v>
      </c>
      <c r="J115" s="53">
        <f>(References!$C$49*I115)</f>
        <v>7.6341582506064967</v>
      </c>
      <c r="K115" s="53">
        <f>J115/References!$G$52</f>
        <v>7.8266949462851096</v>
      </c>
      <c r="L115" s="53">
        <f t="shared" ref="L115:L116" si="162">IFERROR(K115/F115*E115,0)</f>
        <v>0.65222457885709251</v>
      </c>
      <c r="M115" s="268">
        <v>21.83</v>
      </c>
      <c r="N115" s="53">
        <f t="shared" ref="N115:N116" si="163">L115+M115</f>
        <v>22.482224578857092</v>
      </c>
      <c r="S115" s="49"/>
      <c r="T115" s="49"/>
      <c r="U115" s="49"/>
      <c r="V115" s="271">
        <f t="shared" si="146"/>
        <v>2.9877442916037222E-2</v>
      </c>
      <c r="W115" s="49">
        <f t="shared" si="147"/>
        <v>1.6653345369377348E-15</v>
      </c>
    </row>
    <row r="116" spans="1:23">
      <c r="A116" s="45"/>
      <c r="B116" s="13" t="s">
        <v>231</v>
      </c>
      <c r="C116" s="60" t="s">
        <v>233</v>
      </c>
      <c r="D116" s="85">
        <v>1</v>
      </c>
      <c r="E116" s="23">
        <v>1</v>
      </c>
      <c r="F116" s="86">
        <v>12</v>
      </c>
      <c r="G116" s="229">
        <f>References!B42</f>
        <v>125</v>
      </c>
      <c r="H116" s="50">
        <f t="shared" si="160"/>
        <v>1500</v>
      </c>
      <c r="I116" s="33">
        <f t="shared" si="161"/>
        <v>913.79081616547944</v>
      </c>
      <c r="J116" s="49">
        <f>(References!$C$49*I116)</f>
        <v>7.6341582506064967</v>
      </c>
      <c r="K116" s="49">
        <f>J116/References!$G$52</f>
        <v>7.8266949462851096</v>
      </c>
      <c r="L116" s="49">
        <f t="shared" si="162"/>
        <v>0.65222457885709251</v>
      </c>
      <c r="M116" s="240">
        <v>21.83</v>
      </c>
      <c r="N116" s="49">
        <f t="shared" si="163"/>
        <v>22.482224578857092</v>
      </c>
      <c r="S116" s="49"/>
      <c r="T116" s="49"/>
      <c r="U116" s="49"/>
      <c r="V116" s="271">
        <f t="shared" si="146"/>
        <v>2.9877442916037222E-2</v>
      </c>
      <c r="W116" s="49">
        <f t="shared" si="147"/>
        <v>1.6653345369377348E-15</v>
      </c>
    </row>
    <row r="117" spans="1:23">
      <c r="A117" s="45"/>
      <c r="C117" s="60"/>
      <c r="D117" s="30"/>
      <c r="E117" s="23"/>
      <c r="F117" s="41"/>
      <c r="G117" s="80"/>
      <c r="H117" s="41"/>
      <c r="J117" s="49"/>
      <c r="K117" s="62"/>
      <c r="L117" s="62"/>
      <c r="M117" s="62"/>
      <c r="N117" s="62"/>
      <c r="P117" s="43"/>
      <c r="T117" s="15"/>
      <c r="U117" s="15"/>
    </row>
    <row r="118" spans="1:23">
      <c r="A118" s="45"/>
      <c r="C118" s="60"/>
      <c r="D118" s="30"/>
      <c r="E118" s="23"/>
      <c r="F118" s="41"/>
      <c r="G118" s="80"/>
      <c r="H118" s="41"/>
      <c r="J118" s="49"/>
      <c r="K118" s="62"/>
      <c r="L118" s="62"/>
      <c r="M118" s="62"/>
      <c r="N118" s="62"/>
      <c r="P118" s="43"/>
      <c r="T118" s="15"/>
      <c r="U118" s="15"/>
    </row>
    <row r="119" spans="1:23">
      <c r="A119" s="45"/>
      <c r="C119" s="48"/>
      <c r="P119" s="43"/>
    </row>
    <row r="120" spans="1:23">
      <c r="A120" s="45"/>
      <c r="C120" s="290" t="s">
        <v>90</v>
      </c>
      <c r="D120" s="290"/>
    </row>
    <row r="121" spans="1:23">
      <c r="A121" s="45"/>
      <c r="D121" s="39" t="s">
        <v>16</v>
      </c>
      <c r="E121" s="29"/>
      <c r="F121" s="29"/>
      <c r="H121" s="13"/>
      <c r="J121" s="10"/>
      <c r="O121" s="42"/>
    </row>
    <row r="122" spans="1:23">
      <c r="A122" s="45"/>
      <c r="C122" t="s">
        <v>32</v>
      </c>
      <c r="D122" s="132">
        <f>'Disposal Summary (with IC)'!T33+'Disposal Summary (with IC)'!T44</f>
        <v>9801.0381969752052</v>
      </c>
      <c r="E122" s="41"/>
      <c r="F122" s="41"/>
      <c r="G122" s="81"/>
      <c r="H122" s="61"/>
      <c r="J122" s="10"/>
      <c r="O122" s="42"/>
    </row>
    <row r="123" spans="1:23">
      <c r="A123" s="45"/>
      <c r="C123" t="s">
        <v>33</v>
      </c>
      <c r="D123" s="28">
        <f>D122*2000</f>
        <v>19602076.39395041</v>
      </c>
      <c r="E123" s="28"/>
      <c r="F123" s="28"/>
      <c r="H123" s="70"/>
      <c r="J123" s="10"/>
    </row>
    <row r="124" spans="1:23">
      <c r="A124" s="45"/>
      <c r="C124" t="s">
        <v>5</v>
      </c>
      <c r="D124" s="28">
        <f>F52</f>
        <v>609994.13893333345</v>
      </c>
      <c r="E124" s="41"/>
      <c r="F124" s="41"/>
      <c r="H124" s="71"/>
      <c r="J124" s="10"/>
      <c r="O124" s="42"/>
    </row>
    <row r="125" spans="1:23">
      <c r="C125" s="13" t="s">
        <v>11</v>
      </c>
      <c r="D125" s="27">
        <f>D123/$H$52</f>
        <v>0.60919387744365294</v>
      </c>
      <c r="E125" s="27"/>
      <c r="F125" s="27"/>
      <c r="H125" s="22"/>
      <c r="J125" s="10"/>
      <c r="M125" s="32"/>
      <c r="N125" s="32"/>
      <c r="O125" s="31"/>
    </row>
    <row r="126" spans="1:23">
      <c r="G126" s="81"/>
      <c r="H126" s="24"/>
      <c r="J126" s="10"/>
      <c r="M126" s="15"/>
      <c r="N126" s="21"/>
      <c r="O126" s="43"/>
    </row>
    <row r="127" spans="1:23">
      <c r="D127" s="26"/>
      <c r="E127" s="25"/>
      <c r="G127" s="81"/>
      <c r="H127" s="24"/>
      <c r="J127" s="10"/>
      <c r="M127" s="15"/>
      <c r="N127" s="21"/>
      <c r="O127" s="43"/>
    </row>
    <row r="128" spans="1:23">
      <c r="D128" s="26"/>
      <c r="E128" s="25"/>
      <c r="G128" s="81"/>
      <c r="H128" s="24"/>
      <c r="J128" s="10"/>
      <c r="M128" s="15"/>
      <c r="N128" s="21"/>
      <c r="O128" s="43"/>
    </row>
    <row r="129" spans="4:9">
      <c r="D129"/>
      <c r="I129"/>
    </row>
    <row r="130" spans="4:9">
      <c r="D130"/>
      <c r="E130" s="10"/>
      <c r="I130"/>
    </row>
    <row r="131" spans="4:9">
      <c r="D131"/>
      <c r="I131"/>
    </row>
    <row r="132" spans="4:9">
      <c r="D132"/>
      <c r="I132"/>
    </row>
    <row r="133" spans="4:9">
      <c r="D133"/>
    </row>
  </sheetData>
  <mergeCells count="2">
    <mergeCell ref="C120:D120"/>
    <mergeCell ref="A39:A48"/>
  </mergeCells>
  <phoneticPr fontId="74" type="noConversion"/>
  <pageMargins left="0.2" right="0.22" top="0.63" bottom="0.34" header="0.19" footer="0.17"/>
  <pageSetup scale="26" fitToHeight="0" orientation="landscape" r:id="rId1"/>
  <headerFooter>
    <oddHeader>&amp;F</oddHeader>
    <oddFooter>&amp;L&amp;F - &amp;A&amp;C&amp;D&amp;R&amp;P of &amp;N</oddFooter>
  </headerFooter>
  <ignoredErrors>
    <ignoredError sqref="E7 N71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2"/>
  <sheetViews>
    <sheetView tabSelected="1" topLeftCell="A43" zoomScaleNormal="100" workbookViewId="0">
      <selection activeCell="A49" sqref="A49"/>
    </sheetView>
  </sheetViews>
  <sheetFormatPr defaultColWidth="9.1796875" defaultRowHeight="14.5"/>
  <cols>
    <col min="1" max="1" width="36.26953125" bestFit="1" customWidth="1"/>
    <col min="2" max="2" width="22.1796875" bestFit="1" customWidth="1"/>
    <col min="3" max="3" width="19.54296875" customWidth="1"/>
    <col min="4" max="4" width="13.1796875" customWidth="1"/>
    <col min="5" max="5" width="9.81640625" customWidth="1"/>
    <col min="6" max="6" width="15.7265625" bestFit="1" customWidth="1"/>
    <col min="7" max="7" width="15.1796875" customWidth="1"/>
    <col min="8" max="8" width="13.453125" customWidth="1"/>
    <col min="9" max="9" width="25.81640625" customWidth="1"/>
    <col min="10" max="10" width="24.453125" bestFit="1" customWidth="1"/>
  </cols>
  <sheetData>
    <row r="1" spans="1:8">
      <c r="A1" s="290" t="s">
        <v>18</v>
      </c>
      <c r="B1" s="290"/>
      <c r="C1" s="290"/>
      <c r="D1" s="290"/>
      <c r="E1" s="290"/>
      <c r="F1" s="290"/>
      <c r="G1" s="290"/>
      <c r="H1" s="290"/>
    </row>
    <row r="2" spans="1:8">
      <c r="A2" t="s">
        <v>60</v>
      </c>
      <c r="B2" s="8" t="s">
        <v>46</v>
      </c>
      <c r="C2" s="8" t="s">
        <v>47</v>
      </c>
      <c r="D2" s="8" t="s">
        <v>48</v>
      </c>
      <c r="E2" s="8" t="s">
        <v>51</v>
      </c>
      <c r="F2" s="8" t="s">
        <v>52</v>
      </c>
      <c r="G2" s="8" t="s">
        <v>53</v>
      </c>
      <c r="H2" s="8" t="s">
        <v>56</v>
      </c>
    </row>
    <row r="3" spans="1:8">
      <c r="A3" t="s">
        <v>57</v>
      </c>
      <c r="B3" s="1">
        <f>52*5/12</f>
        <v>21.666666666666668</v>
      </c>
      <c r="C3" s="9">
        <f>$B$3*2</f>
        <v>43.333333333333336</v>
      </c>
      <c r="D3" s="9">
        <f>$B$3*3</f>
        <v>65</v>
      </c>
      <c r="E3" s="9">
        <f>$B$3*4</f>
        <v>86.666666666666671</v>
      </c>
      <c r="F3" s="9">
        <f>$B$3*5</f>
        <v>108.33333333333334</v>
      </c>
      <c r="G3" s="9">
        <f>$B$3*6</f>
        <v>130</v>
      </c>
      <c r="H3" s="9">
        <f>$B$3*7</f>
        <v>151.66666666666669</v>
      </c>
    </row>
    <row r="4" spans="1:8">
      <c r="A4" t="s">
        <v>91</v>
      </c>
      <c r="B4" s="1">
        <f>52*4/12</f>
        <v>17.333333333333332</v>
      </c>
      <c r="C4" s="9">
        <f>$B$4*2</f>
        <v>34.666666666666664</v>
      </c>
      <c r="D4" s="9">
        <f>$B$4*3</f>
        <v>52</v>
      </c>
      <c r="E4" s="9">
        <f>$B$4*4</f>
        <v>69.333333333333329</v>
      </c>
      <c r="F4" s="9">
        <f>$B$4*5</f>
        <v>86.666666666666657</v>
      </c>
      <c r="G4" s="9">
        <f>$B$4*6</f>
        <v>104</v>
      </c>
      <c r="H4" s="9">
        <f>$B$4*7</f>
        <v>121.33333333333333</v>
      </c>
    </row>
    <row r="5" spans="1:8">
      <c r="A5" t="s">
        <v>58</v>
      </c>
      <c r="B5" s="1">
        <f>52*3/12</f>
        <v>13</v>
      </c>
      <c r="C5" s="9">
        <f>$B$5*2</f>
        <v>26</v>
      </c>
      <c r="D5" s="9">
        <f>$B$5*3</f>
        <v>39</v>
      </c>
      <c r="E5" s="9">
        <f>$B$5*4</f>
        <v>52</v>
      </c>
      <c r="F5" s="9">
        <f>$B$5*5</f>
        <v>65</v>
      </c>
      <c r="G5" s="9">
        <f>$B$5*6</f>
        <v>78</v>
      </c>
      <c r="H5" s="9">
        <f>$B$5*7</f>
        <v>91</v>
      </c>
    </row>
    <row r="6" spans="1:8">
      <c r="A6" t="s">
        <v>59</v>
      </c>
      <c r="B6" s="1">
        <f>52*2/12</f>
        <v>8.6666666666666661</v>
      </c>
      <c r="C6" s="10">
        <f>$B$6*2</f>
        <v>17.333333333333332</v>
      </c>
      <c r="D6" s="10">
        <f>$B$6*3</f>
        <v>26</v>
      </c>
      <c r="E6" s="10">
        <f>$B$6*4</f>
        <v>34.666666666666664</v>
      </c>
      <c r="F6" s="10">
        <f>$B$6*5</f>
        <v>43.333333333333329</v>
      </c>
      <c r="G6" s="10">
        <f>$B$6*6</f>
        <v>52</v>
      </c>
      <c r="H6" s="10">
        <f>$B$6*7</f>
        <v>60.666666666666664</v>
      </c>
    </row>
    <row r="7" spans="1:8">
      <c r="A7" t="s">
        <v>21</v>
      </c>
      <c r="B7" s="1">
        <f>52/12</f>
        <v>4.333333333333333</v>
      </c>
      <c r="C7" s="10">
        <f>$B$7*2</f>
        <v>8.6666666666666661</v>
      </c>
      <c r="D7" s="10">
        <f>$B$7*3</f>
        <v>13</v>
      </c>
      <c r="E7" s="10">
        <f>$B$7*4</f>
        <v>17.333333333333332</v>
      </c>
      <c r="F7" s="10">
        <f>$B$7*5</f>
        <v>21.666666666666664</v>
      </c>
      <c r="G7" s="10">
        <f>$B$7*6</f>
        <v>26</v>
      </c>
      <c r="H7" s="10">
        <f>$B$7*7</f>
        <v>30.333333333333332</v>
      </c>
    </row>
    <row r="8" spans="1:8">
      <c r="A8" t="s">
        <v>23</v>
      </c>
      <c r="B8" s="1">
        <f>26/12</f>
        <v>2.1666666666666665</v>
      </c>
      <c r="C8" s="10">
        <f>$B$8*2</f>
        <v>4.333333333333333</v>
      </c>
      <c r="D8" s="10">
        <f>$B$8*3</f>
        <v>6.5</v>
      </c>
      <c r="E8" s="10">
        <f>$B$8*4</f>
        <v>8.6666666666666661</v>
      </c>
      <c r="F8" s="10">
        <f>$B$8*5</f>
        <v>10.833333333333332</v>
      </c>
      <c r="G8" s="10">
        <f>$B$8*6</f>
        <v>13</v>
      </c>
      <c r="H8" s="10">
        <f>$B$8*7</f>
        <v>15.166666666666666</v>
      </c>
    </row>
    <row r="9" spans="1:8">
      <c r="A9" t="s">
        <v>22</v>
      </c>
      <c r="B9" s="1">
        <f>12/12</f>
        <v>1</v>
      </c>
      <c r="C9" s="10">
        <f>$B$9*2</f>
        <v>2</v>
      </c>
      <c r="D9" s="10">
        <f>$B$9*3</f>
        <v>3</v>
      </c>
      <c r="E9" s="10">
        <f>$B$9*4</f>
        <v>4</v>
      </c>
      <c r="F9" s="10">
        <f>$B$9*5</f>
        <v>5</v>
      </c>
      <c r="G9" s="10">
        <f>$B$9*6</f>
        <v>6</v>
      </c>
      <c r="H9" s="10">
        <f>$B$9*7</f>
        <v>7</v>
      </c>
    </row>
    <row r="10" spans="1:8">
      <c r="B10" s="1"/>
      <c r="C10" s="10"/>
      <c r="D10" s="10"/>
      <c r="E10" s="10"/>
      <c r="F10" s="10"/>
      <c r="G10" s="10"/>
      <c r="H10" s="10"/>
    </row>
    <row r="11" spans="1:8">
      <c r="A11" s="290" t="s">
        <v>10</v>
      </c>
      <c r="B11" s="290"/>
      <c r="C11" s="10"/>
      <c r="D11" s="10"/>
      <c r="E11" s="10"/>
      <c r="F11" s="10"/>
      <c r="G11" s="10"/>
      <c r="H11" s="10"/>
    </row>
    <row r="12" spans="1:8">
      <c r="A12" s="2" t="s">
        <v>55</v>
      </c>
      <c r="B12" s="20" t="s">
        <v>85</v>
      </c>
      <c r="C12" s="10"/>
      <c r="D12" s="10"/>
      <c r="E12" s="10"/>
      <c r="F12" s="10"/>
      <c r="G12" s="10"/>
      <c r="H12" s="10"/>
    </row>
    <row r="13" spans="1:8">
      <c r="A13" s="11" t="s">
        <v>86</v>
      </c>
      <c r="B13" s="4">
        <v>20</v>
      </c>
      <c r="C13" s="10"/>
      <c r="D13" s="10"/>
      <c r="E13" s="10"/>
      <c r="F13" s="10"/>
      <c r="G13" s="10"/>
      <c r="H13" s="10"/>
    </row>
    <row r="14" spans="1:8">
      <c r="A14" s="11" t="s">
        <v>61</v>
      </c>
      <c r="B14" s="4">
        <v>34</v>
      </c>
      <c r="C14" s="10"/>
      <c r="D14" s="10"/>
      <c r="E14" s="10"/>
      <c r="F14" s="10"/>
      <c r="G14" s="10"/>
      <c r="H14" s="10"/>
    </row>
    <row r="15" spans="1:8">
      <c r="A15" s="11" t="s">
        <v>62</v>
      </c>
      <c r="B15" s="4">
        <v>51</v>
      </c>
      <c r="C15" s="10"/>
      <c r="D15" s="10"/>
      <c r="E15" s="10"/>
      <c r="F15" s="10"/>
      <c r="G15" s="10"/>
      <c r="H15" s="10"/>
    </row>
    <row r="16" spans="1:8">
      <c r="A16" s="11" t="s">
        <v>63</v>
      </c>
      <c r="B16" s="4">
        <v>77</v>
      </c>
      <c r="C16" s="10"/>
      <c r="D16" s="10"/>
      <c r="E16" s="10"/>
      <c r="F16" t="s">
        <v>19</v>
      </c>
      <c r="G16" s="4">
        <v>2000</v>
      </c>
      <c r="H16" s="10"/>
    </row>
    <row r="17" spans="1:8">
      <c r="A17" s="11" t="s">
        <v>64</v>
      </c>
      <c r="B17" s="4">
        <v>97</v>
      </c>
      <c r="C17" s="10"/>
      <c r="D17" s="10"/>
      <c r="E17" s="10"/>
      <c r="F17" t="s">
        <v>20</v>
      </c>
      <c r="G17" s="12" t="s">
        <v>49</v>
      </c>
      <c r="H17" s="10"/>
    </row>
    <row r="18" spans="1:8">
      <c r="A18" s="11" t="s">
        <v>65</v>
      </c>
      <c r="B18" s="4">
        <v>117</v>
      </c>
      <c r="C18" s="10"/>
      <c r="D18" s="10"/>
      <c r="E18" s="10"/>
      <c r="H18" s="10"/>
    </row>
    <row r="19" spans="1:8">
      <c r="A19" s="11" t="s">
        <v>66</v>
      </c>
      <c r="B19" s="4">
        <v>157</v>
      </c>
      <c r="C19" s="10"/>
      <c r="D19" s="10"/>
      <c r="E19" s="10"/>
      <c r="F19" s="6"/>
      <c r="G19" s="7"/>
      <c r="H19" s="10"/>
    </row>
    <row r="20" spans="1:8">
      <c r="A20" s="11" t="s">
        <v>95</v>
      </c>
      <c r="B20" s="4">
        <v>37</v>
      </c>
      <c r="C20" s="10" t="s">
        <v>87</v>
      </c>
      <c r="D20" s="10"/>
      <c r="E20" s="10"/>
      <c r="F20" s="6"/>
      <c r="G20" s="7"/>
      <c r="H20" s="10"/>
    </row>
    <row r="21" spans="1:8">
      <c r="A21" s="11" t="s">
        <v>67</v>
      </c>
      <c r="B21" s="4">
        <v>47</v>
      </c>
      <c r="C21" s="10"/>
      <c r="D21" s="10"/>
      <c r="E21" s="10"/>
      <c r="F21" s="10"/>
      <c r="G21" s="10"/>
      <c r="H21" s="10"/>
    </row>
    <row r="22" spans="1:8">
      <c r="A22" s="11" t="s">
        <v>68</v>
      </c>
      <c r="B22" s="4">
        <v>68</v>
      </c>
      <c r="C22" s="10"/>
      <c r="D22" s="10"/>
      <c r="E22" s="10"/>
      <c r="F22" s="10"/>
      <c r="G22" s="10"/>
      <c r="H22" s="10"/>
    </row>
    <row r="23" spans="1:8">
      <c r="A23" s="11" t="s">
        <v>69</v>
      </c>
      <c r="B23" s="4">
        <v>34</v>
      </c>
      <c r="C23" s="10"/>
      <c r="D23" s="10"/>
      <c r="E23" s="10"/>
      <c r="F23" s="10"/>
      <c r="G23" s="10"/>
      <c r="H23" s="10"/>
    </row>
    <row r="24" spans="1:8">
      <c r="A24" s="11" t="s">
        <v>31</v>
      </c>
      <c r="B24" s="4">
        <v>34</v>
      </c>
      <c r="C24" s="10"/>
      <c r="D24" s="10"/>
      <c r="E24" s="10"/>
      <c r="F24" s="10"/>
      <c r="G24" s="10"/>
      <c r="H24" s="10"/>
    </row>
    <row r="25" spans="1:8">
      <c r="A25" s="2" t="s">
        <v>70</v>
      </c>
      <c r="B25" s="4"/>
      <c r="C25" s="10"/>
      <c r="D25" s="10"/>
      <c r="E25" s="10"/>
      <c r="F25" s="10"/>
      <c r="G25" s="10"/>
      <c r="H25" s="10"/>
    </row>
    <row r="26" spans="1:8">
      <c r="A26" s="11" t="s">
        <v>71</v>
      </c>
      <c r="B26" s="4">
        <v>29</v>
      </c>
      <c r="C26" s="10"/>
      <c r="D26" s="10"/>
      <c r="E26" s="10"/>
      <c r="F26" s="10"/>
      <c r="G26" s="10"/>
      <c r="H26" s="10"/>
    </row>
    <row r="27" spans="1:8">
      <c r="A27" s="11" t="s">
        <v>72</v>
      </c>
      <c r="B27" s="4">
        <v>175</v>
      </c>
      <c r="C27" s="10"/>
      <c r="D27" s="10"/>
      <c r="E27" s="10"/>
      <c r="F27" s="10"/>
      <c r="G27" s="10"/>
      <c r="H27" s="10"/>
    </row>
    <row r="28" spans="1:8">
      <c r="A28" s="11" t="s">
        <v>73</v>
      </c>
      <c r="B28" s="4">
        <v>250</v>
      </c>
      <c r="C28" s="10"/>
      <c r="D28" s="10"/>
      <c r="E28" s="10"/>
      <c r="F28" s="10"/>
      <c r="G28" s="10"/>
      <c r="H28" s="10"/>
    </row>
    <row r="29" spans="1:8">
      <c r="A29" s="11" t="s">
        <v>74</v>
      </c>
      <c r="B29" s="4">
        <v>324</v>
      </c>
      <c r="C29" s="10"/>
      <c r="D29" s="10"/>
      <c r="E29" s="10"/>
      <c r="F29" s="10"/>
      <c r="G29" s="10"/>
      <c r="H29" s="10"/>
    </row>
    <row r="30" spans="1:8">
      <c r="A30" s="11" t="s">
        <v>75</v>
      </c>
      <c r="B30" s="4">
        <v>473</v>
      </c>
      <c r="C30" s="10"/>
      <c r="D30" s="10"/>
      <c r="E30" s="10"/>
      <c r="F30" s="10"/>
      <c r="G30" s="10"/>
      <c r="H30" s="10"/>
    </row>
    <row r="31" spans="1:8">
      <c r="A31" s="11" t="s">
        <v>76</v>
      </c>
      <c r="B31" s="4">
        <v>613</v>
      </c>
      <c r="C31" s="10"/>
      <c r="D31" s="10"/>
      <c r="E31" s="10"/>
      <c r="F31" s="10"/>
      <c r="G31" s="10"/>
      <c r="H31" s="10"/>
    </row>
    <row r="32" spans="1:8">
      <c r="A32" s="11" t="s">
        <v>77</v>
      </c>
      <c r="B32" s="4">
        <v>840</v>
      </c>
      <c r="C32" s="10"/>
      <c r="D32" s="10"/>
      <c r="E32" s="10"/>
      <c r="F32" s="10"/>
      <c r="G32" s="10"/>
      <c r="H32" s="10"/>
    </row>
    <row r="33" spans="1:8">
      <c r="A33" s="11" t="s">
        <v>78</v>
      </c>
      <c r="B33" s="4">
        <v>980</v>
      </c>
      <c r="C33" s="10"/>
      <c r="D33" s="10"/>
      <c r="E33" s="10"/>
      <c r="F33" s="10"/>
      <c r="G33" s="10"/>
      <c r="H33" s="10"/>
    </row>
    <row r="34" spans="1:8">
      <c r="A34" s="11" t="s">
        <v>92</v>
      </c>
      <c r="B34" s="4">
        <v>482</v>
      </c>
      <c r="C34" s="10" t="s">
        <v>87</v>
      </c>
      <c r="D34" s="10"/>
      <c r="E34" s="10"/>
      <c r="F34" s="10"/>
      <c r="G34" s="10"/>
      <c r="H34" s="10"/>
    </row>
    <row r="35" spans="1:8">
      <c r="A35" s="11" t="s">
        <v>93</v>
      </c>
      <c r="B35" s="4">
        <v>689</v>
      </c>
      <c r="C35" s="10" t="s">
        <v>87</v>
      </c>
      <c r="D35" s="10"/>
      <c r="E35" s="10"/>
      <c r="F35" s="10"/>
      <c r="G35" s="10"/>
      <c r="H35" s="10"/>
    </row>
    <row r="36" spans="1:8">
      <c r="A36" s="11" t="s">
        <v>80</v>
      </c>
      <c r="B36" s="4">
        <v>892</v>
      </c>
      <c r="C36" s="10" t="s">
        <v>87</v>
      </c>
      <c r="D36" s="10"/>
      <c r="E36" s="10"/>
      <c r="F36" s="10"/>
      <c r="G36" s="10"/>
      <c r="H36" s="10"/>
    </row>
    <row r="37" spans="1:8">
      <c r="A37" s="11" t="s">
        <v>79</v>
      </c>
      <c r="B37" s="4">
        <v>1301</v>
      </c>
      <c r="C37" s="10"/>
      <c r="D37" s="10"/>
      <c r="E37" s="10"/>
      <c r="F37" s="10"/>
      <c r="G37" s="10"/>
      <c r="H37" s="10"/>
    </row>
    <row r="38" spans="1:8">
      <c r="A38" s="11" t="s">
        <v>81</v>
      </c>
      <c r="B38" s="4">
        <v>1686</v>
      </c>
      <c r="C38" s="10"/>
      <c r="D38" s="10"/>
      <c r="E38" s="10"/>
      <c r="F38" s="10"/>
      <c r="G38" s="10"/>
      <c r="H38" s="10"/>
    </row>
    <row r="39" spans="1:8">
      <c r="A39" s="11" t="s">
        <v>82</v>
      </c>
      <c r="B39" s="4">
        <v>2046</v>
      </c>
      <c r="C39" s="10"/>
      <c r="D39" s="10"/>
      <c r="E39" s="10"/>
      <c r="F39" s="10"/>
      <c r="G39" s="10"/>
      <c r="H39" s="10"/>
    </row>
    <row r="40" spans="1:8">
      <c r="A40" s="11" t="s">
        <v>83</v>
      </c>
      <c r="B40" s="4">
        <v>2310</v>
      </c>
      <c r="C40" s="10"/>
      <c r="D40" s="10"/>
      <c r="E40" s="10"/>
      <c r="F40" s="10"/>
      <c r="G40" s="10"/>
      <c r="H40" s="10"/>
    </row>
    <row r="41" spans="1:8">
      <c r="A41" s="11" t="s">
        <v>94</v>
      </c>
      <c r="B41" s="4">
        <v>2800</v>
      </c>
      <c r="C41" s="10" t="s">
        <v>87</v>
      </c>
      <c r="D41" s="10"/>
      <c r="E41" s="10"/>
      <c r="F41" s="10"/>
      <c r="G41" s="10"/>
      <c r="H41" s="10"/>
    </row>
    <row r="42" spans="1:8">
      <c r="A42" s="11" t="s">
        <v>84</v>
      </c>
      <c r="B42" s="4">
        <v>125</v>
      </c>
      <c r="C42" s="10"/>
      <c r="D42" s="10"/>
      <c r="E42" s="10"/>
      <c r="F42" s="10"/>
      <c r="G42" s="10"/>
      <c r="H42" s="10"/>
    </row>
    <row r="43" spans="1:8">
      <c r="B43" t="s">
        <v>97</v>
      </c>
    </row>
    <row r="46" spans="1:8">
      <c r="A46" s="19" t="s">
        <v>105</v>
      </c>
      <c r="B46" s="17" t="s">
        <v>6</v>
      </c>
      <c r="C46" s="17" t="s">
        <v>7</v>
      </c>
      <c r="F46" s="293" t="s">
        <v>26</v>
      </c>
      <c r="G46" s="293"/>
    </row>
    <row r="47" spans="1:8">
      <c r="A47" s="13" t="s">
        <v>8</v>
      </c>
      <c r="B47" s="225">
        <v>183.71</v>
      </c>
      <c r="C47" s="116">
        <f>B47/2000</f>
        <v>9.1855000000000006E-2</v>
      </c>
      <c r="F47" t="s">
        <v>27</v>
      </c>
      <c r="G47" s="120">
        <f>0.0175</f>
        <v>1.7500000000000002E-2</v>
      </c>
    </row>
    <row r="48" spans="1:8">
      <c r="A48" s="13" t="s">
        <v>269</v>
      </c>
      <c r="B48" s="226">
        <f>165.91+J79</f>
        <v>200.41876554142129</v>
      </c>
      <c r="C48" s="115">
        <f>B48/2000</f>
        <v>0.10020938277071065</v>
      </c>
      <c r="F48" t="s">
        <v>28</v>
      </c>
      <c r="G48" s="121">
        <v>5.1000000000000004E-3</v>
      </c>
    </row>
    <row r="49" spans="1:7">
      <c r="A49" s="11" t="s">
        <v>9</v>
      </c>
      <c r="B49" s="117">
        <f>B48-B47</f>
        <v>16.708765541421286</v>
      </c>
      <c r="C49" s="263">
        <f>C48-C47</f>
        <v>8.3543827707106416E-3</v>
      </c>
      <c r="D49" s="227">
        <f>B49/2000</f>
        <v>8.3543827707106433E-3</v>
      </c>
      <c r="F49" t="s">
        <v>54</v>
      </c>
      <c r="G49" s="122">
        <v>2E-3</v>
      </c>
    </row>
    <row r="50" spans="1:7">
      <c r="B50" s="269">
        <f>B49/B47</f>
        <v>9.0951856411851759E-2</v>
      </c>
      <c r="F50" t="s">
        <v>16</v>
      </c>
      <c r="G50" s="14">
        <f>SUM(G47:G49)</f>
        <v>2.4600000000000004E-2</v>
      </c>
    </row>
    <row r="51" spans="1:7">
      <c r="B51" s="18" t="str">
        <f>A46</f>
        <v>King County</v>
      </c>
    </row>
    <row r="52" spans="1:7">
      <c r="A52" t="s">
        <v>4</v>
      </c>
      <c r="B52" s="15">
        <f>B49</f>
        <v>16.708765541421286</v>
      </c>
      <c r="F52" t="s">
        <v>29</v>
      </c>
      <c r="G52" s="16">
        <f>1-G50</f>
        <v>0.97540000000000004</v>
      </c>
    </row>
    <row r="53" spans="1:7">
      <c r="A53" t="s">
        <v>25</v>
      </c>
      <c r="B53" s="15">
        <f>B52/$G$52</f>
        <v>17.130167666005008</v>
      </c>
    </row>
    <row r="54" spans="1:7">
      <c r="A54" t="s">
        <v>24</v>
      </c>
      <c r="B54" s="5">
        <f>'Price Out Rates'!D122</f>
        <v>9801.0381969752052</v>
      </c>
      <c r="C54" s="10"/>
    </row>
    <row r="55" spans="1:7">
      <c r="A55" s="2" t="s">
        <v>30</v>
      </c>
      <c r="B55" s="3">
        <f>B53*B54</f>
        <v>167893.42761510468</v>
      </c>
    </row>
    <row r="58" spans="1:7" ht="15" thickBot="1"/>
    <row r="59" spans="1:7">
      <c r="A59" s="63" t="s">
        <v>89</v>
      </c>
      <c r="B59" s="64" t="s">
        <v>88</v>
      </c>
    </row>
    <row r="60" spans="1:7">
      <c r="A60" s="65" t="s">
        <v>50</v>
      </c>
      <c r="B60" s="66">
        <f>'Price Out Rates'!T52</f>
        <v>167893.4276151048</v>
      </c>
    </row>
    <row r="61" spans="1:7" ht="15" thickBot="1">
      <c r="A61" s="67" t="s">
        <v>12</v>
      </c>
      <c r="B61" s="68">
        <f>B60-B55</f>
        <v>0</v>
      </c>
      <c r="C61" s="15"/>
    </row>
    <row r="65" spans="2:11">
      <c r="J65" s="284" t="s">
        <v>265</v>
      </c>
    </row>
    <row r="66" spans="2:11">
      <c r="J66" t="s">
        <v>88</v>
      </c>
      <c r="K66" s="287">
        <f>+Total_ResComTonnage</f>
        <v>9801.0381969752052</v>
      </c>
    </row>
    <row r="67" spans="2:11">
      <c r="J67" t="s">
        <v>264</v>
      </c>
      <c r="K67" s="288">
        <f>+'Disposal Summary (with IC)'!T18</f>
        <v>974.40999999999974</v>
      </c>
    </row>
    <row r="68" spans="2:11">
      <c r="J68" t="s">
        <v>266</v>
      </c>
      <c r="K68" s="285">
        <f>+K66+K67</f>
        <v>10775.448196975205</v>
      </c>
    </row>
    <row r="70" spans="2:11">
      <c r="J70" s="282">
        <v>2701.625948295185</v>
      </c>
    </row>
    <row r="71" spans="2:11">
      <c r="J71" s="282">
        <v>4699.3577134816687</v>
      </c>
    </row>
    <row r="72" spans="2:11">
      <c r="J72" s="282">
        <v>224011.84286387864</v>
      </c>
    </row>
    <row r="73" spans="2:11">
      <c r="J73" s="282">
        <v>30103.196491130551</v>
      </c>
    </row>
    <row r="74" spans="2:11">
      <c r="J74" s="282">
        <v>1685.6503383536517</v>
      </c>
    </row>
    <row r="75" spans="2:11">
      <c r="J75" s="282">
        <v>99408.542477212948</v>
      </c>
    </row>
    <row r="76" spans="2:11">
      <c r="J76" s="283">
        <v>9237.1996007954676</v>
      </c>
    </row>
    <row r="78" spans="2:11">
      <c r="I78" t="s">
        <v>267</v>
      </c>
      <c r="J78" s="289">
        <f>SUM(J70:J77)</f>
        <v>371847.4154331481</v>
      </c>
    </row>
    <row r="79" spans="2:11">
      <c r="I79" t="s">
        <v>268</v>
      </c>
      <c r="J79" s="286">
        <f>+J78/K68</f>
        <v>34.50876554142129</v>
      </c>
    </row>
    <row r="80" spans="2:11">
      <c r="B80" t="s">
        <v>262</v>
      </c>
    </row>
    <row r="112" spans="2:2">
      <c r="B112" t="s">
        <v>263</v>
      </c>
    </row>
  </sheetData>
  <mergeCells count="3">
    <mergeCell ref="A1:H1"/>
    <mergeCell ref="F46:G46"/>
    <mergeCell ref="A11:B11"/>
  </mergeCells>
  <hyperlinks>
    <hyperlink ref="K66" location="Total_ResComTonnage" display="Total_ResComTonnage" xr:uid="{0EEB039B-EC51-4BB0-8A3E-56DC819427DE}"/>
    <hyperlink ref="K67" location="RegROTons" display="RegROTons" xr:uid="{B4B01866-0870-4216-A060-2815A5765E79}"/>
  </hyperlink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2641-969E-4227-845E-E257AA996DB2}">
  <sheetPr>
    <pageSetUpPr fitToPage="1"/>
  </sheetPr>
  <dimension ref="A1:Z464"/>
  <sheetViews>
    <sheetView workbookViewId="0">
      <pane xSplit="6" ySplit="5" topLeftCell="L24" activePane="bottomRight" state="frozen"/>
      <selection pane="topRight" activeCell="G1" sqref="G1"/>
      <selection pane="bottomLeft" activeCell="A6" sqref="A6"/>
      <selection pane="bottomRight" activeCell="T28" sqref="T28"/>
    </sheetView>
  </sheetViews>
  <sheetFormatPr defaultColWidth="10.81640625" defaultRowHeight="14.5" outlineLevelRow="1" outlineLevelCol="1"/>
  <cols>
    <col min="1" max="1" width="8.7265625" style="140" hidden="1" customWidth="1" outlineLevel="1"/>
    <col min="2" max="2" width="6.81640625" style="140" hidden="1" customWidth="1" outlineLevel="1"/>
    <col min="3" max="5" width="6.7265625" style="133" hidden="1" customWidth="1" outlineLevel="1"/>
    <col min="6" max="6" width="50.26953125" style="133" customWidth="1" collapsed="1"/>
    <col min="7" max="13" width="13.453125" style="133" customWidth="1"/>
    <col min="14" max="14" width="11.1796875" style="133" bestFit="1" customWidth="1"/>
    <col min="15" max="15" width="14.7265625" style="133" bestFit="1" customWidth="1"/>
    <col min="16" max="16" width="12.26953125" style="133" bestFit="1" customWidth="1"/>
    <col min="17" max="17" width="14.54296875" style="133" bestFit="1" customWidth="1"/>
    <col min="18" max="18" width="14.26953125" style="133" bestFit="1" customWidth="1"/>
    <col min="19" max="19" width="1.26953125" style="133" customWidth="1"/>
    <col min="20" max="20" width="13" style="134" bestFit="1" customWidth="1"/>
    <col min="21" max="21" width="2.26953125" style="133" customWidth="1"/>
    <col min="22" max="23" width="16.453125" style="133" customWidth="1"/>
    <col min="24" max="16384" width="10.81640625" style="133"/>
  </cols>
  <sheetData>
    <row r="1" spans="1:22">
      <c r="A1" s="294" t="s">
        <v>234</v>
      </c>
      <c r="B1" s="294"/>
      <c r="C1" s="294"/>
      <c r="D1" s="294"/>
      <c r="E1" s="294"/>
      <c r="F1" s="294"/>
    </row>
    <row r="2" spans="1:22">
      <c r="A2" s="296" t="s">
        <v>259</v>
      </c>
      <c r="B2" s="296"/>
      <c r="C2" s="296"/>
      <c r="D2" s="296"/>
      <c r="E2" s="296"/>
      <c r="F2" s="296"/>
      <c r="G2" s="138" t="s">
        <v>236</v>
      </c>
      <c r="H2" s="138" t="s">
        <v>237</v>
      </c>
      <c r="I2" s="138" t="s">
        <v>238</v>
      </c>
      <c r="J2" s="138" t="s">
        <v>239</v>
      </c>
      <c r="K2" s="138" t="s">
        <v>240</v>
      </c>
      <c r="L2" s="138" t="s">
        <v>241</v>
      </c>
      <c r="M2" s="138" t="s">
        <v>242</v>
      </c>
      <c r="N2" s="138" t="s">
        <v>243</v>
      </c>
      <c r="O2" s="138" t="s">
        <v>244</v>
      </c>
      <c r="P2" s="138" t="s">
        <v>245</v>
      </c>
      <c r="Q2" s="138" t="s">
        <v>246</v>
      </c>
      <c r="R2" s="138" t="s">
        <v>247</v>
      </c>
    </row>
    <row r="3" spans="1:22" s="134" customFormat="1">
      <c r="A3" s="241" t="s">
        <v>130</v>
      </c>
      <c r="B3" s="241" t="s">
        <v>131</v>
      </c>
      <c r="C3" s="295" t="s">
        <v>132</v>
      </c>
      <c r="D3" s="295"/>
      <c r="E3" s="241"/>
      <c r="G3" s="135">
        <v>44957</v>
      </c>
      <c r="H3" s="136">
        <f>EOMONTH(G3,1)</f>
        <v>44985</v>
      </c>
      <c r="I3" s="136">
        <f t="shared" ref="I3:R3" si="0">EOMONTH(H3,1)</f>
        <v>45016</v>
      </c>
      <c r="J3" s="136">
        <f t="shared" si="0"/>
        <v>45046</v>
      </c>
      <c r="K3" s="136">
        <f t="shared" si="0"/>
        <v>45077</v>
      </c>
      <c r="L3" s="136">
        <f t="shared" si="0"/>
        <v>45107</v>
      </c>
      <c r="M3" s="136">
        <f t="shared" si="0"/>
        <v>45138</v>
      </c>
      <c r="N3" s="136">
        <f t="shared" si="0"/>
        <v>45169</v>
      </c>
      <c r="O3" s="136">
        <f t="shared" si="0"/>
        <v>45199</v>
      </c>
      <c r="P3" s="136">
        <f t="shared" si="0"/>
        <v>45230</v>
      </c>
      <c r="Q3" s="136">
        <f t="shared" si="0"/>
        <v>45260</v>
      </c>
      <c r="R3" s="136">
        <f t="shared" si="0"/>
        <v>45291</v>
      </c>
      <c r="T3" s="134" t="s">
        <v>108</v>
      </c>
    </row>
    <row r="4" spans="1:22" s="138" customFormat="1">
      <c r="A4" s="137"/>
      <c r="B4" s="137"/>
      <c r="C4" s="137"/>
      <c r="D4" s="137"/>
      <c r="E4" s="137"/>
      <c r="G4" s="138">
        <f>MONTH(G3)</f>
        <v>1</v>
      </c>
      <c r="H4" s="138">
        <f t="shared" ref="H4:R4" si="1">MONTH(H3)</f>
        <v>2</v>
      </c>
      <c r="I4" s="138">
        <f t="shared" si="1"/>
        <v>3</v>
      </c>
      <c r="J4" s="138">
        <f t="shared" si="1"/>
        <v>4</v>
      </c>
      <c r="K4" s="138">
        <f t="shared" si="1"/>
        <v>5</v>
      </c>
      <c r="L4" s="138">
        <f t="shared" si="1"/>
        <v>6</v>
      </c>
      <c r="M4" s="138">
        <f t="shared" si="1"/>
        <v>7</v>
      </c>
      <c r="N4" s="138">
        <f t="shared" si="1"/>
        <v>8</v>
      </c>
      <c r="O4" s="138">
        <f t="shared" si="1"/>
        <v>9</v>
      </c>
      <c r="P4" s="138">
        <f t="shared" si="1"/>
        <v>10</v>
      </c>
      <c r="Q4" s="138">
        <f t="shared" si="1"/>
        <v>11</v>
      </c>
      <c r="R4" s="138">
        <f t="shared" si="1"/>
        <v>12</v>
      </c>
      <c r="T4" s="139"/>
    </row>
    <row r="5" spans="1:22" ht="15" thickBot="1">
      <c r="C5" s="140"/>
      <c r="D5" s="140"/>
      <c r="E5" s="140"/>
      <c r="F5" s="141" t="s">
        <v>133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1"/>
    </row>
    <row r="6" spans="1:22">
      <c r="C6" s="140"/>
      <c r="D6" s="140"/>
      <c r="E6" s="140"/>
    </row>
    <row r="7" spans="1:22">
      <c r="C7" s="140"/>
      <c r="D7" s="140"/>
      <c r="E7" s="140"/>
      <c r="F7" s="134" t="s">
        <v>134</v>
      </c>
    </row>
    <row r="8" spans="1:22">
      <c r="C8" s="140"/>
      <c r="D8" s="140"/>
      <c r="E8" s="140"/>
      <c r="F8" s="133" t="s">
        <v>135</v>
      </c>
      <c r="G8" s="242">
        <v>1925.07</v>
      </c>
      <c r="H8" s="242">
        <v>1660.45</v>
      </c>
      <c r="I8" s="242">
        <v>1879.59</v>
      </c>
      <c r="J8" s="242">
        <v>1620.31</v>
      </c>
      <c r="K8" s="242">
        <v>1862.46</v>
      </c>
      <c r="L8" s="242">
        <v>1892.93</v>
      </c>
      <c r="M8" s="242">
        <v>1803.22</v>
      </c>
      <c r="N8" s="242">
        <v>1984.49</v>
      </c>
      <c r="O8" s="242">
        <v>1793.35</v>
      </c>
      <c r="P8" s="242">
        <v>1738.69</v>
      </c>
      <c r="Q8" s="242">
        <v>1682.39</v>
      </c>
      <c r="R8" s="242">
        <v>1677.4</v>
      </c>
      <c r="T8" s="144">
        <f>SUM(G8:S8)</f>
        <v>21520.35</v>
      </c>
    </row>
    <row r="9" spans="1:22">
      <c r="C9" s="140"/>
      <c r="D9" s="140"/>
      <c r="E9" s="140"/>
      <c r="F9" s="133" t="s">
        <v>136</v>
      </c>
      <c r="G9" s="242">
        <v>2347.63</v>
      </c>
      <c r="H9" s="242">
        <v>1982.4300000000003</v>
      </c>
      <c r="I9" s="242">
        <v>2627.6</v>
      </c>
      <c r="J9" s="242">
        <v>1960.9</v>
      </c>
      <c r="K9" s="242">
        <v>2072.2200000000003</v>
      </c>
      <c r="L9" s="242">
        <v>2061.92</v>
      </c>
      <c r="M9" s="242">
        <v>1759.31</v>
      </c>
      <c r="N9" s="242">
        <v>1983.82</v>
      </c>
      <c r="O9" s="242">
        <v>2021.71</v>
      </c>
      <c r="P9" s="242">
        <v>2258.5299999999997</v>
      </c>
      <c r="Q9" s="242">
        <v>2242.6699999999996</v>
      </c>
      <c r="R9" s="242">
        <v>1867.99</v>
      </c>
      <c r="T9" s="144">
        <f t="shared" ref="T9:T15" si="2">SUM(G9:S9)</f>
        <v>25186.729999999996</v>
      </c>
    </row>
    <row r="10" spans="1:22">
      <c r="C10" s="140"/>
      <c r="D10" s="140"/>
      <c r="E10" s="140"/>
      <c r="F10" s="133" t="s">
        <v>137</v>
      </c>
      <c r="G10" s="242">
        <v>3279.75</v>
      </c>
      <c r="H10" s="242">
        <v>2867.09</v>
      </c>
      <c r="I10" s="242">
        <v>3295.29</v>
      </c>
      <c r="J10" s="242">
        <v>2965.34</v>
      </c>
      <c r="K10" s="242">
        <v>3511.61</v>
      </c>
      <c r="L10" s="242">
        <v>3379.85</v>
      </c>
      <c r="M10" s="242">
        <v>3165.88</v>
      </c>
      <c r="N10" s="242">
        <v>3410.1</v>
      </c>
      <c r="O10" s="242">
        <v>3223.09</v>
      </c>
      <c r="P10" s="242">
        <v>3453.1</v>
      </c>
      <c r="Q10" s="242">
        <v>3340.72</v>
      </c>
      <c r="R10" s="242">
        <v>3330.16</v>
      </c>
      <c r="T10" s="144">
        <f t="shared" si="2"/>
        <v>39221.979999999996</v>
      </c>
    </row>
    <row r="11" spans="1:22">
      <c r="C11" s="140"/>
      <c r="D11" s="140"/>
      <c r="E11" s="140"/>
      <c r="F11" s="133" t="s">
        <v>138</v>
      </c>
      <c r="G11" s="242">
        <v>1228.07</v>
      </c>
      <c r="H11" s="242">
        <v>965.06000000000006</v>
      </c>
      <c r="I11" s="242">
        <v>1117.79</v>
      </c>
      <c r="J11" s="242">
        <v>962.34</v>
      </c>
      <c r="K11" s="242">
        <v>1151.3999999999999</v>
      </c>
      <c r="L11" s="242">
        <v>1169.8699999999999</v>
      </c>
      <c r="M11" s="242">
        <v>986.09</v>
      </c>
      <c r="N11" s="242">
        <v>1100.28</v>
      </c>
      <c r="O11" s="242">
        <v>1147.75</v>
      </c>
      <c r="P11" s="242">
        <v>1145.01</v>
      </c>
      <c r="Q11" s="242">
        <v>1149.6299999999999</v>
      </c>
      <c r="R11" s="242">
        <v>1245.52</v>
      </c>
      <c r="T11" s="144">
        <f t="shared" si="2"/>
        <v>13368.81</v>
      </c>
    </row>
    <row r="12" spans="1:22">
      <c r="C12" s="140"/>
      <c r="D12" s="140"/>
      <c r="E12" s="140"/>
      <c r="F12" s="133" t="s">
        <v>139</v>
      </c>
      <c r="G12" s="242">
        <v>3379.98</v>
      </c>
      <c r="H12" s="242">
        <v>2732.07</v>
      </c>
      <c r="I12" s="242">
        <v>3225.32</v>
      </c>
      <c r="J12" s="242">
        <v>2828.33</v>
      </c>
      <c r="K12" s="242">
        <v>3494.73</v>
      </c>
      <c r="L12" s="242">
        <v>3432.44</v>
      </c>
      <c r="M12" s="242">
        <v>3228.26</v>
      </c>
      <c r="N12" s="242">
        <v>3447.89</v>
      </c>
      <c r="O12" s="242">
        <v>3195.12</v>
      </c>
      <c r="P12" s="242">
        <v>3244.44</v>
      </c>
      <c r="Q12" s="242">
        <v>3355.04</v>
      </c>
      <c r="R12" s="242">
        <v>3138.25</v>
      </c>
      <c r="T12" s="144">
        <f>SUM(G12:S12)</f>
        <v>38701.869999999995</v>
      </c>
    </row>
    <row r="13" spans="1:22">
      <c r="C13" s="140"/>
      <c r="D13" s="140"/>
      <c r="E13" s="140"/>
      <c r="F13" s="133" t="s">
        <v>140</v>
      </c>
      <c r="G13" s="242">
        <v>2247.1799999999998</v>
      </c>
      <c r="H13" s="242">
        <v>1620.19</v>
      </c>
      <c r="I13" s="242">
        <v>1875.11</v>
      </c>
      <c r="J13" s="242">
        <v>1667.5099999999998</v>
      </c>
      <c r="K13" s="242">
        <v>2019.0699999999997</v>
      </c>
      <c r="L13" s="242">
        <v>1991.89</v>
      </c>
      <c r="M13" s="242">
        <v>1839.8700000000001</v>
      </c>
      <c r="N13" s="242">
        <v>1971.62</v>
      </c>
      <c r="O13" s="242">
        <v>1874.9299999999998</v>
      </c>
      <c r="P13" s="242">
        <v>1911.31</v>
      </c>
      <c r="Q13" s="242">
        <v>2013.67</v>
      </c>
      <c r="R13" s="242">
        <v>2058.09</v>
      </c>
      <c r="T13" s="144">
        <f>SUM(G13:S13)</f>
        <v>23090.44</v>
      </c>
    </row>
    <row r="14" spans="1:22">
      <c r="C14" s="140"/>
      <c r="D14" s="140"/>
      <c r="E14" s="140"/>
      <c r="F14" s="145" t="s">
        <v>141</v>
      </c>
      <c r="G14" s="243">
        <v>4098.96</v>
      </c>
      <c r="H14" s="243">
        <v>2510.69</v>
      </c>
      <c r="I14" s="243">
        <v>3402.38</v>
      </c>
      <c r="J14" s="243">
        <v>3115.49</v>
      </c>
      <c r="K14" s="243">
        <v>5275.37</v>
      </c>
      <c r="L14" s="243">
        <v>4211.3599999999997</v>
      </c>
      <c r="M14" s="243">
        <v>2997.75</v>
      </c>
      <c r="N14" s="243">
        <v>2769.78</v>
      </c>
      <c r="O14" s="243">
        <v>2819.15</v>
      </c>
      <c r="P14" s="243">
        <v>3771.72</v>
      </c>
      <c r="Q14" s="243">
        <v>5862.81</v>
      </c>
      <c r="R14" s="243">
        <v>3778.46</v>
      </c>
      <c r="S14" s="145"/>
      <c r="T14" s="147">
        <f t="shared" si="2"/>
        <v>44613.919999999998</v>
      </c>
    </row>
    <row r="15" spans="1:22">
      <c r="C15" s="140"/>
      <c r="D15" s="140"/>
      <c r="E15" s="140"/>
      <c r="F15" s="133" t="s">
        <v>108</v>
      </c>
      <c r="G15" s="148">
        <f t="shared" ref="G15:Q15" si="3">SUM(G8:G14)</f>
        <v>18506.64</v>
      </c>
      <c r="H15" s="148">
        <f t="shared" si="3"/>
        <v>14337.980000000001</v>
      </c>
      <c r="I15" s="148">
        <f t="shared" si="3"/>
        <v>17423.080000000002</v>
      </c>
      <c r="J15" s="148">
        <f t="shared" si="3"/>
        <v>15120.220000000001</v>
      </c>
      <c r="K15" s="148">
        <f t="shared" si="3"/>
        <v>19386.86</v>
      </c>
      <c r="L15" s="148">
        <f t="shared" si="3"/>
        <v>18140.259999999998</v>
      </c>
      <c r="M15" s="148">
        <f t="shared" si="3"/>
        <v>15780.380000000001</v>
      </c>
      <c r="N15" s="148">
        <f t="shared" si="3"/>
        <v>16667.98</v>
      </c>
      <c r="O15" s="148">
        <f t="shared" si="3"/>
        <v>16075.1</v>
      </c>
      <c r="P15" s="148">
        <f t="shared" si="3"/>
        <v>17522.8</v>
      </c>
      <c r="Q15" s="148">
        <f t="shared" si="3"/>
        <v>19646.929999999997</v>
      </c>
      <c r="R15" s="148">
        <f>SUM(R8:R14)</f>
        <v>17095.87</v>
      </c>
      <c r="T15" s="144">
        <f t="shared" si="2"/>
        <v>205704.09999999998</v>
      </c>
      <c r="V15" s="244">
        <v>2975622.4425999993</v>
      </c>
    </row>
    <row r="16" spans="1:22">
      <c r="C16" s="140"/>
      <c r="D16" s="140"/>
      <c r="E16" s="140"/>
    </row>
    <row r="17" spans="1:26">
      <c r="C17" s="140"/>
      <c r="D17" s="140"/>
      <c r="E17" s="140"/>
      <c r="F17" s="134" t="s">
        <v>142</v>
      </c>
      <c r="G17" s="143"/>
      <c r="H17" s="143"/>
      <c r="U17" s="149"/>
      <c r="V17" s="149"/>
      <c r="W17" s="149"/>
      <c r="X17" s="149"/>
      <c r="Y17" s="149"/>
      <c r="Z17" s="149"/>
    </row>
    <row r="18" spans="1:26">
      <c r="A18" s="150" t="s">
        <v>143</v>
      </c>
      <c r="B18" s="150" t="s">
        <v>144</v>
      </c>
      <c r="C18" s="150">
        <v>20</v>
      </c>
      <c r="D18" s="150" t="s">
        <v>145</v>
      </c>
      <c r="E18" s="150" t="s">
        <v>146</v>
      </c>
      <c r="F18" s="133" t="s">
        <v>147</v>
      </c>
      <c r="G18" s="143">
        <v>64.92999999999995</v>
      </c>
      <c r="H18" s="143">
        <v>76.66</v>
      </c>
      <c r="I18" s="143">
        <v>60.149999999999977</v>
      </c>
      <c r="J18" s="143">
        <v>59.090000000000018</v>
      </c>
      <c r="K18" s="143">
        <v>92.44</v>
      </c>
      <c r="L18" s="143">
        <v>94.749999999999915</v>
      </c>
      <c r="M18" s="143">
        <v>92.299999999999983</v>
      </c>
      <c r="N18" s="143">
        <v>88.739999999999924</v>
      </c>
      <c r="O18" s="143">
        <v>79.739999999999952</v>
      </c>
      <c r="P18" s="143">
        <v>73.450000000000017</v>
      </c>
      <c r="Q18" s="143">
        <v>99.8599999999999</v>
      </c>
      <c r="R18" s="143">
        <v>92.300000000000097</v>
      </c>
      <c r="S18" s="143"/>
      <c r="T18" s="144">
        <f>SUM(G18:S18)</f>
        <v>974.40999999999974</v>
      </c>
      <c r="U18" s="143"/>
      <c r="V18" s="143"/>
      <c r="W18" s="143"/>
      <c r="X18" s="143"/>
      <c r="Y18" s="143"/>
      <c r="Z18" s="143"/>
    </row>
    <row r="19" spans="1:26">
      <c r="A19" s="140" t="s">
        <v>148</v>
      </c>
      <c r="B19" s="133" t="s">
        <v>149</v>
      </c>
      <c r="C19" s="133" t="s">
        <v>150</v>
      </c>
      <c r="D19" s="133" t="s">
        <v>151</v>
      </c>
      <c r="F19" s="133" t="s">
        <v>152</v>
      </c>
      <c r="G19" s="143">
        <v>1859.87</v>
      </c>
      <c r="H19" s="143">
        <v>1604.3499999999997</v>
      </c>
      <c r="I19" s="143">
        <v>1813.3400000000001</v>
      </c>
      <c r="J19" s="143">
        <v>1569.5400000000002</v>
      </c>
      <c r="K19" s="143">
        <v>1785.9499999999998</v>
      </c>
      <c r="L19" s="143">
        <v>1815.27</v>
      </c>
      <c r="M19" s="143">
        <v>1719.0600000000002</v>
      </c>
      <c r="N19" s="143">
        <v>1895.8000000000002</v>
      </c>
      <c r="O19" s="143">
        <v>1713.4999999999998</v>
      </c>
      <c r="P19" s="143">
        <v>1694.3400000000001</v>
      </c>
      <c r="Q19" s="143">
        <v>1586.8600000000004</v>
      </c>
      <c r="R19" s="143">
        <v>1586.6099999999997</v>
      </c>
      <c r="S19" s="143"/>
      <c r="T19" s="144">
        <f>SUM(G19:S19)</f>
        <v>20644.490000000002</v>
      </c>
      <c r="U19" s="143"/>
      <c r="V19" s="143"/>
      <c r="W19" s="143"/>
      <c r="X19" s="143"/>
      <c r="Y19" s="143"/>
      <c r="Z19" s="143"/>
    </row>
    <row r="20" spans="1:26" s="157" customFormat="1" outlineLevel="1">
      <c r="A20" s="151" t="str">
        <f>+A18</f>
        <v>I</v>
      </c>
      <c r="B20" s="152" t="str">
        <f>+B18</f>
        <v>MSW</v>
      </c>
      <c r="C20" s="153"/>
      <c r="D20" s="153"/>
      <c r="E20" s="153"/>
      <c r="F20" s="153" t="str">
        <f>"Total "&amp;F17&amp;" "&amp;B20</f>
        <v>Total Roll-off / Industrial MSW</v>
      </c>
      <c r="G20" s="154">
        <v>1924.7999999999997</v>
      </c>
      <c r="H20" s="154">
        <v>1681.0099999999998</v>
      </c>
      <c r="I20" s="154">
        <v>1873.49</v>
      </c>
      <c r="J20" s="154">
        <v>1628.63</v>
      </c>
      <c r="K20" s="154">
        <v>1878.3899999999999</v>
      </c>
      <c r="L20" s="154">
        <v>1910.02</v>
      </c>
      <c r="M20" s="154">
        <v>1811.3600000000001</v>
      </c>
      <c r="N20" s="154">
        <v>1984.5400000000002</v>
      </c>
      <c r="O20" s="154">
        <v>1793.2399999999998</v>
      </c>
      <c r="P20" s="154">
        <v>1767.7900000000002</v>
      </c>
      <c r="Q20" s="154">
        <v>1686.7200000000003</v>
      </c>
      <c r="R20" s="154">
        <v>1678.9099999999999</v>
      </c>
      <c r="S20" s="154"/>
      <c r="T20" s="155">
        <f>SUM(G20:S20)</f>
        <v>21618.900000000005</v>
      </c>
      <c r="U20" s="156"/>
      <c r="V20" s="156"/>
      <c r="W20" s="156"/>
      <c r="X20" s="156"/>
      <c r="Y20" s="156"/>
      <c r="Z20" s="156"/>
    </row>
    <row r="21" spans="1:26">
      <c r="A21" s="140" t="str">
        <f>+A20</f>
        <v>I</v>
      </c>
      <c r="B21" s="150" t="s">
        <v>153</v>
      </c>
      <c r="C21" s="140">
        <f>+C18</f>
        <v>20</v>
      </c>
      <c r="D21" s="140" t="str">
        <f>+D18</f>
        <v>2B</v>
      </c>
      <c r="E21" s="140">
        <v>78</v>
      </c>
      <c r="F21" s="133" t="s">
        <v>154</v>
      </c>
      <c r="G21" s="143">
        <v>18.419999999999998</v>
      </c>
      <c r="H21" s="143">
        <v>16.529999999999998</v>
      </c>
      <c r="I21" s="143">
        <v>19.719999999999995</v>
      </c>
      <c r="J21" s="143">
        <v>30.080000000000002</v>
      </c>
      <c r="K21" s="143">
        <v>31.160000000000004</v>
      </c>
      <c r="L21" s="143">
        <v>19.660000000000004</v>
      </c>
      <c r="M21" s="143">
        <v>31.439999999999998</v>
      </c>
      <c r="N21" s="143">
        <v>38.650000000000006</v>
      </c>
      <c r="O21" s="143">
        <v>23.329999999999995</v>
      </c>
      <c r="P21" s="143">
        <v>14.520000000000003</v>
      </c>
      <c r="Q21" s="143">
        <v>17.670000000000002</v>
      </c>
      <c r="R21" s="143">
        <v>14.499999999999996</v>
      </c>
      <c r="S21" s="143"/>
      <c r="T21" s="144">
        <f>SUM(G21:S21)</f>
        <v>275.68</v>
      </c>
      <c r="U21" s="143"/>
      <c r="V21" s="158"/>
      <c r="W21" s="143"/>
      <c r="X21" s="143"/>
      <c r="Y21" s="143"/>
      <c r="Z21" s="143"/>
    </row>
    <row r="22" spans="1:26">
      <c r="C22" s="133" t="s">
        <v>155</v>
      </c>
      <c r="F22" s="133" t="s">
        <v>156</v>
      </c>
      <c r="G22" s="143">
        <f t="shared" ref="G22:R22" si="4">+G23-G21</f>
        <v>2231.89</v>
      </c>
      <c r="H22" s="143">
        <f t="shared" si="4"/>
        <v>1940.3599999999997</v>
      </c>
      <c r="I22" s="143">
        <f t="shared" si="4"/>
        <v>2449.3200000000002</v>
      </c>
      <c r="J22" s="143">
        <f t="shared" si="4"/>
        <v>1879.38</v>
      </c>
      <c r="K22" s="143">
        <f t="shared" si="4"/>
        <v>1912.0600000000004</v>
      </c>
      <c r="L22" s="143">
        <f t="shared" si="4"/>
        <v>1991.7100000000003</v>
      </c>
      <c r="M22" s="143">
        <f t="shared" si="4"/>
        <v>1750.1287</v>
      </c>
      <c r="N22" s="143">
        <f t="shared" si="4"/>
        <v>1941.665</v>
      </c>
      <c r="O22" s="143">
        <f t="shared" si="4"/>
        <v>1990.8500000000001</v>
      </c>
      <c r="P22" s="143">
        <f t="shared" si="4"/>
        <v>2159.4150000000004</v>
      </c>
      <c r="Q22" s="143">
        <f t="shared" si="4"/>
        <v>2146.71</v>
      </c>
      <c r="R22" s="143">
        <f t="shared" si="4"/>
        <v>1691.56</v>
      </c>
      <c r="S22" s="143"/>
      <c r="T22" s="144">
        <f>SUM(G22:S22)</f>
        <v>24085.048700000003</v>
      </c>
      <c r="U22" s="143"/>
      <c r="V22" s="143"/>
      <c r="W22" s="143"/>
      <c r="X22" s="143"/>
      <c r="Y22" s="143"/>
      <c r="Z22" s="143"/>
    </row>
    <row r="23" spans="1:26" s="157" customFormat="1" outlineLevel="1">
      <c r="A23" s="151" t="str">
        <f>+A21</f>
        <v>I</v>
      </c>
      <c r="B23" s="159" t="str">
        <f>+B21</f>
        <v>RCY</v>
      </c>
      <c r="C23" s="160" t="s">
        <v>157</v>
      </c>
      <c r="D23" s="153"/>
      <c r="E23" s="153"/>
      <c r="F23" s="153" t="str">
        <f>"Total "&amp;F17&amp;" "&amp;B23</f>
        <v>Total Roll-off / Industrial RCY</v>
      </c>
      <c r="G23" s="154">
        <v>2250.31</v>
      </c>
      <c r="H23" s="154">
        <v>1956.8899999999996</v>
      </c>
      <c r="I23" s="154">
        <v>2469.04</v>
      </c>
      <c r="J23" s="154">
        <v>1909.46</v>
      </c>
      <c r="K23" s="154">
        <v>1943.2200000000005</v>
      </c>
      <c r="L23" s="154">
        <v>2011.3700000000003</v>
      </c>
      <c r="M23" s="154">
        <v>1781.5687</v>
      </c>
      <c r="N23" s="154">
        <v>1980.3150000000001</v>
      </c>
      <c r="O23" s="154">
        <v>2014.18</v>
      </c>
      <c r="P23" s="154">
        <v>2173.9350000000004</v>
      </c>
      <c r="Q23" s="154">
        <v>2164.38</v>
      </c>
      <c r="R23" s="154">
        <v>1706.06</v>
      </c>
      <c r="S23" s="154"/>
      <c r="T23" s="155"/>
      <c r="U23" s="156"/>
      <c r="V23" s="156"/>
      <c r="W23" s="156"/>
      <c r="X23" s="156"/>
      <c r="Y23" s="156"/>
      <c r="Z23" s="156"/>
    </row>
    <row r="24" spans="1:26" s="162" customFormat="1">
      <c r="A24" s="161">
        <v>6666666</v>
      </c>
      <c r="B24" s="245" t="s">
        <v>158</v>
      </c>
      <c r="F24" s="162" t="s">
        <v>159</v>
      </c>
      <c r="G24" s="163">
        <f t="array" ref="G24:R24">+T24/12</f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/>
      <c r="T24" s="164">
        <v>0</v>
      </c>
      <c r="U24" s="163"/>
      <c r="V24" s="163"/>
      <c r="W24" s="163"/>
      <c r="X24" s="163"/>
      <c r="Y24" s="163"/>
      <c r="Z24" s="163"/>
    </row>
    <row r="25" spans="1:26">
      <c r="A25" s="165"/>
      <c r="B25" s="165"/>
      <c r="C25" s="165"/>
      <c r="D25" s="165"/>
      <c r="E25" s="165"/>
      <c r="F25" s="166" t="str">
        <f>"Total "&amp;F17</f>
        <v>Total Roll-off / Industrial</v>
      </c>
      <c r="G25" s="167">
        <v>4175.1100000000006</v>
      </c>
      <c r="H25" s="167">
        <v>3637.9</v>
      </c>
      <c r="I25" s="167">
        <v>4343.1100000000006</v>
      </c>
      <c r="J25" s="167">
        <v>3538.0899999999992</v>
      </c>
      <c r="K25" s="167">
        <v>3821.61</v>
      </c>
      <c r="L25" s="167">
        <v>3921.39</v>
      </c>
      <c r="M25" s="167">
        <v>3592.9286999999986</v>
      </c>
      <c r="N25" s="167">
        <v>3964.855</v>
      </c>
      <c r="O25" s="167">
        <v>3807.4200000000005</v>
      </c>
      <c r="P25" s="167">
        <v>3942.3650000000007</v>
      </c>
      <c r="Q25" s="167">
        <v>3851.1</v>
      </c>
      <c r="R25" s="167">
        <v>3384.9699999999989</v>
      </c>
      <c r="S25" s="167"/>
      <c r="T25" s="168">
        <f>SUM(G25:S25)</f>
        <v>45980.848699999995</v>
      </c>
      <c r="U25" s="143"/>
      <c r="V25" s="143"/>
      <c r="W25" s="143"/>
      <c r="X25" s="143"/>
      <c r="Y25" s="143"/>
      <c r="Z25" s="143"/>
    </row>
    <row r="26" spans="1:26">
      <c r="C26" s="140"/>
      <c r="D26" s="140"/>
      <c r="E26" s="140"/>
      <c r="F26" s="169" t="s">
        <v>160</v>
      </c>
      <c r="G26" s="170">
        <f>+G25/SUM(G8:G9)-1</f>
        <v>-2.2840358555479945E-2</v>
      </c>
      <c r="H26" s="170">
        <f t="shared" ref="H26:R26" si="5">+H25/SUM(H8:H9)-1</f>
        <v>-1.3670502459592893E-3</v>
      </c>
      <c r="I26" s="170">
        <f t="shared" si="5"/>
        <v>-3.64040566295184E-2</v>
      </c>
      <c r="J26" s="170">
        <f t="shared" si="5"/>
        <v>-1.2040623141340689E-2</v>
      </c>
      <c r="K26" s="170">
        <f t="shared" si="5"/>
        <v>-2.873677147823972E-2</v>
      </c>
      <c r="L26" s="170">
        <f t="shared" si="5"/>
        <v>-8.4604978697043753E-3</v>
      </c>
      <c r="M26" s="170">
        <f t="shared" si="5"/>
        <v>8.5328965650812716E-3</v>
      </c>
      <c r="N26" s="170">
        <f t="shared" si="5"/>
        <v>-8.7064770645439715E-4</v>
      </c>
      <c r="O26" s="170">
        <f t="shared" si="5"/>
        <v>-2.0025897364652767E-3</v>
      </c>
      <c r="P26" s="170">
        <f t="shared" si="5"/>
        <v>-1.3723287684940799E-2</v>
      </c>
      <c r="Q26" s="170">
        <f t="shared" si="5"/>
        <v>-1.8843024055683166E-2</v>
      </c>
      <c r="R26" s="170">
        <f t="shared" si="5"/>
        <v>-4.5247490403030777E-2</v>
      </c>
      <c r="S26" s="170"/>
      <c r="T26" s="171">
        <f>+T25/SUM(T8:T9)-1</f>
        <v>-1.5548634168524367E-2</v>
      </c>
      <c r="U26" s="143"/>
      <c r="V26" s="143"/>
      <c r="W26" s="143"/>
      <c r="X26" s="143"/>
      <c r="Y26" s="143"/>
      <c r="Z26" s="143"/>
    </row>
    <row r="27" spans="1:26">
      <c r="C27" s="140"/>
      <c r="D27" s="140"/>
      <c r="E27" s="140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43"/>
      <c r="V27" s="143"/>
      <c r="W27" s="143"/>
      <c r="X27" s="143"/>
      <c r="Y27" s="143"/>
      <c r="Z27" s="143"/>
    </row>
    <row r="28" spans="1:26">
      <c r="C28" s="140"/>
      <c r="D28" s="140"/>
      <c r="E28" s="140"/>
      <c r="F28" s="133" t="s">
        <v>161</v>
      </c>
      <c r="G28" s="143">
        <f t="shared" ref="G28:R28" si="6">+G18</f>
        <v>64.92999999999995</v>
      </c>
      <c r="H28" s="143">
        <f t="shared" si="6"/>
        <v>76.66</v>
      </c>
      <c r="I28" s="143">
        <f t="shared" si="6"/>
        <v>60.149999999999977</v>
      </c>
      <c r="J28" s="143">
        <f t="shared" si="6"/>
        <v>59.090000000000018</v>
      </c>
      <c r="K28" s="143">
        <f t="shared" si="6"/>
        <v>92.44</v>
      </c>
      <c r="L28" s="143">
        <f t="shared" si="6"/>
        <v>94.749999999999915</v>
      </c>
      <c r="M28" s="143">
        <f t="shared" si="6"/>
        <v>92.299999999999983</v>
      </c>
      <c r="N28" s="143">
        <f t="shared" si="6"/>
        <v>88.739999999999924</v>
      </c>
      <c r="O28" s="143">
        <f t="shared" si="6"/>
        <v>79.739999999999952</v>
      </c>
      <c r="P28" s="143">
        <f t="shared" si="6"/>
        <v>73.450000000000017</v>
      </c>
      <c r="Q28" s="143">
        <f t="shared" si="6"/>
        <v>99.8599999999999</v>
      </c>
      <c r="R28" s="143">
        <f t="shared" si="6"/>
        <v>92.300000000000097</v>
      </c>
      <c r="S28" s="143"/>
      <c r="T28" s="144">
        <f>SUM(G28:S28)</f>
        <v>974.40999999999974</v>
      </c>
      <c r="U28" s="143"/>
      <c r="V28" s="143"/>
      <c r="W28" s="143"/>
      <c r="X28" s="143"/>
      <c r="Y28" s="143"/>
      <c r="Z28" s="143"/>
    </row>
    <row r="29" spans="1:26">
      <c r="C29" s="140"/>
      <c r="D29" s="140"/>
      <c r="E29" s="140"/>
      <c r="F29" s="133" t="s">
        <v>162</v>
      </c>
      <c r="G29" s="143">
        <f>+G30-G28</f>
        <v>2493.5000000000005</v>
      </c>
      <c r="H29" s="143">
        <f t="shared" ref="H29:R29" si="7">+H30-H28</f>
        <v>2554.8800000000006</v>
      </c>
      <c r="I29" s="143">
        <f t="shared" si="7"/>
        <v>2763.34</v>
      </c>
      <c r="J29" s="143">
        <f t="shared" si="7"/>
        <v>2706.38</v>
      </c>
      <c r="K29" s="143">
        <f t="shared" si="7"/>
        <v>3183.2799999999997</v>
      </c>
      <c r="L29" s="143">
        <f t="shared" si="7"/>
        <v>3128.7299999999996</v>
      </c>
      <c r="M29" s="143">
        <f t="shared" si="7"/>
        <v>3120.52</v>
      </c>
      <c r="N29" s="143">
        <f t="shared" si="7"/>
        <v>3389.77</v>
      </c>
      <c r="O29" s="143">
        <f t="shared" si="7"/>
        <v>3068.2300000000005</v>
      </c>
      <c r="P29" s="143">
        <f t="shared" si="7"/>
        <v>3300.9000000000005</v>
      </c>
      <c r="Q29" s="143">
        <f t="shared" si="7"/>
        <v>3101.9699999999993</v>
      </c>
      <c r="R29" s="143">
        <f t="shared" si="7"/>
        <v>3219.5899999999997</v>
      </c>
      <c r="S29" s="143"/>
      <c r="T29" s="144">
        <f>SUM(G29:S29)</f>
        <v>36031.089999999997</v>
      </c>
      <c r="U29" s="143"/>
      <c r="V29" s="143"/>
      <c r="W29" s="143"/>
      <c r="X29" s="143"/>
      <c r="Y29" s="143"/>
      <c r="Z29" s="143"/>
    </row>
    <row r="30" spans="1:26">
      <c r="A30" s="173" t="str">
        <f>+A18</f>
        <v>I</v>
      </c>
      <c r="C30" s="140"/>
      <c r="D30" s="140"/>
      <c r="E30" s="140"/>
      <c r="F30" s="153" t="str">
        <f>"Total "&amp;F17&amp;" Pass Thru Disp."</f>
        <v>Total Roll-off / Industrial Pass Thru Disp.</v>
      </c>
      <c r="G30" s="154">
        <v>2558.4300000000003</v>
      </c>
      <c r="H30" s="154">
        <v>2631.5400000000004</v>
      </c>
      <c r="I30" s="154">
        <v>2823.4900000000002</v>
      </c>
      <c r="J30" s="154">
        <v>2765.4700000000003</v>
      </c>
      <c r="K30" s="154">
        <v>3275.72</v>
      </c>
      <c r="L30" s="154">
        <v>3223.4799999999996</v>
      </c>
      <c r="M30" s="154">
        <v>3212.82</v>
      </c>
      <c r="N30" s="154">
        <v>3478.5099999999998</v>
      </c>
      <c r="O30" s="154">
        <v>3147.9700000000003</v>
      </c>
      <c r="P30" s="154">
        <v>3374.3500000000004</v>
      </c>
      <c r="Q30" s="154">
        <v>3201.8299999999995</v>
      </c>
      <c r="R30" s="154">
        <v>3311.89</v>
      </c>
      <c r="S30" s="154"/>
      <c r="T30" s="155">
        <f>SUM(G30:S30)</f>
        <v>37005.5</v>
      </c>
      <c r="U30" s="143"/>
      <c r="V30" s="143"/>
      <c r="W30" s="143"/>
      <c r="X30" s="143"/>
      <c r="Y30" s="143"/>
      <c r="Z30" s="143"/>
    </row>
    <row r="31" spans="1:26">
      <c r="C31" s="140"/>
      <c r="D31" s="140"/>
      <c r="E31" s="140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4"/>
      <c r="U31" s="143"/>
      <c r="V31" s="143"/>
      <c r="W31" s="143"/>
      <c r="X31" s="143"/>
      <c r="Y31" s="143"/>
      <c r="Z31" s="143"/>
    </row>
    <row r="32" spans="1:26">
      <c r="C32" s="140"/>
      <c r="D32" s="140"/>
      <c r="E32" s="140"/>
      <c r="F32" s="134" t="s">
        <v>14</v>
      </c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4"/>
      <c r="U32" s="143"/>
      <c r="V32" s="174"/>
      <c r="W32" s="143"/>
      <c r="X32" s="143"/>
      <c r="Y32" s="143"/>
      <c r="Z32" s="143"/>
    </row>
    <row r="33" spans="1:26">
      <c r="C33" s="140"/>
      <c r="D33" s="175" t="s">
        <v>163</v>
      </c>
      <c r="E33" s="175"/>
      <c r="F33" s="133" t="s">
        <v>147</v>
      </c>
      <c r="G33" s="143">
        <v>235.18007154752917</v>
      </c>
      <c r="H33" s="143">
        <v>204.94550459616539</v>
      </c>
      <c r="I33" s="143">
        <v>236.48526922452766</v>
      </c>
      <c r="J33" s="143">
        <v>207.42321055021353</v>
      </c>
      <c r="K33" s="143">
        <v>248.50304819568865</v>
      </c>
      <c r="L33" s="143">
        <v>244.12609291270371</v>
      </c>
      <c r="M33" s="143">
        <v>211.62787201173339</v>
      </c>
      <c r="N33" s="143">
        <v>243.80770540653918</v>
      </c>
      <c r="O33" s="143">
        <v>215.44037403985749</v>
      </c>
      <c r="P33" s="143">
        <v>233.62458125559269</v>
      </c>
      <c r="Q33" s="143">
        <v>227.13442544873547</v>
      </c>
      <c r="R33" s="143">
        <v>228.88366878140744</v>
      </c>
      <c r="S33" s="143"/>
      <c r="T33" s="144">
        <f>SUM(G33:S33)</f>
        <v>2737.1818239706936</v>
      </c>
      <c r="U33" s="143"/>
      <c r="V33" s="176"/>
      <c r="W33" s="143"/>
      <c r="X33" s="143"/>
      <c r="Y33" s="143"/>
      <c r="Z33" s="143"/>
    </row>
    <row r="34" spans="1:26">
      <c r="D34" s="175" t="s">
        <v>164</v>
      </c>
      <c r="E34" s="175"/>
      <c r="F34" s="133" t="s">
        <v>152</v>
      </c>
      <c r="G34" s="143">
        <v>3153.8063423033327</v>
      </c>
      <c r="H34" s="143">
        <v>2740.17406133853</v>
      </c>
      <c r="I34" s="143">
        <v>3131.9049627627073</v>
      </c>
      <c r="J34" s="143">
        <v>2823.4362587628088</v>
      </c>
      <c r="K34" s="143">
        <v>3364.7815750271252</v>
      </c>
      <c r="L34" s="143">
        <v>3273.0404006277995</v>
      </c>
      <c r="M34" s="143">
        <v>3007.7913191700895</v>
      </c>
      <c r="N34" s="143">
        <v>3223.8160506307577</v>
      </c>
      <c r="O34" s="143">
        <v>3155.6163354116861</v>
      </c>
      <c r="P34" s="143">
        <v>3281.9227322149004</v>
      </c>
      <c r="Q34" s="143">
        <v>3202.4892966596135</v>
      </c>
      <c r="R34" s="143">
        <v>3208.4122867037677</v>
      </c>
      <c r="S34" s="143"/>
      <c r="T34" s="144">
        <f>SUM(G34:S34)</f>
        <v>37567.191621613121</v>
      </c>
      <c r="U34" s="143"/>
      <c r="V34" s="177"/>
      <c r="W34" s="143"/>
      <c r="X34" s="143"/>
      <c r="Y34" s="143"/>
      <c r="Z34" s="143"/>
    </row>
    <row r="35" spans="1:26" s="157" customFormat="1" outlineLevel="1">
      <c r="A35" s="178" t="s">
        <v>165</v>
      </c>
      <c r="B35" s="178" t="s">
        <v>144</v>
      </c>
      <c r="C35" s="153"/>
      <c r="D35" s="153"/>
      <c r="E35" s="153"/>
      <c r="F35" s="179" t="str">
        <f>"Total "&amp;F32&amp;" "&amp;B35</f>
        <v>Total Commercial MSW</v>
      </c>
      <c r="G35" s="180">
        <v>3279.75</v>
      </c>
      <c r="H35" s="180">
        <v>2875.7099999999996</v>
      </c>
      <c r="I35" s="180">
        <v>3295.2900000000004</v>
      </c>
      <c r="J35" s="180">
        <v>2977.7099999999996</v>
      </c>
      <c r="K35" s="180">
        <v>3511.3399999999997</v>
      </c>
      <c r="L35" s="180">
        <v>3384.6499999999996</v>
      </c>
      <c r="M35" s="180">
        <v>3165.8800000000006</v>
      </c>
      <c r="N35" s="180">
        <v>3410.1000000000004</v>
      </c>
      <c r="O35" s="180">
        <v>3225.64</v>
      </c>
      <c r="P35" s="180">
        <v>3453.43</v>
      </c>
      <c r="Q35" s="180">
        <v>3341.17</v>
      </c>
      <c r="R35" s="180">
        <v>3330.1600000000003</v>
      </c>
      <c r="S35" s="180"/>
      <c r="T35" s="181">
        <f>SUM(G35:R35)-SUM(T33:T34)</f>
        <v>-1053.5434455838113</v>
      </c>
      <c r="U35" s="156"/>
      <c r="V35" s="182"/>
      <c r="W35" s="143"/>
      <c r="X35" s="156"/>
      <c r="Y35" s="156"/>
      <c r="Z35" s="156"/>
    </row>
    <row r="36" spans="1:26">
      <c r="C36" s="140"/>
      <c r="D36" s="175" t="s">
        <v>163</v>
      </c>
      <c r="E36" s="175"/>
      <c r="F36" s="133" t="s">
        <v>154</v>
      </c>
      <c r="G36" s="143">
        <v>69.349582774832896</v>
      </c>
      <c r="H36" s="143">
        <v>59.962589260459829</v>
      </c>
      <c r="I36" s="143">
        <v>67.605894456989475</v>
      </c>
      <c r="J36" s="143">
        <v>60.18800877945845</v>
      </c>
      <c r="K36" s="143">
        <v>72.130433342071356</v>
      </c>
      <c r="L36" s="143">
        <v>66.49729814252585</v>
      </c>
      <c r="M36" s="143">
        <v>57.055776098165751</v>
      </c>
      <c r="N36" s="143">
        <v>69.394546415851863</v>
      </c>
      <c r="O36" s="143">
        <v>66.611548175173866</v>
      </c>
      <c r="P36" s="143">
        <v>72.061653673499379</v>
      </c>
      <c r="Q36" s="143">
        <v>68.820159170926416</v>
      </c>
      <c r="R36" s="143">
        <v>80.268263333567162</v>
      </c>
      <c r="S36" s="143"/>
      <c r="T36" s="144">
        <f>SUM(G36:S36)</f>
        <v>809.94575362352225</v>
      </c>
      <c r="U36" s="143"/>
      <c r="V36" s="176"/>
      <c r="W36" s="143"/>
      <c r="X36" s="143"/>
      <c r="Y36" s="143"/>
      <c r="Z36" s="143"/>
    </row>
    <row r="37" spans="1:26">
      <c r="D37" s="175" t="s">
        <v>164</v>
      </c>
      <c r="E37" s="175"/>
      <c r="F37" s="133" t="s">
        <v>156</v>
      </c>
      <c r="G37" s="143">
        <v>1113.8137509320884</v>
      </c>
      <c r="H37" s="143">
        <v>893.51158006384946</v>
      </c>
      <c r="I37" s="143">
        <v>1045.5334891953432</v>
      </c>
      <c r="J37" s="143">
        <v>899.77363878996607</v>
      </c>
      <c r="K37" s="143">
        <v>1044.7306015437448</v>
      </c>
      <c r="L37" s="143">
        <v>1039.5696335751893</v>
      </c>
      <c r="M37" s="143">
        <v>920.49740985271285</v>
      </c>
      <c r="N37" s="143">
        <v>1034.2831285396571</v>
      </c>
      <c r="O37" s="143">
        <v>997.8120323635701</v>
      </c>
      <c r="P37" s="143">
        <v>1082.1042922812271</v>
      </c>
      <c r="Q37" s="143">
        <v>1064.9795693016367</v>
      </c>
      <c r="R37" s="143">
        <v>1115.2987271597513</v>
      </c>
      <c r="S37" s="143"/>
      <c r="T37" s="144">
        <f>SUM(G37:S37)</f>
        <v>12251.907853598736</v>
      </c>
      <c r="U37" s="143"/>
      <c r="V37" s="177"/>
      <c r="W37" s="143"/>
      <c r="X37" s="143"/>
      <c r="Y37" s="143"/>
      <c r="Z37" s="143"/>
    </row>
    <row r="38" spans="1:26" s="157" customFormat="1" outlineLevel="1">
      <c r="A38" s="151" t="str">
        <f>+A35</f>
        <v>C</v>
      </c>
      <c r="B38" s="159" t="s">
        <v>153</v>
      </c>
      <c r="C38" s="160" t="s">
        <v>157</v>
      </c>
      <c r="D38" s="183"/>
      <c r="E38" s="153"/>
      <c r="F38" s="179" t="str">
        <f>"Total "&amp;F32&amp;" Recycling"</f>
        <v>Total Commercial Recycling</v>
      </c>
      <c r="G38" s="180">
        <v>1229.96</v>
      </c>
      <c r="H38" s="180">
        <v>958.73</v>
      </c>
      <c r="I38" s="180">
        <v>1121.71</v>
      </c>
      <c r="J38" s="180">
        <v>977.87</v>
      </c>
      <c r="K38" s="180">
        <v>1156.92</v>
      </c>
      <c r="L38" s="180">
        <v>1188.2600000000002</v>
      </c>
      <c r="M38" s="180">
        <v>994.52099999999984</v>
      </c>
      <c r="N38" s="180">
        <v>1116.4199999999998</v>
      </c>
      <c r="O38" s="180">
        <v>1138.1899999999998</v>
      </c>
      <c r="P38" s="180">
        <v>1154.58</v>
      </c>
      <c r="Q38" s="180">
        <v>1159.6799999999998</v>
      </c>
      <c r="R38" s="180">
        <v>1246.1000000000001</v>
      </c>
      <c r="S38" s="180"/>
      <c r="T38" s="181">
        <f>SUM(G38:R38)-SUM(T36:T37)</f>
        <v>381.08739277774293</v>
      </c>
      <c r="U38" s="156"/>
      <c r="V38" s="184"/>
      <c r="W38" s="143"/>
      <c r="X38" s="156"/>
      <c r="Y38" s="156"/>
      <c r="Z38" s="156"/>
    </row>
    <row r="39" spans="1:26" outlineLevel="1">
      <c r="A39" s="165"/>
      <c r="B39" s="165"/>
      <c r="C39" s="165"/>
      <c r="D39" s="165"/>
      <c r="E39" s="165"/>
      <c r="F39" s="185" t="str">
        <f>"Total "&amp;F32&amp;" per Disposal Report"</f>
        <v>Total Commercial per Disposal Report</v>
      </c>
      <c r="G39" s="186">
        <v>4509.71</v>
      </c>
      <c r="H39" s="186">
        <v>3834.4400000000005</v>
      </c>
      <c r="I39" s="186">
        <v>4417</v>
      </c>
      <c r="J39" s="186">
        <v>3955.579999999999</v>
      </c>
      <c r="K39" s="186">
        <v>4668.26</v>
      </c>
      <c r="L39" s="186">
        <v>4572.9100000000008</v>
      </c>
      <c r="M39" s="186">
        <v>4160.4010000000007</v>
      </c>
      <c r="N39" s="186">
        <v>4526.5199999999995</v>
      </c>
      <c r="O39" s="186">
        <v>4363.8300000000008</v>
      </c>
      <c r="P39" s="186">
        <v>4608.0100000000011</v>
      </c>
      <c r="Q39" s="186">
        <v>4500.8500000000013</v>
      </c>
      <c r="R39" s="186">
        <v>4576.2599999999984</v>
      </c>
      <c r="S39" s="186"/>
      <c r="T39" s="187">
        <f>SUM(G39:S39)</f>
        <v>52693.770999999993</v>
      </c>
      <c r="U39" s="143"/>
      <c r="V39" s="188"/>
      <c r="W39" s="143"/>
      <c r="X39" s="143"/>
      <c r="Y39" s="143"/>
      <c r="Z39" s="143"/>
    </row>
    <row r="40" spans="1:26">
      <c r="C40" s="140"/>
      <c r="D40" s="140"/>
      <c r="E40" s="140"/>
      <c r="F40" s="133" t="str">
        <f>"Total "&amp;F32</f>
        <v>Total Commercial</v>
      </c>
      <c r="G40" s="149">
        <f>SUM(G33:G34,G36:G37)</f>
        <v>4572.1497475577835</v>
      </c>
      <c r="H40" s="149">
        <f t="shared" ref="H40:R40" si="8">SUM(H33:H34,H36:H37)</f>
        <v>3898.5937352590049</v>
      </c>
      <c r="I40" s="149">
        <f t="shared" si="8"/>
        <v>4481.529615639568</v>
      </c>
      <c r="J40" s="149">
        <f t="shared" si="8"/>
        <v>3990.8211168824473</v>
      </c>
      <c r="K40" s="149">
        <f t="shared" si="8"/>
        <v>4730.1456581086295</v>
      </c>
      <c r="L40" s="149">
        <f t="shared" si="8"/>
        <v>4623.2334252582186</v>
      </c>
      <c r="M40" s="149">
        <f t="shared" si="8"/>
        <v>4196.9723771327017</v>
      </c>
      <c r="N40" s="149">
        <f t="shared" si="8"/>
        <v>4571.3014309928058</v>
      </c>
      <c r="O40" s="149">
        <f t="shared" si="8"/>
        <v>4435.4802899902879</v>
      </c>
      <c r="P40" s="149">
        <f t="shared" si="8"/>
        <v>4669.7132594252198</v>
      </c>
      <c r="Q40" s="149">
        <f t="shared" si="8"/>
        <v>4563.4234505809118</v>
      </c>
      <c r="R40" s="149">
        <f t="shared" si="8"/>
        <v>4632.8629459784934</v>
      </c>
      <c r="S40" s="149"/>
      <c r="T40" s="144">
        <f>SUM(T33:T34,T36:T37)</f>
        <v>53366.227052806069</v>
      </c>
      <c r="U40" s="143"/>
      <c r="V40" s="190"/>
      <c r="W40" s="143"/>
      <c r="X40" s="143"/>
      <c r="Y40" s="143"/>
      <c r="Z40" s="143"/>
    </row>
    <row r="41" spans="1:26">
      <c r="C41" s="140"/>
      <c r="D41" s="140"/>
      <c r="E41" s="140"/>
      <c r="F41" s="169" t="s">
        <v>160</v>
      </c>
      <c r="G41" s="170">
        <f t="shared" ref="G41:R41" si="9">+G40/SUM(G10:G11)-1</f>
        <v>1.4270700151688409E-2</v>
      </c>
      <c r="H41" s="170">
        <f t="shared" si="9"/>
        <v>1.7338500648201416E-2</v>
      </c>
      <c r="I41" s="170">
        <f t="shared" si="9"/>
        <v>1.5510621978203076E-2</v>
      </c>
      <c r="J41" s="170">
        <f t="shared" si="9"/>
        <v>1.6075932072482146E-2</v>
      </c>
      <c r="K41" s="170">
        <f t="shared" si="9"/>
        <v>1.439749391672529E-2</v>
      </c>
      <c r="L41" s="170">
        <f t="shared" si="9"/>
        <v>1.6157791085653406E-2</v>
      </c>
      <c r="M41" s="170">
        <f t="shared" si="9"/>
        <v>1.0838801131198395E-2</v>
      </c>
      <c r="N41" s="170">
        <f t="shared" si="9"/>
        <v>1.3506939768446413E-2</v>
      </c>
      <c r="O41" s="170">
        <f t="shared" si="9"/>
        <v>1.4788985638982011E-2</v>
      </c>
      <c r="P41" s="170">
        <f t="shared" si="9"/>
        <v>1.5572324156059691E-2</v>
      </c>
      <c r="Q41" s="170">
        <f t="shared" si="9"/>
        <v>1.6273442065966481E-2</v>
      </c>
      <c r="R41" s="170">
        <f t="shared" si="9"/>
        <v>1.2497147086005356E-2</v>
      </c>
      <c r="S41" s="143"/>
      <c r="T41" s="171">
        <f>+T40/SUM(T10:T11)-1</f>
        <v>1.4744731022410473E-2</v>
      </c>
      <c r="U41" s="143"/>
      <c r="V41" s="143"/>
      <c r="W41" s="143"/>
      <c r="X41" s="143"/>
      <c r="Y41" s="143"/>
      <c r="Z41" s="143"/>
    </row>
    <row r="42" spans="1:26">
      <c r="C42" s="140"/>
      <c r="D42" s="140"/>
      <c r="E42" s="140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72"/>
      <c r="U42" s="143"/>
      <c r="V42" s="143"/>
      <c r="W42" s="143"/>
      <c r="X42" s="143"/>
      <c r="Y42" s="143"/>
      <c r="Z42" s="143"/>
    </row>
    <row r="43" spans="1:26">
      <c r="C43" s="140"/>
      <c r="D43" s="140"/>
      <c r="E43" s="140"/>
      <c r="F43" s="134" t="s">
        <v>13</v>
      </c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4"/>
      <c r="U43" s="143"/>
      <c r="V43" s="174"/>
      <c r="W43" s="143"/>
      <c r="X43" s="143"/>
      <c r="Y43" s="143"/>
      <c r="Z43" s="143"/>
    </row>
    <row r="44" spans="1:26">
      <c r="C44" s="140"/>
      <c r="D44" s="175" t="s">
        <v>163</v>
      </c>
      <c r="E44" s="175"/>
      <c r="F44" s="133" t="s">
        <v>147</v>
      </c>
      <c r="G44" s="143">
        <v>614.28234621673028</v>
      </c>
      <c r="H44" s="143">
        <v>497.08905604512682</v>
      </c>
      <c r="I44" s="143">
        <v>610.91344972200989</v>
      </c>
      <c r="J44" s="143">
        <v>513.17156319099354</v>
      </c>
      <c r="K44" s="143">
        <v>646.23462904866994</v>
      </c>
      <c r="L44" s="143">
        <v>615.39258810720901</v>
      </c>
      <c r="M44" s="143">
        <v>579.26545086546662</v>
      </c>
      <c r="N44" s="143">
        <v>648.30672240670185</v>
      </c>
      <c r="O44" s="143">
        <v>570.42763355569991</v>
      </c>
      <c r="P44" s="143">
        <v>578.65926403033245</v>
      </c>
      <c r="Q44" s="143">
        <v>654.90321626196999</v>
      </c>
      <c r="R44" s="143">
        <v>535.21045355360172</v>
      </c>
      <c r="S44" s="143"/>
      <c r="T44" s="144">
        <f>SUM(G44:S44)</f>
        <v>7063.8563730045116</v>
      </c>
      <c r="U44" s="143"/>
      <c r="V44" s="189"/>
      <c r="W44" s="143"/>
      <c r="X44" s="143"/>
      <c r="Y44" s="143"/>
      <c r="Z44" s="143"/>
    </row>
    <row r="45" spans="1:26">
      <c r="D45" s="175" t="s">
        <v>164</v>
      </c>
      <c r="E45" s="175"/>
      <c r="F45" s="133" t="s">
        <v>152</v>
      </c>
      <c r="G45" s="143">
        <v>2713.6623238945526</v>
      </c>
      <c r="H45" s="143">
        <v>2180.2190872741035</v>
      </c>
      <c r="I45" s="143">
        <v>2549.6629459070309</v>
      </c>
      <c r="J45" s="143">
        <v>2252.0598758074802</v>
      </c>
      <c r="K45" s="143">
        <v>2791.5785011626626</v>
      </c>
      <c r="L45" s="143">
        <v>2756.366427562747</v>
      </c>
      <c r="M45" s="143">
        <v>2618.7052360732105</v>
      </c>
      <c r="N45" s="143">
        <v>2721.1377524941126</v>
      </c>
      <c r="O45" s="143">
        <v>2557.8738693547898</v>
      </c>
      <c r="P45" s="143">
        <v>2593.5193209462</v>
      </c>
      <c r="Q45" s="143">
        <v>2638.0123413608108</v>
      </c>
      <c r="R45" s="143">
        <v>2535.2022716551605</v>
      </c>
      <c r="S45" s="143"/>
      <c r="T45" s="144">
        <f>SUM(G45:S45)</f>
        <v>30907.999953492868</v>
      </c>
      <c r="U45" s="143"/>
      <c r="V45" s="177"/>
      <c r="W45" s="143"/>
      <c r="X45" s="143"/>
      <c r="Y45" s="143"/>
      <c r="Z45" s="143"/>
    </row>
    <row r="46" spans="1:26" s="157" customFormat="1" outlineLevel="1">
      <c r="A46" s="150" t="s">
        <v>163</v>
      </c>
      <c r="B46" s="150" t="s">
        <v>144</v>
      </c>
      <c r="C46" s="153"/>
      <c r="D46" s="183"/>
      <c r="E46" s="153"/>
      <c r="F46" s="179" t="str">
        <f>"Total "&amp;F43&amp;" "&amp;B46</f>
        <v>Total Residential MSW</v>
      </c>
      <c r="G46" s="180">
        <v>3379.6899999999996</v>
      </c>
      <c r="H46" s="180">
        <v>2732.0699999999997</v>
      </c>
      <c r="I46" s="180">
        <v>3225.32</v>
      </c>
      <c r="J46" s="180">
        <v>2828.4000000000005</v>
      </c>
      <c r="K46" s="180">
        <v>3494.7000000000003</v>
      </c>
      <c r="L46" s="180">
        <v>3437.7000000000007</v>
      </c>
      <c r="M46" s="180">
        <v>3238.3700000000003</v>
      </c>
      <c r="N46" s="180">
        <v>3450.89</v>
      </c>
      <c r="O46" s="180">
        <v>3195.12</v>
      </c>
      <c r="P46" s="180">
        <v>3244.4400000000005</v>
      </c>
      <c r="Q46" s="180">
        <v>3354.77</v>
      </c>
      <c r="R46" s="180">
        <v>3142.25</v>
      </c>
      <c r="S46" s="180"/>
      <c r="T46" s="181">
        <f>SUM(G46:R46)-SUM(T44:T45)</f>
        <v>751.86367350261571</v>
      </c>
      <c r="U46" s="156"/>
      <c r="V46" s="182"/>
      <c r="W46" s="156"/>
      <c r="X46" s="156"/>
      <c r="Y46" s="156"/>
      <c r="Z46" s="156"/>
    </row>
    <row r="47" spans="1:26">
      <c r="C47" s="140"/>
      <c r="D47" s="175" t="s">
        <v>163</v>
      </c>
      <c r="E47" s="175"/>
      <c r="F47" s="133" t="s">
        <v>166</v>
      </c>
      <c r="G47" s="143">
        <v>437.67898321493919</v>
      </c>
      <c r="H47" s="143">
        <v>258.72616697589814</v>
      </c>
      <c r="I47" s="143">
        <v>365.87192003702199</v>
      </c>
      <c r="J47" s="143">
        <v>335.09662696218874</v>
      </c>
      <c r="K47" s="143">
        <v>574.85881937229021</v>
      </c>
      <c r="L47" s="143">
        <v>465.92946813902495</v>
      </c>
      <c r="M47" s="143">
        <v>330.9762248548015</v>
      </c>
      <c r="N47" s="143">
        <v>331.10966000434007</v>
      </c>
      <c r="O47" s="143">
        <v>320.06219879769935</v>
      </c>
      <c r="P47" s="143">
        <v>367.84440531977589</v>
      </c>
      <c r="Q47" s="143">
        <v>699.71818837502076</v>
      </c>
      <c r="R47" s="143">
        <v>389.68248467353163</v>
      </c>
      <c r="S47" s="143"/>
      <c r="T47" s="144">
        <f>SUM(G47:S47)</f>
        <v>4877.5551467265323</v>
      </c>
      <c r="U47" s="143"/>
      <c r="V47" s="176"/>
      <c r="W47" s="143"/>
      <c r="X47" s="143"/>
      <c r="Y47" s="143"/>
      <c r="Z47" s="143"/>
    </row>
    <row r="48" spans="1:26">
      <c r="D48" s="175" t="s">
        <v>164</v>
      </c>
      <c r="E48" s="175"/>
      <c r="F48" s="133" t="s">
        <v>167</v>
      </c>
      <c r="G48" s="143">
        <v>3596.4306550943065</v>
      </c>
      <c r="H48" s="143">
        <v>2234.8500561776846</v>
      </c>
      <c r="I48" s="143">
        <v>3018.6577979764925</v>
      </c>
      <c r="J48" s="143">
        <v>2758.5360050804788</v>
      </c>
      <c r="K48" s="143">
        <v>4606.1240309717696</v>
      </c>
      <c r="L48" s="143">
        <v>3689.8329556793042</v>
      </c>
      <c r="M48" s="143">
        <v>2628.8116689565773</v>
      </c>
      <c r="N48" s="143">
        <v>2429.0770878804815</v>
      </c>
      <c r="O48" s="143">
        <v>2480.3842997489801</v>
      </c>
      <c r="P48" s="143">
        <v>3363.0272658030344</v>
      </c>
      <c r="Q48" s="143">
        <v>5070.2872082848789</v>
      </c>
      <c r="R48" s="143">
        <v>3365.4308083714154</v>
      </c>
      <c r="S48" s="143"/>
      <c r="T48" s="144">
        <f>SUM(G48:S48)</f>
        <v>39241.449840025401</v>
      </c>
      <c r="U48" s="143"/>
      <c r="V48" s="177"/>
      <c r="W48" s="143"/>
      <c r="X48" s="143"/>
      <c r="Y48" s="143"/>
      <c r="Z48" s="143"/>
    </row>
    <row r="49" spans="1:26" s="157" customFormat="1" outlineLevel="1">
      <c r="A49" s="151" t="str">
        <f>+A46</f>
        <v>R</v>
      </c>
      <c r="B49" s="151" t="s">
        <v>157</v>
      </c>
      <c r="C49" s="153"/>
      <c r="D49" s="183"/>
      <c r="E49" s="153"/>
      <c r="F49" s="179" t="str">
        <f>"Total "&amp;F43&amp;" "&amp;B49</f>
        <v>Total Residential YW</v>
      </c>
      <c r="G49" s="180">
        <v>4105.7500000000009</v>
      </c>
      <c r="H49" s="180">
        <v>2510.6900000000005</v>
      </c>
      <c r="I49" s="180">
        <v>3402.45</v>
      </c>
      <c r="J49" s="180">
        <v>3153.87</v>
      </c>
      <c r="K49" s="180">
        <v>5276.74</v>
      </c>
      <c r="L49" s="180">
        <v>4211.58</v>
      </c>
      <c r="M49" s="180">
        <v>3005.5999999999995</v>
      </c>
      <c r="N49" s="180">
        <v>2769.7799999999997</v>
      </c>
      <c r="O49" s="180">
        <v>2819.1500000000005</v>
      </c>
      <c r="P49" s="180">
        <v>3782.0399999999991</v>
      </c>
      <c r="Q49" s="180">
        <v>5858.3300000000008</v>
      </c>
      <c r="R49" s="180">
        <v>3784.6399999999994</v>
      </c>
      <c r="S49" s="180"/>
      <c r="T49" s="181">
        <f>SUM(G49:R49)-SUM(T47:T48)</f>
        <v>561.61501324806886</v>
      </c>
      <c r="U49" s="156"/>
      <c r="V49" s="182"/>
      <c r="W49" s="156"/>
      <c r="X49" s="156"/>
      <c r="Y49" s="156"/>
      <c r="Z49" s="156"/>
    </row>
    <row r="50" spans="1:26">
      <c r="C50" s="140"/>
      <c r="D50" s="175" t="s">
        <v>163</v>
      </c>
      <c r="E50" s="175"/>
      <c r="F50" s="133" t="s">
        <v>168</v>
      </c>
      <c r="G50" s="143">
        <v>334.1590944318549</v>
      </c>
      <c r="H50" s="143">
        <v>274.93446725318199</v>
      </c>
      <c r="I50" s="143">
        <v>303.60868279704886</v>
      </c>
      <c r="J50" s="143">
        <v>264.63046193322526</v>
      </c>
      <c r="K50" s="143">
        <v>346.33528091445555</v>
      </c>
      <c r="L50" s="143">
        <v>315.50066533535238</v>
      </c>
      <c r="M50" s="143">
        <v>291.52939829193946</v>
      </c>
      <c r="N50" s="143">
        <v>352.55900323065305</v>
      </c>
      <c r="O50" s="143">
        <v>278.41628401981404</v>
      </c>
      <c r="P50" s="143">
        <v>321.88793659695051</v>
      </c>
      <c r="Q50" s="143">
        <v>335.03548855033131</v>
      </c>
      <c r="R50" s="143">
        <v>324.38397138498937</v>
      </c>
      <c r="S50" s="143"/>
      <c r="T50" s="144">
        <f>SUM(G50:S50)</f>
        <v>3742.9807347397964</v>
      </c>
      <c r="U50" s="143"/>
      <c r="V50" s="176"/>
      <c r="W50" s="143"/>
      <c r="X50" s="143"/>
      <c r="Y50" s="143"/>
      <c r="Z50" s="143"/>
    </row>
    <row r="51" spans="1:26">
      <c r="D51" s="175" t="s">
        <v>164</v>
      </c>
      <c r="E51" s="175"/>
      <c r="F51" s="133" t="s">
        <v>169</v>
      </c>
      <c r="G51" s="143">
        <v>1882.448102460658</v>
      </c>
      <c r="H51" s="143">
        <v>1316.3102678956689</v>
      </c>
      <c r="I51" s="143">
        <v>1539.603112750176</v>
      </c>
      <c r="J51" s="143">
        <v>1394.7161764296961</v>
      </c>
      <c r="K51" s="143">
        <v>1694.3390916301562</v>
      </c>
      <c r="L51" s="143">
        <v>1673.508420111599</v>
      </c>
      <c r="M51" s="143">
        <v>1561.7893395278218</v>
      </c>
      <c r="N51" s="143">
        <v>1610.4766097648915</v>
      </c>
      <c r="O51" s="143">
        <v>1577.6036154421517</v>
      </c>
      <c r="P51" s="143">
        <v>1596.0520713477849</v>
      </c>
      <c r="Q51" s="143">
        <v>1704.1761504413248</v>
      </c>
      <c r="R51" s="143">
        <v>1722.0696676034372</v>
      </c>
      <c r="S51" s="143"/>
      <c r="T51" s="144">
        <f>SUM(G51:S51)</f>
        <v>19273.09262540537</v>
      </c>
      <c r="U51" s="143"/>
      <c r="V51" s="177"/>
      <c r="W51" s="143"/>
      <c r="X51" s="143"/>
      <c r="Y51" s="143"/>
      <c r="Z51" s="143"/>
    </row>
    <row r="52" spans="1:26" s="157" customFormat="1" outlineLevel="1">
      <c r="A52" s="151" t="str">
        <f>+A49</f>
        <v>R</v>
      </c>
      <c r="B52" s="151" t="s">
        <v>153</v>
      </c>
      <c r="C52" s="153"/>
      <c r="D52" s="183"/>
      <c r="E52" s="153"/>
      <c r="F52" s="179" t="str">
        <f>"Total "&amp;F43&amp;" "&amp;B50</f>
        <v xml:space="preserve">Total Residential </v>
      </c>
      <c r="G52" s="180">
        <v>2241.33</v>
      </c>
      <c r="H52" s="180">
        <v>1605.03</v>
      </c>
      <c r="I52" s="180">
        <v>1862.32</v>
      </c>
      <c r="J52" s="180">
        <v>1662.96</v>
      </c>
      <c r="K52" s="180">
        <v>2010.8300000000002</v>
      </c>
      <c r="L52" s="180">
        <v>1985.9</v>
      </c>
      <c r="M52" s="180">
        <v>1853.54</v>
      </c>
      <c r="N52" s="180">
        <v>1971.6300000000003</v>
      </c>
      <c r="O52" s="180">
        <v>1861.54</v>
      </c>
      <c r="P52" s="180">
        <v>1909.46</v>
      </c>
      <c r="Q52" s="180">
        <v>2009.15</v>
      </c>
      <c r="R52" s="180">
        <v>2056.89</v>
      </c>
      <c r="S52" s="180"/>
      <c r="T52" s="181">
        <f>SUM(G52:R52)-SUM(T50:T51)</f>
        <v>14.506639854836976</v>
      </c>
      <c r="U52" s="156"/>
      <c r="V52" s="184"/>
      <c r="W52" s="156"/>
      <c r="X52" s="156"/>
      <c r="Y52" s="156"/>
      <c r="Z52" s="156"/>
    </row>
    <row r="53" spans="1:26" outlineLevel="1">
      <c r="A53" s="165"/>
      <c r="B53" s="165"/>
      <c r="C53" s="165"/>
      <c r="D53" s="165"/>
      <c r="E53" s="165"/>
      <c r="F53" s="185" t="str">
        <f>"Total "&amp;F43&amp;" per Disposal Report"</f>
        <v>Total Residential per Disposal Report</v>
      </c>
      <c r="G53" s="186">
        <v>9726.77</v>
      </c>
      <c r="H53" s="186">
        <v>6847.7900000000036</v>
      </c>
      <c r="I53" s="186">
        <v>8490.090000000002</v>
      </c>
      <c r="J53" s="186">
        <v>7646.0599999999995</v>
      </c>
      <c r="K53" s="186">
        <v>10782.270000000002</v>
      </c>
      <c r="L53" s="186">
        <v>9635.18</v>
      </c>
      <c r="M53" s="186">
        <v>8097.510000000002</v>
      </c>
      <c r="N53" s="186">
        <v>8192.2999999999975</v>
      </c>
      <c r="O53" s="186">
        <v>7875.8099999999986</v>
      </c>
      <c r="P53" s="186">
        <v>8935.9399999999987</v>
      </c>
      <c r="Q53" s="186">
        <v>11222.250000000002</v>
      </c>
      <c r="R53" s="186">
        <v>8983.7800000000043</v>
      </c>
      <c r="S53" s="186"/>
      <c r="T53" s="187">
        <f>SUM(G53:S53)</f>
        <v>106435.75000000001</v>
      </c>
      <c r="U53" s="143"/>
      <c r="V53" s="188"/>
      <c r="W53" s="143"/>
      <c r="X53" s="143"/>
      <c r="Y53" s="143"/>
      <c r="Z53" s="143"/>
    </row>
    <row r="54" spans="1:26">
      <c r="C54" s="140"/>
      <c r="D54" s="140"/>
      <c r="E54" s="140"/>
      <c r="F54" s="133" t="str">
        <f>"Total "&amp;F43</f>
        <v>Total Residential</v>
      </c>
      <c r="G54" s="149">
        <f>SUM(G44:G45,G47:G48,G50:G51)</f>
        <v>9578.6615053130427</v>
      </c>
      <c r="H54" s="149">
        <f t="shared" ref="H54:R54" si="10">SUM(H44:H45,H47:H48,H50:H51)</f>
        <v>6762.1291016216637</v>
      </c>
      <c r="I54" s="149">
        <f t="shared" si="10"/>
        <v>8388.31790918978</v>
      </c>
      <c r="J54" s="149">
        <f t="shared" si="10"/>
        <v>7518.210709404063</v>
      </c>
      <c r="K54" s="149">
        <f t="shared" si="10"/>
        <v>10659.470353100005</v>
      </c>
      <c r="L54" s="149">
        <f t="shared" si="10"/>
        <v>9516.5305249352368</v>
      </c>
      <c r="M54" s="149">
        <f t="shared" si="10"/>
        <v>8011.0773185698172</v>
      </c>
      <c r="N54" s="149">
        <f t="shared" si="10"/>
        <v>8092.6668357811805</v>
      </c>
      <c r="O54" s="149">
        <f t="shared" si="10"/>
        <v>7784.7679009191352</v>
      </c>
      <c r="P54" s="149">
        <f t="shared" si="10"/>
        <v>8820.9902640440778</v>
      </c>
      <c r="Q54" s="149">
        <f t="shared" si="10"/>
        <v>11102.132593274337</v>
      </c>
      <c r="R54" s="149">
        <f t="shared" si="10"/>
        <v>8871.9796572421365</v>
      </c>
      <c r="S54" s="149"/>
      <c r="T54" s="144">
        <f>SUM(T44:T45,T47:T48,T50:T51)</f>
        <v>105106.93467339448</v>
      </c>
      <c r="U54" s="143"/>
      <c r="V54" s="190"/>
      <c r="W54" s="143"/>
      <c r="X54" s="143"/>
      <c r="Y54" s="143"/>
      <c r="Z54" s="143"/>
    </row>
    <row r="55" spans="1:26">
      <c r="C55" s="140"/>
      <c r="D55" s="140"/>
      <c r="E55" s="140"/>
      <c r="F55" s="169" t="s">
        <v>160</v>
      </c>
      <c r="G55" s="170">
        <f>+G54/SUM(G12:G14)-1</f>
        <v>-1.5161081159491774E-2</v>
      </c>
      <c r="H55" s="170">
        <f t="shared" ref="H55:T55" si="11">+H54/SUM(H12:H14)-1</f>
        <v>-1.4690606572732912E-2</v>
      </c>
      <c r="I55" s="170">
        <f t="shared" si="11"/>
        <v>-1.3465206303589161E-2</v>
      </c>
      <c r="J55" s="170">
        <f t="shared" si="11"/>
        <v>-1.2234299471437615E-2</v>
      </c>
      <c r="K55" s="170">
        <f t="shared" si="11"/>
        <v>-1.2021281238500547E-2</v>
      </c>
      <c r="L55" s="170">
        <f t="shared" si="11"/>
        <v>-1.2366470389226114E-2</v>
      </c>
      <c r="M55" s="170">
        <f t="shared" si="11"/>
        <v>-6.7943834312167439E-3</v>
      </c>
      <c r="N55" s="170">
        <f t="shared" si="11"/>
        <v>-1.1798722992935939E-2</v>
      </c>
      <c r="O55" s="170">
        <f t="shared" si="11"/>
        <v>-1.3237349678150379E-2</v>
      </c>
      <c r="P55" s="170">
        <f t="shared" si="11"/>
        <v>-1.1927201766673168E-2</v>
      </c>
      <c r="Q55" s="170">
        <f t="shared" si="11"/>
        <v>-1.1520026383398108E-2</v>
      </c>
      <c r="R55" s="170">
        <f t="shared" si="11"/>
        <v>-1.1456560899169133E-2</v>
      </c>
      <c r="S55" s="143"/>
      <c r="T55" s="170">
        <f t="shared" si="11"/>
        <v>-1.2210707273488719E-2</v>
      </c>
      <c r="U55" s="143"/>
      <c r="V55" s="143"/>
      <c r="W55" s="143"/>
      <c r="X55" s="143"/>
      <c r="Y55" s="143"/>
      <c r="Z55" s="143"/>
    </row>
    <row r="56" spans="1:26">
      <c r="C56" s="140"/>
      <c r="D56" s="140"/>
      <c r="E56" s="140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4"/>
      <c r="U56" s="143"/>
      <c r="V56" s="143"/>
      <c r="W56" s="143"/>
      <c r="X56" s="143"/>
      <c r="Y56" s="143"/>
      <c r="Z56" s="143"/>
    </row>
    <row r="57" spans="1:26">
      <c r="C57" s="140"/>
      <c r="D57" s="140"/>
      <c r="E57" s="140"/>
      <c r="F57" s="191" t="s">
        <v>170</v>
      </c>
      <c r="G57" s="143">
        <f t="shared" ref="G57:R57" si="12">SUM(G18:G19,G33:G34,G44:G45)</f>
        <v>8641.7310839621441</v>
      </c>
      <c r="H57" s="143">
        <f t="shared" si="12"/>
        <v>7303.4377092539253</v>
      </c>
      <c r="I57" s="143">
        <f t="shared" si="12"/>
        <v>8402.4566276162768</v>
      </c>
      <c r="J57" s="143">
        <f t="shared" si="12"/>
        <v>7424.7209083114967</v>
      </c>
      <c r="K57" s="143">
        <f t="shared" si="12"/>
        <v>8929.4877534341467</v>
      </c>
      <c r="L57" s="143">
        <f t="shared" si="12"/>
        <v>8798.9455092104581</v>
      </c>
      <c r="M57" s="143">
        <f t="shared" si="12"/>
        <v>8228.7498781204995</v>
      </c>
      <c r="N57" s="143">
        <f t="shared" si="12"/>
        <v>8821.6082309381109</v>
      </c>
      <c r="O57" s="143">
        <f t="shared" si="12"/>
        <v>8292.5982123620324</v>
      </c>
      <c r="P57" s="143">
        <f t="shared" si="12"/>
        <v>8455.5158984470254</v>
      </c>
      <c r="Q57" s="143">
        <f t="shared" si="12"/>
        <v>8409.2592797311299</v>
      </c>
      <c r="R57" s="143">
        <f t="shared" si="12"/>
        <v>8186.6186806939368</v>
      </c>
      <c r="S57" s="143"/>
      <c r="T57" s="144">
        <f>SUM(G57:S57)</f>
        <v>99895.129772081185</v>
      </c>
      <c r="U57" s="143"/>
      <c r="V57" s="143"/>
      <c r="W57" s="143"/>
      <c r="X57" s="143"/>
      <c r="Y57" s="143"/>
      <c r="Z57" s="143"/>
    </row>
    <row r="58" spans="1:26" outlineLevel="1">
      <c r="C58" s="140"/>
      <c r="D58" s="140"/>
      <c r="E58" s="140"/>
      <c r="F58" s="192" t="s">
        <v>160</v>
      </c>
      <c r="G58" s="170">
        <f t="shared" ref="G58:R58" si="13">+G57/SUM(G8,G10,G12)-1</f>
        <v>6.6316144769993368E-3</v>
      </c>
      <c r="H58" s="170">
        <f t="shared" si="13"/>
        <v>6.0371988652179187E-3</v>
      </c>
      <c r="I58" s="170">
        <f t="shared" si="13"/>
        <v>2.6863974861024431E-4</v>
      </c>
      <c r="J58" s="170">
        <f t="shared" si="13"/>
        <v>1.4487371575722108E-3</v>
      </c>
      <c r="K58" s="170">
        <f t="shared" si="13"/>
        <v>6.8428370731268284E-3</v>
      </c>
      <c r="L58" s="170">
        <f t="shared" si="13"/>
        <v>1.0766587083434809E-2</v>
      </c>
      <c r="M58" s="170">
        <f t="shared" si="13"/>
        <v>3.8292667542354497E-3</v>
      </c>
      <c r="N58" s="170">
        <f t="shared" si="13"/>
        <v>-2.3603976556224593E-3</v>
      </c>
      <c r="O58" s="170">
        <f t="shared" si="13"/>
        <v>9.8687962289785158E-3</v>
      </c>
      <c r="P58" s="170">
        <f t="shared" si="13"/>
        <v>2.2860802096464905E-3</v>
      </c>
      <c r="Q58" s="170">
        <f t="shared" si="13"/>
        <v>3.7131442778095547E-3</v>
      </c>
      <c r="R58" s="170">
        <f t="shared" si="13"/>
        <v>5.009775663063154E-3</v>
      </c>
      <c r="S58" s="170"/>
      <c r="T58" s="170">
        <f>+T57/SUM(T8,T10,T12)-1</f>
        <v>4.5345004744490325E-3</v>
      </c>
      <c r="U58" s="143"/>
      <c r="V58" s="143"/>
      <c r="W58" s="143"/>
      <c r="X58" s="143"/>
      <c r="Y58" s="143"/>
      <c r="Z58" s="143"/>
    </row>
    <row r="59" spans="1:26">
      <c r="C59" s="140"/>
      <c r="D59" s="140"/>
      <c r="E59" s="140"/>
      <c r="F59" s="191" t="s">
        <v>171</v>
      </c>
      <c r="G59" s="143">
        <f t="shared" ref="G59:R59" si="14">SUM(G21:G22,G36:G37,G50:G51)</f>
        <v>5650.0805305994345</v>
      </c>
      <c r="H59" s="143">
        <f t="shared" si="14"/>
        <v>4501.6089044731598</v>
      </c>
      <c r="I59" s="143">
        <f t="shared" si="14"/>
        <v>5425.3911791995579</v>
      </c>
      <c r="J59" s="143">
        <f t="shared" si="14"/>
        <v>4528.7682859323468</v>
      </c>
      <c r="K59" s="143">
        <f t="shared" si="14"/>
        <v>5100.755407430428</v>
      </c>
      <c r="L59" s="143">
        <f t="shared" si="14"/>
        <v>5106.446017164667</v>
      </c>
      <c r="M59" s="143">
        <f t="shared" si="14"/>
        <v>4612.4406237706398</v>
      </c>
      <c r="N59" s="143">
        <f t="shared" si="14"/>
        <v>5047.0282879510532</v>
      </c>
      <c r="O59" s="143">
        <f t="shared" si="14"/>
        <v>4934.6234800007096</v>
      </c>
      <c r="P59" s="143">
        <f t="shared" si="14"/>
        <v>5246.0409538994627</v>
      </c>
      <c r="Q59" s="143">
        <f t="shared" si="14"/>
        <v>5337.391367464219</v>
      </c>
      <c r="R59" s="143">
        <f t="shared" si="14"/>
        <v>4948.0806294817448</v>
      </c>
      <c r="S59" s="143"/>
      <c r="T59" s="144">
        <f>SUM(G59:S59)</f>
        <v>60438.655667367428</v>
      </c>
      <c r="U59" s="143"/>
      <c r="V59" s="143"/>
      <c r="W59" s="143"/>
      <c r="X59" s="143"/>
      <c r="Y59" s="143"/>
      <c r="Z59" s="143"/>
    </row>
    <row r="60" spans="1:26">
      <c r="C60" s="140"/>
      <c r="D60" s="140"/>
      <c r="E60" s="140"/>
      <c r="F60" s="191" t="s">
        <v>172</v>
      </c>
      <c r="G60" s="143">
        <f>SUM(G47:G48)</f>
        <v>4034.1096383092458</v>
      </c>
      <c r="H60" s="143">
        <f t="shared" ref="H60:R60" si="15">SUM(H47:H48)</f>
        <v>2493.5762231535828</v>
      </c>
      <c r="I60" s="143">
        <f t="shared" si="15"/>
        <v>3384.5297180135144</v>
      </c>
      <c r="J60" s="143">
        <f t="shared" si="15"/>
        <v>3093.6326320426674</v>
      </c>
      <c r="K60" s="143">
        <f t="shared" si="15"/>
        <v>5180.9828503440594</v>
      </c>
      <c r="L60" s="143">
        <f t="shared" si="15"/>
        <v>4155.7624238183289</v>
      </c>
      <c r="M60" s="143">
        <f t="shared" si="15"/>
        <v>2959.7878938113786</v>
      </c>
      <c r="N60" s="143">
        <f t="shared" si="15"/>
        <v>2760.1867478848217</v>
      </c>
      <c r="O60" s="143">
        <f t="shared" si="15"/>
        <v>2800.4464985466793</v>
      </c>
      <c r="P60" s="143">
        <f t="shared" si="15"/>
        <v>3730.8716711228103</v>
      </c>
      <c r="Q60" s="143">
        <f t="shared" si="15"/>
        <v>5770.0053966598998</v>
      </c>
      <c r="R60" s="143">
        <f t="shared" si="15"/>
        <v>3755.1132930449471</v>
      </c>
      <c r="S60" s="143"/>
      <c r="T60" s="144">
        <f>SUM(G60:S60)</f>
        <v>44119.004986751934</v>
      </c>
      <c r="U60" s="143"/>
      <c r="V60" s="193"/>
      <c r="W60" s="143"/>
      <c r="X60" s="143"/>
      <c r="Y60" s="143"/>
      <c r="Z60" s="143"/>
    </row>
    <row r="61" spans="1:26" outlineLevel="1">
      <c r="C61" s="140"/>
      <c r="D61" s="140"/>
      <c r="E61" s="140"/>
      <c r="F61" s="192" t="s">
        <v>160</v>
      </c>
      <c r="G61" s="170">
        <f>SUM(G59:G60)/SUM(G9,G11,G13:G14)-1</f>
        <v>-2.3952193453161796E-2</v>
      </c>
      <c r="H61" s="170">
        <f t="shared" ref="H61:R61" si="16">SUM(H59:H60)/SUM(H9,H11,H13:H14)-1</f>
        <v>-1.1751981370464959E-2</v>
      </c>
      <c r="I61" s="170">
        <f t="shared" si="16"/>
        <v>-2.3602120696155526E-2</v>
      </c>
      <c r="J61" s="170">
        <f t="shared" si="16"/>
        <v>-1.0879375937550062E-2</v>
      </c>
      <c r="K61" s="170">
        <f t="shared" si="16"/>
        <v>-2.2468187310731524E-2</v>
      </c>
      <c r="L61" s="170">
        <f t="shared" si="16"/>
        <v>-1.8318052601473456E-2</v>
      </c>
      <c r="M61" s="170">
        <f t="shared" si="16"/>
        <v>-1.4231114276347379E-3</v>
      </c>
      <c r="N61" s="170">
        <f t="shared" si="16"/>
        <v>-2.336587331688067E-3</v>
      </c>
      <c r="O61" s="170">
        <f t="shared" si="16"/>
        <v>-1.6337428365928108E-2</v>
      </c>
      <c r="P61" s="170">
        <f t="shared" si="16"/>
        <v>-1.2068071337999586E-2</v>
      </c>
      <c r="Q61" s="170">
        <f t="shared" si="16"/>
        <v>-1.4321269549665616E-2</v>
      </c>
      <c r="R61" s="170">
        <f t="shared" si="16"/>
        <v>-2.7582617040925905E-2</v>
      </c>
      <c r="S61" s="170"/>
      <c r="T61" s="170">
        <f>SUM(T59:T60)/SUM(T9,T11,T13:T14)-1</f>
        <v>-1.6019583548268268E-2</v>
      </c>
      <c r="U61" s="143"/>
      <c r="V61" s="143"/>
      <c r="W61" s="143"/>
      <c r="X61" s="143"/>
      <c r="Y61" s="143"/>
      <c r="Z61" s="143"/>
    </row>
    <row r="62" spans="1:26">
      <c r="C62" s="140"/>
      <c r="D62" s="140"/>
      <c r="E62" s="140"/>
      <c r="F62" s="194" t="s">
        <v>173</v>
      </c>
      <c r="G62" s="167">
        <f>+G57+G59+G60</f>
        <v>18325.921252870823</v>
      </c>
      <c r="H62" s="167">
        <f t="shared" ref="H62:R62" si="17">+H57+H59+H60</f>
        <v>14298.622836880668</v>
      </c>
      <c r="I62" s="167">
        <f t="shared" si="17"/>
        <v>17212.37752482935</v>
      </c>
      <c r="J62" s="167">
        <f t="shared" si="17"/>
        <v>15047.121826286511</v>
      </c>
      <c r="K62" s="167">
        <f t="shared" si="17"/>
        <v>19211.226011208633</v>
      </c>
      <c r="L62" s="167">
        <f t="shared" si="17"/>
        <v>18061.153950193453</v>
      </c>
      <c r="M62" s="167">
        <f t="shared" si="17"/>
        <v>15800.978395702517</v>
      </c>
      <c r="N62" s="167">
        <f t="shared" si="17"/>
        <v>16628.823266773987</v>
      </c>
      <c r="O62" s="167">
        <f t="shared" si="17"/>
        <v>16027.668190909422</v>
      </c>
      <c r="P62" s="167">
        <f t="shared" si="17"/>
        <v>17432.428523469298</v>
      </c>
      <c r="Q62" s="167">
        <f t="shared" si="17"/>
        <v>19516.656043855248</v>
      </c>
      <c r="R62" s="167">
        <f t="shared" si="17"/>
        <v>16889.812603220627</v>
      </c>
      <c r="S62" s="167"/>
      <c r="T62" s="168">
        <f>SUM(G62:S62)</f>
        <v>204452.79042620058</v>
      </c>
      <c r="U62" s="143"/>
      <c r="V62" s="143"/>
      <c r="W62" s="143"/>
      <c r="X62" s="143"/>
      <c r="Y62" s="143"/>
      <c r="Z62" s="143"/>
    </row>
    <row r="63" spans="1:26">
      <c r="C63" s="140"/>
      <c r="D63" s="140"/>
      <c r="E63" s="140"/>
      <c r="F63" s="192" t="s">
        <v>160</v>
      </c>
      <c r="G63" s="170">
        <f t="shared" ref="G63:R63" si="18">+G62/G15-1</f>
        <v>-9.7650760553604776E-3</v>
      </c>
      <c r="H63" s="170">
        <f t="shared" si="18"/>
        <v>-2.7449587124080965E-3</v>
      </c>
      <c r="I63" s="170">
        <f t="shared" si="18"/>
        <v>-1.2093296659985042E-2</v>
      </c>
      <c r="J63" s="170">
        <f t="shared" si="18"/>
        <v>-4.8344649557671149E-3</v>
      </c>
      <c r="K63" s="170">
        <f t="shared" si="18"/>
        <v>-9.0594345237633433E-3</v>
      </c>
      <c r="L63" s="170">
        <f t="shared" si="18"/>
        <v>-4.3608002204238439E-3</v>
      </c>
      <c r="M63" s="170">
        <f t="shared" si="18"/>
        <v>1.3053168366361501E-3</v>
      </c>
      <c r="N63" s="170">
        <f t="shared" si="18"/>
        <v>-2.3492188751134124E-3</v>
      </c>
      <c r="O63" s="170">
        <f t="shared" si="18"/>
        <v>-2.9506385086610631E-3</v>
      </c>
      <c r="P63" s="170">
        <f t="shared" si="18"/>
        <v>-5.1573650632719126E-3</v>
      </c>
      <c r="Q63" s="170">
        <f t="shared" si="18"/>
        <v>-6.6307538197951654E-3</v>
      </c>
      <c r="R63" s="170">
        <f t="shared" si="18"/>
        <v>-1.2053051221106115E-2</v>
      </c>
      <c r="S63" s="143"/>
      <c r="T63" s="170">
        <f>+T62/T15-1</f>
        <v>-6.0830560683982071E-3</v>
      </c>
      <c r="U63" s="143"/>
      <c r="V63" s="143"/>
      <c r="W63" s="143"/>
      <c r="X63" s="143"/>
      <c r="Y63" s="143"/>
      <c r="Z63" s="143"/>
    </row>
    <row r="64" spans="1:26">
      <c r="C64" s="140"/>
      <c r="D64" s="140"/>
      <c r="E64" s="140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72"/>
      <c r="U64" s="143"/>
      <c r="V64" s="143"/>
      <c r="W64" s="143"/>
      <c r="X64" s="143"/>
      <c r="Y64" s="143"/>
      <c r="Z64" s="143"/>
    </row>
    <row r="65" spans="3:26" ht="15" thickBot="1">
      <c r="C65" s="140"/>
      <c r="D65" s="140"/>
      <c r="E65" s="140"/>
      <c r="F65" s="141" t="s">
        <v>174</v>
      </c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1"/>
    </row>
    <row r="66" spans="3:26">
      <c r="C66" s="140"/>
      <c r="D66" s="140"/>
      <c r="E66" s="140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72"/>
      <c r="U66" s="143"/>
      <c r="V66" s="143"/>
      <c r="W66" s="143"/>
      <c r="X66" s="143"/>
      <c r="Y66" s="143"/>
      <c r="Z66" s="143"/>
    </row>
    <row r="67" spans="3:26">
      <c r="C67" s="140"/>
      <c r="D67" s="140"/>
      <c r="E67" s="140"/>
      <c r="F67" s="134" t="str">
        <f>+F17</f>
        <v>Roll-off / Industrial</v>
      </c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72"/>
      <c r="U67" s="143"/>
      <c r="V67" s="143"/>
      <c r="W67" s="143"/>
      <c r="X67" s="143"/>
      <c r="Y67" s="143"/>
      <c r="Z67" s="143"/>
    </row>
    <row r="68" spans="3:26">
      <c r="C68" s="140"/>
      <c r="D68" s="140"/>
      <c r="E68" s="140"/>
      <c r="F68" s="133" t="str">
        <f>+F18</f>
        <v>Regulated Garbage</v>
      </c>
      <c r="G68" s="195">
        <v>168.68</v>
      </c>
      <c r="H68" s="196">
        <f>+G68</f>
        <v>168.68</v>
      </c>
      <c r="I68" s="196">
        <f t="shared" ref="I68:R70" si="19">+H68</f>
        <v>168.68</v>
      </c>
      <c r="J68" s="196">
        <f t="shared" si="19"/>
        <v>168.68</v>
      </c>
      <c r="K68" s="196">
        <f t="shared" si="19"/>
        <v>168.68</v>
      </c>
      <c r="L68" s="196">
        <f t="shared" si="19"/>
        <v>168.68</v>
      </c>
      <c r="M68" s="196">
        <f t="shared" si="19"/>
        <v>168.68</v>
      </c>
      <c r="N68" s="196">
        <f t="shared" si="19"/>
        <v>168.68</v>
      </c>
      <c r="O68" s="196">
        <f t="shared" si="19"/>
        <v>168.68</v>
      </c>
      <c r="P68" s="196">
        <f t="shared" si="19"/>
        <v>168.68</v>
      </c>
      <c r="Q68" s="196">
        <f t="shared" si="19"/>
        <v>168.68</v>
      </c>
      <c r="R68" s="196">
        <f t="shared" si="19"/>
        <v>168.68</v>
      </c>
      <c r="S68" s="196"/>
      <c r="T68" s="197"/>
      <c r="U68" s="143"/>
      <c r="V68" s="143"/>
      <c r="W68" s="143"/>
      <c r="X68" s="143"/>
      <c r="Y68" s="143"/>
      <c r="Z68" s="143"/>
    </row>
    <row r="69" spans="3:26">
      <c r="C69" s="140"/>
      <c r="D69" s="140"/>
      <c r="E69" s="140"/>
      <c r="F69" s="133" t="str">
        <f>+F19</f>
        <v>Unregulated Garbage</v>
      </c>
      <c r="G69" s="196">
        <f>+G68</f>
        <v>168.68</v>
      </c>
      <c r="H69" s="196">
        <f>+G69</f>
        <v>168.68</v>
      </c>
      <c r="I69" s="196">
        <f t="shared" si="19"/>
        <v>168.68</v>
      </c>
      <c r="J69" s="196">
        <f t="shared" si="19"/>
        <v>168.68</v>
      </c>
      <c r="K69" s="196">
        <f t="shared" si="19"/>
        <v>168.68</v>
      </c>
      <c r="L69" s="196">
        <f t="shared" si="19"/>
        <v>168.68</v>
      </c>
      <c r="M69" s="196">
        <f t="shared" si="19"/>
        <v>168.68</v>
      </c>
      <c r="N69" s="196">
        <f t="shared" si="19"/>
        <v>168.68</v>
      </c>
      <c r="O69" s="196">
        <f t="shared" si="19"/>
        <v>168.68</v>
      </c>
      <c r="P69" s="196">
        <f t="shared" si="19"/>
        <v>168.68</v>
      </c>
      <c r="Q69" s="196">
        <f t="shared" si="19"/>
        <v>168.68</v>
      </c>
      <c r="R69" s="196">
        <f t="shared" si="19"/>
        <v>168.68</v>
      </c>
      <c r="S69" s="196"/>
      <c r="T69" s="197"/>
      <c r="U69" s="143"/>
      <c r="V69" s="143"/>
      <c r="W69" s="143"/>
      <c r="X69" s="143"/>
      <c r="Y69" s="143"/>
      <c r="Z69" s="143"/>
    </row>
    <row r="70" spans="3:26">
      <c r="C70" s="140"/>
      <c r="D70" s="140"/>
      <c r="E70" s="140"/>
      <c r="F70" s="133" t="str">
        <f>+F21</f>
        <v>Regulated RCY (MF)</v>
      </c>
      <c r="G70" s="195">
        <v>123.43</v>
      </c>
      <c r="H70" s="196">
        <f>+G70</f>
        <v>123.43</v>
      </c>
      <c r="I70" s="196">
        <f t="shared" si="19"/>
        <v>123.43</v>
      </c>
      <c r="J70" s="196">
        <f t="shared" si="19"/>
        <v>123.43</v>
      </c>
      <c r="K70" s="196">
        <f t="shared" si="19"/>
        <v>123.43</v>
      </c>
      <c r="L70" s="196">
        <f t="shared" si="19"/>
        <v>123.43</v>
      </c>
      <c r="M70" s="196">
        <f t="shared" si="19"/>
        <v>123.43</v>
      </c>
      <c r="N70" s="196">
        <f t="shared" si="19"/>
        <v>123.43</v>
      </c>
      <c r="O70" s="196">
        <f t="shared" si="19"/>
        <v>123.43</v>
      </c>
      <c r="P70" s="196">
        <f t="shared" si="19"/>
        <v>123.43</v>
      </c>
      <c r="Q70" s="196">
        <f t="shared" si="19"/>
        <v>123.43</v>
      </c>
      <c r="R70" s="196">
        <f t="shared" si="19"/>
        <v>123.43</v>
      </c>
      <c r="S70" s="196"/>
      <c r="T70" s="197"/>
      <c r="U70" s="143"/>
      <c r="V70" s="143"/>
      <c r="W70" s="143"/>
      <c r="X70" s="143"/>
      <c r="Y70" s="143"/>
      <c r="Z70" s="143"/>
    </row>
    <row r="71" spans="3:26">
      <c r="C71" s="140"/>
      <c r="D71" s="140"/>
      <c r="E71" s="140"/>
      <c r="F71" s="133" t="str">
        <f>+F22</f>
        <v>Unregulated RCY / COGS</v>
      </c>
      <c r="G71" s="196">
        <f t="shared" ref="G71:Q71" si="20">+G102/G22</f>
        <v>88.011187827357091</v>
      </c>
      <c r="H71" s="196">
        <f t="shared" si="20"/>
        <v>117.79890329629555</v>
      </c>
      <c r="I71" s="196">
        <f t="shared" si="20"/>
        <v>109.70972759786386</v>
      </c>
      <c r="J71" s="196">
        <f t="shared" si="20"/>
        <v>122.46210452383232</v>
      </c>
      <c r="K71" s="196">
        <f t="shared" si="20"/>
        <v>116.87800069035488</v>
      </c>
      <c r="L71" s="196">
        <f t="shared" si="20"/>
        <v>117.19984335068861</v>
      </c>
      <c r="M71" s="196">
        <f t="shared" si="20"/>
        <v>117.259444976818</v>
      </c>
      <c r="N71" s="196">
        <f t="shared" si="20"/>
        <v>119.81405649275237</v>
      </c>
      <c r="O71" s="196">
        <f t="shared" si="20"/>
        <v>108.71516688851497</v>
      </c>
      <c r="P71" s="196">
        <f t="shared" si="20"/>
        <v>109.8812548768995</v>
      </c>
      <c r="Q71" s="196">
        <f t="shared" si="20"/>
        <v>92.975045534795086</v>
      </c>
      <c r="R71" s="196">
        <f>+R102/R22</f>
        <v>100.55593653195868</v>
      </c>
      <c r="S71" s="196"/>
      <c r="T71" s="197"/>
      <c r="U71" s="143"/>
      <c r="V71" s="143"/>
      <c r="W71" s="143"/>
      <c r="X71" s="143"/>
      <c r="Y71" s="143"/>
      <c r="Z71" s="143"/>
    </row>
    <row r="72" spans="3:26">
      <c r="C72" s="140"/>
      <c r="D72" s="140"/>
      <c r="E72" s="140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72"/>
      <c r="U72" s="143"/>
      <c r="V72" s="143"/>
      <c r="W72" s="143"/>
      <c r="X72" s="143"/>
      <c r="Y72" s="143"/>
      <c r="Z72" s="143"/>
    </row>
    <row r="73" spans="3:26">
      <c r="C73" s="140"/>
      <c r="D73" s="140"/>
      <c r="E73" s="140"/>
      <c r="F73" s="133" t="s">
        <v>175</v>
      </c>
      <c r="G73" s="196">
        <f t="shared" ref="G73:R74" si="21">+G105/G28</f>
        <v>2013.3523794856014</v>
      </c>
      <c r="H73" s="196">
        <f t="shared" si="21"/>
        <v>1607.5873989042525</v>
      </c>
      <c r="I73" s="196">
        <f t="shared" si="21"/>
        <v>2026.9497921862021</v>
      </c>
      <c r="J73" s="196">
        <f t="shared" si="21"/>
        <v>1703.7471653410046</v>
      </c>
      <c r="K73" s="196">
        <f t="shared" si="21"/>
        <v>1436.3557983556902</v>
      </c>
      <c r="L73" s="196">
        <f t="shared" si="21"/>
        <v>1388.8924538258586</v>
      </c>
      <c r="M73" s="196">
        <f t="shared" si="21"/>
        <v>1310.4687973997834</v>
      </c>
      <c r="N73" s="196">
        <f t="shared" si="21"/>
        <v>1463.7275185936455</v>
      </c>
      <c r="O73" s="196">
        <f t="shared" si="21"/>
        <v>1585.0214446952605</v>
      </c>
      <c r="P73" s="196">
        <f t="shared" si="21"/>
        <v>1686.4130701157244</v>
      </c>
      <c r="Q73" s="196">
        <f t="shared" si="21"/>
        <v>1322.2445423593042</v>
      </c>
      <c r="R73" s="196">
        <f t="shared" si="21"/>
        <v>1310.5442036836387</v>
      </c>
      <c r="S73" s="143"/>
      <c r="T73" s="172"/>
      <c r="U73" s="143"/>
      <c r="V73" s="143"/>
      <c r="W73" s="143"/>
      <c r="X73" s="143"/>
      <c r="Y73" s="143"/>
      <c r="Z73" s="143"/>
    </row>
    <row r="74" spans="3:26">
      <c r="C74" s="140"/>
      <c r="D74" s="140"/>
      <c r="E74" s="140"/>
      <c r="F74" s="133" t="s">
        <v>176</v>
      </c>
      <c r="G74" s="196">
        <f t="shared" si="21"/>
        <v>138.84175656707433</v>
      </c>
      <c r="H74" s="196">
        <f t="shared" si="21"/>
        <v>122.53692932740483</v>
      </c>
      <c r="I74" s="196">
        <f t="shared" si="21"/>
        <v>139.84530314764012</v>
      </c>
      <c r="J74" s="196">
        <f t="shared" si="21"/>
        <v>117.85922154316835</v>
      </c>
      <c r="K74" s="196">
        <f t="shared" si="21"/>
        <v>108.90570732075093</v>
      </c>
      <c r="L74" s="196">
        <f t="shared" si="21"/>
        <v>125.14461458802781</v>
      </c>
      <c r="M74" s="196">
        <f t="shared" si="21"/>
        <v>109.65621755348465</v>
      </c>
      <c r="N74" s="196">
        <f t="shared" si="21"/>
        <v>117.33527348463171</v>
      </c>
      <c r="O74" s="196">
        <f t="shared" si="21"/>
        <v>115.44414206236166</v>
      </c>
      <c r="P74" s="196">
        <f t="shared" si="21"/>
        <v>116.07273470871579</v>
      </c>
      <c r="Q74" s="196">
        <f t="shared" si="21"/>
        <v>110.78599728559594</v>
      </c>
      <c r="R74" s="196">
        <f t="shared" si="21"/>
        <v>99.362561692637897</v>
      </c>
      <c r="S74" s="143"/>
      <c r="T74" s="172"/>
      <c r="U74" s="143"/>
      <c r="V74" s="143"/>
      <c r="W74" s="143"/>
      <c r="X74" s="143"/>
      <c r="Y74" s="143"/>
      <c r="Z74" s="143"/>
    </row>
    <row r="75" spans="3:26">
      <c r="C75" s="140"/>
      <c r="D75" s="140"/>
      <c r="E75" s="140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72"/>
      <c r="U75" s="143"/>
      <c r="V75" s="143"/>
      <c r="W75" s="143"/>
      <c r="X75" s="143"/>
      <c r="Y75" s="143"/>
      <c r="Z75" s="143"/>
    </row>
    <row r="76" spans="3:26">
      <c r="C76" s="140"/>
      <c r="D76" s="140"/>
      <c r="E76" s="140"/>
      <c r="F76" s="134" t="str">
        <f>+F32</f>
        <v>Commercial</v>
      </c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72"/>
      <c r="U76" s="143"/>
      <c r="V76" s="143"/>
      <c r="W76" s="143"/>
      <c r="X76" s="143"/>
      <c r="Y76" s="143"/>
      <c r="Z76" s="143"/>
    </row>
    <row r="77" spans="3:26">
      <c r="C77" s="140"/>
      <c r="D77" s="140"/>
      <c r="E77" s="140"/>
      <c r="F77" s="133" t="str">
        <f>+F33</f>
        <v>Regulated Garbage</v>
      </c>
      <c r="G77" s="196">
        <f>+G68</f>
        <v>168.68</v>
      </c>
      <c r="H77" s="196">
        <f>+G77</f>
        <v>168.68</v>
      </c>
      <c r="I77" s="196">
        <f t="shared" ref="I77:R78" si="22">+H77</f>
        <v>168.68</v>
      </c>
      <c r="J77" s="196">
        <f t="shared" si="22"/>
        <v>168.68</v>
      </c>
      <c r="K77" s="196">
        <f t="shared" si="22"/>
        <v>168.68</v>
      </c>
      <c r="L77" s="196">
        <f t="shared" si="22"/>
        <v>168.68</v>
      </c>
      <c r="M77" s="196">
        <f t="shared" si="22"/>
        <v>168.68</v>
      </c>
      <c r="N77" s="196">
        <f t="shared" si="22"/>
        <v>168.68</v>
      </c>
      <c r="O77" s="196">
        <f t="shared" si="22"/>
        <v>168.68</v>
      </c>
      <c r="P77" s="196">
        <f t="shared" si="22"/>
        <v>168.68</v>
      </c>
      <c r="Q77" s="196">
        <f t="shared" si="22"/>
        <v>168.68</v>
      </c>
      <c r="R77" s="196">
        <f t="shared" si="22"/>
        <v>168.68</v>
      </c>
      <c r="S77" s="143"/>
      <c r="T77" s="172"/>
      <c r="U77" s="143"/>
      <c r="V77" s="143"/>
      <c r="W77" s="143"/>
      <c r="X77" s="143"/>
      <c r="Y77" s="143"/>
      <c r="Z77" s="143"/>
    </row>
    <row r="78" spans="3:26">
      <c r="C78" s="140"/>
      <c r="D78" s="140"/>
      <c r="E78" s="140"/>
      <c r="F78" s="133" t="str">
        <f>+F34</f>
        <v>Unregulated Garbage</v>
      </c>
      <c r="G78" s="196">
        <f>+G69</f>
        <v>168.68</v>
      </c>
      <c r="H78" s="196">
        <f>+G78</f>
        <v>168.68</v>
      </c>
      <c r="I78" s="196">
        <f t="shared" si="22"/>
        <v>168.68</v>
      </c>
      <c r="J78" s="196">
        <f t="shared" si="22"/>
        <v>168.68</v>
      </c>
      <c r="K78" s="196">
        <f t="shared" si="22"/>
        <v>168.68</v>
      </c>
      <c r="L78" s="196">
        <f t="shared" si="22"/>
        <v>168.68</v>
      </c>
      <c r="M78" s="196">
        <f t="shared" si="22"/>
        <v>168.68</v>
      </c>
      <c r="N78" s="196">
        <f t="shared" si="22"/>
        <v>168.68</v>
      </c>
      <c r="O78" s="196">
        <f t="shared" si="22"/>
        <v>168.68</v>
      </c>
      <c r="P78" s="196">
        <f t="shared" si="22"/>
        <v>168.68</v>
      </c>
      <c r="Q78" s="196">
        <f t="shared" si="22"/>
        <v>168.68</v>
      </c>
      <c r="R78" s="196">
        <f t="shared" si="22"/>
        <v>168.68</v>
      </c>
      <c r="S78" s="143"/>
      <c r="T78" s="172"/>
      <c r="U78" s="143"/>
      <c r="V78" s="143"/>
      <c r="W78" s="143"/>
      <c r="X78" s="143"/>
      <c r="Y78" s="143"/>
      <c r="Z78" s="143"/>
    </row>
    <row r="79" spans="3:26">
      <c r="C79" s="140"/>
      <c r="D79" s="140"/>
      <c r="E79" s="140"/>
      <c r="F79" s="133" t="str">
        <f>+F36</f>
        <v>Regulated RCY (MF)</v>
      </c>
      <c r="G79" s="246">
        <f>+G70</f>
        <v>123.43</v>
      </c>
      <c r="H79" s="196">
        <f t="shared" ref="H79:Q79" si="23">+H70</f>
        <v>123.43</v>
      </c>
      <c r="I79" s="196">
        <f t="shared" si="23"/>
        <v>123.43</v>
      </c>
      <c r="J79" s="196">
        <f t="shared" si="23"/>
        <v>123.43</v>
      </c>
      <c r="K79" s="196">
        <f t="shared" si="23"/>
        <v>123.43</v>
      </c>
      <c r="L79" s="196">
        <f t="shared" si="23"/>
        <v>123.43</v>
      </c>
      <c r="M79" s="196">
        <f t="shared" si="23"/>
        <v>123.43</v>
      </c>
      <c r="N79" s="196">
        <f t="shared" si="23"/>
        <v>123.43</v>
      </c>
      <c r="O79" s="196">
        <f t="shared" si="23"/>
        <v>123.43</v>
      </c>
      <c r="P79" s="196">
        <f t="shared" si="23"/>
        <v>123.43</v>
      </c>
      <c r="Q79" s="196">
        <f t="shared" si="23"/>
        <v>123.43</v>
      </c>
      <c r="R79" s="196">
        <f>+R70</f>
        <v>123.43</v>
      </c>
      <c r="S79" s="143"/>
      <c r="T79" s="172"/>
      <c r="U79" s="143"/>
      <c r="V79" s="143"/>
      <c r="W79" s="143"/>
      <c r="X79" s="247"/>
      <c r="Y79" s="143"/>
      <c r="Z79" s="143"/>
    </row>
    <row r="80" spans="3:26">
      <c r="C80" s="140"/>
      <c r="D80" s="140"/>
      <c r="E80" s="140"/>
      <c r="F80" s="133" t="str">
        <f>+F37</f>
        <v>Unregulated RCY / COGS</v>
      </c>
      <c r="G80" s="246">
        <v>123.43</v>
      </c>
      <c r="H80" s="196">
        <f t="shared" ref="H80:R80" si="24">+G80</f>
        <v>123.43</v>
      </c>
      <c r="I80" s="196">
        <f t="shared" si="24"/>
        <v>123.43</v>
      </c>
      <c r="J80" s="196">
        <f t="shared" si="24"/>
        <v>123.43</v>
      </c>
      <c r="K80" s="196">
        <f t="shared" si="24"/>
        <v>123.43</v>
      </c>
      <c r="L80" s="196">
        <f t="shared" si="24"/>
        <v>123.43</v>
      </c>
      <c r="M80" s="196">
        <f t="shared" si="24"/>
        <v>123.43</v>
      </c>
      <c r="N80" s="196">
        <f t="shared" si="24"/>
        <v>123.43</v>
      </c>
      <c r="O80" s="196">
        <f t="shared" si="24"/>
        <v>123.43</v>
      </c>
      <c r="P80" s="196">
        <f t="shared" si="24"/>
        <v>123.43</v>
      </c>
      <c r="Q80" s="196">
        <f t="shared" si="24"/>
        <v>123.43</v>
      </c>
      <c r="R80" s="196">
        <f t="shared" si="24"/>
        <v>123.43</v>
      </c>
      <c r="S80" s="196"/>
      <c r="T80" s="172"/>
      <c r="U80" s="143"/>
      <c r="V80" s="143"/>
      <c r="W80" s="143"/>
      <c r="X80" s="143"/>
      <c r="Y80" s="143"/>
      <c r="Z80" s="143"/>
    </row>
    <row r="81" spans="3:26">
      <c r="C81" s="140"/>
      <c r="D81" s="140"/>
      <c r="E81" s="140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72"/>
      <c r="U81" s="143"/>
      <c r="V81" s="143"/>
      <c r="W81" s="143"/>
      <c r="X81" s="143"/>
      <c r="Y81" s="143"/>
      <c r="Z81" s="143"/>
    </row>
    <row r="82" spans="3:26">
      <c r="C82" s="140"/>
      <c r="D82" s="140"/>
      <c r="E82" s="140"/>
      <c r="F82" s="134" t="str">
        <f>+F43</f>
        <v>Residential</v>
      </c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72"/>
      <c r="U82" s="143"/>
      <c r="V82" s="143"/>
      <c r="W82" s="143"/>
      <c r="X82" s="143"/>
      <c r="Y82" s="143"/>
      <c r="Z82" s="143"/>
    </row>
    <row r="83" spans="3:26">
      <c r="C83" s="140"/>
      <c r="D83" s="140"/>
      <c r="E83" s="140"/>
      <c r="F83" s="133" t="str">
        <f>+F44</f>
        <v>Regulated Garbage</v>
      </c>
      <c r="G83" s="196">
        <f>+G68</f>
        <v>168.68</v>
      </c>
      <c r="H83" s="196">
        <f t="shared" ref="H83:R88" si="25">+G83</f>
        <v>168.68</v>
      </c>
      <c r="I83" s="196">
        <f t="shared" si="25"/>
        <v>168.68</v>
      </c>
      <c r="J83" s="196">
        <f t="shared" si="25"/>
        <v>168.68</v>
      </c>
      <c r="K83" s="196">
        <f t="shared" si="25"/>
        <v>168.68</v>
      </c>
      <c r="L83" s="196">
        <f t="shared" si="25"/>
        <v>168.68</v>
      </c>
      <c r="M83" s="196">
        <f t="shared" si="25"/>
        <v>168.68</v>
      </c>
      <c r="N83" s="196">
        <f t="shared" si="25"/>
        <v>168.68</v>
      </c>
      <c r="O83" s="196">
        <f t="shared" si="25"/>
        <v>168.68</v>
      </c>
      <c r="P83" s="196">
        <f t="shared" si="25"/>
        <v>168.68</v>
      </c>
      <c r="Q83" s="196">
        <f t="shared" si="25"/>
        <v>168.68</v>
      </c>
      <c r="R83" s="196">
        <f t="shared" si="25"/>
        <v>168.68</v>
      </c>
      <c r="S83" s="143"/>
      <c r="T83" s="172"/>
      <c r="U83" s="143"/>
      <c r="V83" s="143"/>
      <c r="W83" s="143"/>
      <c r="X83" s="143"/>
      <c r="Y83" s="143"/>
      <c r="Z83" s="143"/>
    </row>
    <row r="84" spans="3:26">
      <c r="C84" s="140"/>
      <c r="D84" s="140"/>
      <c r="E84" s="140"/>
      <c r="F84" s="133" t="str">
        <f>+F45</f>
        <v>Unregulated Garbage</v>
      </c>
      <c r="G84" s="196">
        <f>+G69</f>
        <v>168.68</v>
      </c>
      <c r="H84" s="196">
        <f t="shared" si="25"/>
        <v>168.68</v>
      </c>
      <c r="I84" s="196">
        <f t="shared" si="25"/>
        <v>168.68</v>
      </c>
      <c r="J84" s="196">
        <f t="shared" si="25"/>
        <v>168.68</v>
      </c>
      <c r="K84" s="196">
        <f t="shared" si="25"/>
        <v>168.68</v>
      </c>
      <c r="L84" s="196">
        <f t="shared" si="25"/>
        <v>168.68</v>
      </c>
      <c r="M84" s="196">
        <f t="shared" si="25"/>
        <v>168.68</v>
      </c>
      <c r="N84" s="196">
        <f t="shared" si="25"/>
        <v>168.68</v>
      </c>
      <c r="O84" s="196">
        <f t="shared" si="25"/>
        <v>168.68</v>
      </c>
      <c r="P84" s="196">
        <f t="shared" si="25"/>
        <v>168.68</v>
      </c>
      <c r="Q84" s="196">
        <f t="shared" si="25"/>
        <v>168.68</v>
      </c>
      <c r="R84" s="196">
        <f>+Q84</f>
        <v>168.68</v>
      </c>
      <c r="S84" s="143"/>
      <c r="T84" s="172"/>
      <c r="U84" s="143"/>
      <c r="V84" s="143"/>
      <c r="W84" s="143"/>
      <c r="X84" s="143"/>
      <c r="Y84" s="143"/>
      <c r="Z84" s="143"/>
    </row>
    <row r="85" spans="3:26">
      <c r="C85" s="140"/>
      <c r="D85" s="140"/>
      <c r="E85" s="140"/>
      <c r="F85" s="133" t="str">
        <f>+F47</f>
        <v>Regulated Yardwaste</v>
      </c>
      <c r="G85" s="246">
        <v>75.2</v>
      </c>
      <c r="H85" s="246">
        <f>G85</f>
        <v>75.2</v>
      </c>
      <c r="I85" s="196">
        <f t="shared" si="25"/>
        <v>75.2</v>
      </c>
      <c r="J85" s="196">
        <f t="shared" si="25"/>
        <v>75.2</v>
      </c>
      <c r="K85" s="196">
        <f t="shared" si="25"/>
        <v>75.2</v>
      </c>
      <c r="L85" s="196">
        <f>K85</f>
        <v>75.2</v>
      </c>
      <c r="M85" s="196">
        <f t="shared" si="25"/>
        <v>75.2</v>
      </c>
      <c r="N85" s="248">
        <f>M85</f>
        <v>75.2</v>
      </c>
      <c r="O85" s="248">
        <f t="shared" si="25"/>
        <v>75.2</v>
      </c>
      <c r="P85" s="196">
        <f t="shared" si="25"/>
        <v>75.2</v>
      </c>
      <c r="Q85" s="196">
        <f t="shared" si="25"/>
        <v>75.2</v>
      </c>
      <c r="R85" s="196">
        <f>+Q85</f>
        <v>75.2</v>
      </c>
      <c r="S85" s="143"/>
      <c r="T85" s="172"/>
      <c r="U85" s="143"/>
      <c r="V85" s="247"/>
      <c r="W85" s="143"/>
      <c r="X85" s="143"/>
      <c r="Y85" s="143"/>
      <c r="Z85" s="143"/>
    </row>
    <row r="86" spans="3:26">
      <c r="C86" s="140"/>
      <c r="D86" s="140"/>
      <c r="E86" s="140"/>
      <c r="F86" s="133" t="str">
        <f>+F48</f>
        <v>Unregulated Yardwaste</v>
      </c>
      <c r="G86" s="246">
        <v>75.2</v>
      </c>
      <c r="H86" s="246">
        <f>G86</f>
        <v>75.2</v>
      </c>
      <c r="I86" s="196">
        <f t="shared" si="25"/>
        <v>75.2</v>
      </c>
      <c r="J86" s="196">
        <f t="shared" si="25"/>
        <v>75.2</v>
      </c>
      <c r="K86" s="196">
        <f t="shared" si="25"/>
        <v>75.2</v>
      </c>
      <c r="L86" s="196">
        <f>K86</f>
        <v>75.2</v>
      </c>
      <c r="M86" s="196">
        <f t="shared" si="25"/>
        <v>75.2</v>
      </c>
      <c r="N86" s="248">
        <f>M86</f>
        <v>75.2</v>
      </c>
      <c r="O86" s="248">
        <f t="shared" si="25"/>
        <v>75.2</v>
      </c>
      <c r="P86" s="196">
        <f t="shared" si="25"/>
        <v>75.2</v>
      </c>
      <c r="Q86" s="196">
        <f t="shared" si="25"/>
        <v>75.2</v>
      </c>
      <c r="R86" s="196">
        <f>+Q86</f>
        <v>75.2</v>
      </c>
      <c r="S86" s="143"/>
      <c r="T86" s="172"/>
      <c r="U86" s="143"/>
      <c r="V86" s="143"/>
      <c r="W86" s="143"/>
      <c r="X86" s="143"/>
      <c r="Y86" s="143"/>
      <c r="Z86" s="143"/>
    </row>
    <row r="87" spans="3:26">
      <c r="C87" s="140"/>
      <c r="D87" s="140"/>
      <c r="E87" s="140"/>
      <c r="F87" s="133" t="str">
        <f>+F50</f>
        <v>Regulated RCY</v>
      </c>
      <c r="G87" s="246">
        <v>117.32</v>
      </c>
      <c r="H87" s="196">
        <f t="shared" si="25"/>
        <v>117.32</v>
      </c>
      <c r="I87" s="196">
        <f t="shared" si="25"/>
        <v>117.32</v>
      </c>
      <c r="J87" s="196">
        <f t="shared" si="25"/>
        <v>117.32</v>
      </c>
      <c r="K87" s="196">
        <f t="shared" si="25"/>
        <v>117.32</v>
      </c>
      <c r="L87" s="196">
        <f t="shared" si="25"/>
        <v>117.32</v>
      </c>
      <c r="M87" s="196">
        <f t="shared" si="25"/>
        <v>117.32</v>
      </c>
      <c r="N87" s="196">
        <f t="shared" si="25"/>
        <v>117.32</v>
      </c>
      <c r="O87" s="196">
        <f t="shared" si="25"/>
        <v>117.32</v>
      </c>
      <c r="P87" s="196">
        <f t="shared" si="25"/>
        <v>117.32</v>
      </c>
      <c r="Q87" s="196">
        <f t="shared" si="25"/>
        <v>117.32</v>
      </c>
      <c r="R87" s="196">
        <f>+Q87</f>
        <v>117.32</v>
      </c>
      <c r="S87" s="143"/>
      <c r="T87" s="172"/>
      <c r="U87" s="143"/>
      <c r="V87" s="143"/>
      <c r="W87" s="143"/>
      <c r="X87" s="143"/>
      <c r="Y87" s="143"/>
      <c r="Z87" s="143"/>
    </row>
    <row r="88" spans="3:26">
      <c r="C88" s="140"/>
      <c r="D88" s="140"/>
      <c r="E88" s="140"/>
      <c r="F88" s="133" t="str">
        <f>+F51</f>
        <v>Unregulated RCY</v>
      </c>
      <c r="G88" s="246">
        <v>117.32</v>
      </c>
      <c r="H88" s="196">
        <f t="shared" si="25"/>
        <v>117.32</v>
      </c>
      <c r="I88" s="196">
        <f t="shared" si="25"/>
        <v>117.32</v>
      </c>
      <c r="J88" s="196">
        <f t="shared" si="25"/>
        <v>117.32</v>
      </c>
      <c r="K88" s="196">
        <f t="shared" si="25"/>
        <v>117.32</v>
      </c>
      <c r="L88" s="196">
        <f t="shared" si="25"/>
        <v>117.32</v>
      </c>
      <c r="M88" s="196">
        <f t="shared" si="25"/>
        <v>117.32</v>
      </c>
      <c r="N88" s="196">
        <f t="shared" si="25"/>
        <v>117.32</v>
      </c>
      <c r="O88" s="196">
        <f t="shared" si="25"/>
        <v>117.32</v>
      </c>
      <c r="P88" s="196">
        <f t="shared" si="25"/>
        <v>117.32</v>
      </c>
      <c r="Q88" s="196">
        <f t="shared" si="25"/>
        <v>117.32</v>
      </c>
      <c r="R88" s="196">
        <f>+Q88</f>
        <v>117.32</v>
      </c>
      <c r="S88" s="143"/>
      <c r="T88" s="172"/>
      <c r="U88" s="143"/>
      <c r="V88" s="143"/>
      <c r="W88" s="143"/>
      <c r="X88" s="143"/>
      <c r="Y88" s="143"/>
      <c r="Z88" s="143"/>
    </row>
    <row r="89" spans="3:26">
      <c r="C89" s="140"/>
      <c r="D89" s="140"/>
      <c r="E89" s="140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72"/>
      <c r="U89" s="143"/>
      <c r="V89" s="143"/>
      <c r="W89" s="143"/>
      <c r="X89" s="143"/>
      <c r="Y89" s="143"/>
      <c r="Z89" s="143"/>
    </row>
    <row r="90" spans="3:26" ht="15" thickBot="1">
      <c r="C90" s="140"/>
      <c r="D90" s="140"/>
      <c r="E90" s="140"/>
      <c r="F90" s="141" t="s">
        <v>177</v>
      </c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1"/>
    </row>
    <row r="91" spans="3:26">
      <c r="C91" s="140"/>
      <c r="D91" s="140"/>
      <c r="E91" s="140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72"/>
      <c r="U91" s="143"/>
      <c r="V91" s="143" t="s">
        <v>229</v>
      </c>
      <c r="W91" s="143"/>
      <c r="X91" s="143"/>
      <c r="Y91" s="143"/>
      <c r="Z91" s="143"/>
    </row>
    <row r="92" spans="3:26">
      <c r="C92" s="140"/>
      <c r="D92" s="140"/>
      <c r="E92" s="140"/>
      <c r="F92" s="133" t="s">
        <v>178</v>
      </c>
      <c r="G92" s="143">
        <v>1855466.9600000004</v>
      </c>
      <c r="H92" s="143">
        <v>1578267.5600000003</v>
      </c>
      <c r="I92" s="143">
        <v>1840649.0400000003</v>
      </c>
      <c r="J92" s="143">
        <v>1628447.3200000003</v>
      </c>
      <c r="K92" s="143">
        <v>1961439.26</v>
      </c>
      <c r="L92" s="143">
        <v>1890266.04</v>
      </c>
      <c r="M92" s="143">
        <v>1728719.5699999998</v>
      </c>
      <c r="N92" s="143">
        <v>1828086.4</v>
      </c>
      <c r="O92" s="143">
        <v>1710996.01</v>
      </c>
      <c r="P92" s="143">
        <v>1829000.3399999999</v>
      </c>
      <c r="Q92" s="143">
        <v>1921216.0100000002</v>
      </c>
      <c r="R92" s="143">
        <v>1743204.3899999997</v>
      </c>
      <c r="S92" s="143"/>
      <c r="T92" s="144">
        <f>SUM(G92:S92)</f>
        <v>21515758.900000002</v>
      </c>
      <c r="U92" s="143"/>
      <c r="V92" s="143">
        <v>0</v>
      </c>
      <c r="W92" s="143"/>
      <c r="X92" s="143"/>
      <c r="Y92" s="143"/>
      <c r="Z92" s="143"/>
    </row>
    <row r="93" spans="3:26">
      <c r="C93" s="140"/>
      <c r="D93" s="140"/>
      <c r="E93" s="140"/>
      <c r="F93" s="145" t="s">
        <v>179</v>
      </c>
      <c r="G93" s="249">
        <v>421948.13</v>
      </c>
      <c r="H93" s="249">
        <v>326720.11</v>
      </c>
      <c r="I93" s="249">
        <v>378935.34</v>
      </c>
      <c r="J93" s="249">
        <v>335111.78999999998</v>
      </c>
      <c r="K93" s="249">
        <v>398496.07</v>
      </c>
      <c r="L93" s="249">
        <v>387735.84</v>
      </c>
      <c r="M93" s="249">
        <v>357976.38</v>
      </c>
      <c r="N93" s="249">
        <v>388449.65</v>
      </c>
      <c r="O93" s="249">
        <v>374180.95000000007</v>
      </c>
      <c r="P93" s="249">
        <v>388493.09</v>
      </c>
      <c r="Q93" s="249">
        <v>398811.19999999995</v>
      </c>
      <c r="R93" s="249">
        <v>411479.06999999995</v>
      </c>
      <c r="S93" s="243"/>
      <c r="T93" s="147">
        <f>SUM(G93:S93)</f>
        <v>4568337.62</v>
      </c>
      <c r="U93" s="242"/>
      <c r="V93" s="242">
        <v>0</v>
      </c>
      <c r="W93" s="242"/>
      <c r="X93" s="242"/>
      <c r="Y93" s="242"/>
      <c r="Z93" s="242"/>
    </row>
    <row r="94" spans="3:26">
      <c r="C94" s="140"/>
      <c r="D94" s="140"/>
      <c r="E94" s="140"/>
      <c r="F94" s="133" t="s">
        <v>16</v>
      </c>
      <c r="G94" s="143">
        <f t="shared" ref="G94:Q94" si="26">SUM(G92:G93)</f>
        <v>2277415.0900000003</v>
      </c>
      <c r="H94" s="143">
        <f t="shared" si="26"/>
        <v>1904987.6700000004</v>
      </c>
      <c r="I94" s="143">
        <f t="shared" si="26"/>
        <v>2219584.3800000004</v>
      </c>
      <c r="J94" s="143">
        <f t="shared" si="26"/>
        <v>1963559.1100000003</v>
      </c>
      <c r="K94" s="143">
        <f t="shared" si="26"/>
        <v>2359935.33</v>
      </c>
      <c r="L94" s="143">
        <f t="shared" si="26"/>
        <v>2278001.88</v>
      </c>
      <c r="M94" s="143">
        <f t="shared" si="26"/>
        <v>2086695.9499999997</v>
      </c>
      <c r="N94" s="143">
        <f t="shared" si="26"/>
        <v>2216536.0499999998</v>
      </c>
      <c r="O94" s="143">
        <f t="shared" si="26"/>
        <v>2085176.96</v>
      </c>
      <c r="P94" s="143">
        <f t="shared" si="26"/>
        <v>2217493.4299999997</v>
      </c>
      <c r="Q94" s="143">
        <f t="shared" si="26"/>
        <v>2320027.21</v>
      </c>
      <c r="R94" s="143">
        <f>SUM(R92:R93)</f>
        <v>2154683.4599999995</v>
      </c>
      <c r="S94" s="143"/>
      <c r="T94" s="144">
        <f>SUM(G94:S94)</f>
        <v>26084096.520000003</v>
      </c>
      <c r="U94" s="143"/>
      <c r="V94" s="143"/>
      <c r="W94" s="143"/>
      <c r="X94" s="143"/>
      <c r="Y94" s="143"/>
      <c r="Z94" s="143"/>
    </row>
    <row r="95" spans="3:26">
      <c r="C95" s="140"/>
      <c r="D95" s="140"/>
      <c r="E95" s="140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72"/>
      <c r="U95" s="143"/>
      <c r="V95" s="143"/>
      <c r="W95" s="143"/>
      <c r="X95" s="143"/>
      <c r="Y95" s="143"/>
      <c r="Z95" s="143"/>
    </row>
    <row r="96" spans="3:26">
      <c r="C96" s="140"/>
      <c r="D96" s="140"/>
      <c r="E96" s="140"/>
      <c r="F96" s="133" t="s">
        <v>180</v>
      </c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72"/>
      <c r="U96" s="143"/>
      <c r="V96" s="143"/>
      <c r="W96" s="143"/>
      <c r="X96" s="143"/>
      <c r="Y96" s="143"/>
      <c r="Z96" s="143"/>
    </row>
    <row r="97" spans="1:26">
      <c r="C97" s="140"/>
      <c r="D97" s="140"/>
      <c r="E97" s="140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72"/>
      <c r="U97" s="143"/>
      <c r="V97" s="143"/>
      <c r="W97" s="143"/>
      <c r="X97" s="143"/>
      <c r="Y97" s="143"/>
      <c r="Z97" s="143"/>
    </row>
    <row r="98" spans="1:26">
      <c r="C98" s="140"/>
      <c r="D98" s="140"/>
      <c r="E98" s="140"/>
      <c r="F98" s="134" t="str">
        <f>+F67</f>
        <v>Roll-off / Industrial</v>
      </c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4"/>
      <c r="U98" s="143"/>
      <c r="V98" s="143"/>
      <c r="W98" s="143"/>
      <c r="X98" s="143"/>
      <c r="Y98" s="143"/>
      <c r="Z98" s="143"/>
    </row>
    <row r="99" spans="1:26" s="251" customFormat="1">
      <c r="A99" s="250"/>
      <c r="B99" s="250"/>
      <c r="C99" s="250"/>
      <c r="D99" s="250"/>
      <c r="E99" s="250"/>
      <c r="F99" s="251" t="str">
        <f>+F68</f>
        <v>Regulated Garbage</v>
      </c>
      <c r="G99" s="252">
        <f t="shared" ref="G99:R100" si="27">+G18*G68</f>
        <v>10952.392399999992</v>
      </c>
      <c r="H99" s="252">
        <f t="shared" si="27"/>
        <v>12931.0088</v>
      </c>
      <c r="I99" s="252">
        <f t="shared" si="27"/>
        <v>10146.101999999997</v>
      </c>
      <c r="J99" s="252">
        <f t="shared" si="27"/>
        <v>9967.3012000000035</v>
      </c>
      <c r="K99" s="252">
        <f t="shared" si="27"/>
        <v>15592.779200000001</v>
      </c>
      <c r="L99" s="252">
        <f t="shared" si="27"/>
        <v>15982.429999999986</v>
      </c>
      <c r="M99" s="252">
        <f t="shared" si="27"/>
        <v>15569.163999999997</v>
      </c>
      <c r="N99" s="252">
        <f t="shared" si="27"/>
        <v>14968.663199999988</v>
      </c>
      <c r="O99" s="252">
        <f t="shared" si="27"/>
        <v>13450.543199999993</v>
      </c>
      <c r="P99" s="252">
        <f t="shared" si="27"/>
        <v>12389.546000000004</v>
      </c>
      <c r="Q99" s="252">
        <f t="shared" si="27"/>
        <v>16844.384799999985</v>
      </c>
      <c r="R99" s="252">
        <f t="shared" si="27"/>
        <v>15569.164000000017</v>
      </c>
      <c r="S99" s="252"/>
      <c r="T99" s="253">
        <f>SUM(G99:S99)</f>
        <v>164363.47879999995</v>
      </c>
      <c r="U99" s="252"/>
      <c r="V99" s="252"/>
      <c r="W99" s="252"/>
      <c r="X99" s="252"/>
      <c r="Y99" s="252"/>
      <c r="Z99" s="252"/>
    </row>
    <row r="100" spans="1:26">
      <c r="C100" s="140"/>
      <c r="D100" s="140"/>
      <c r="E100" s="140"/>
      <c r="F100" s="133" t="str">
        <f>+F69</f>
        <v>Unregulated Garbage</v>
      </c>
      <c r="G100" s="143">
        <f>+G19*G69</f>
        <v>313722.87160000001</v>
      </c>
      <c r="H100" s="143">
        <f t="shared" si="27"/>
        <v>270621.75799999997</v>
      </c>
      <c r="I100" s="143">
        <f t="shared" si="27"/>
        <v>305874.19120000006</v>
      </c>
      <c r="J100" s="143">
        <f t="shared" si="27"/>
        <v>264750.00720000005</v>
      </c>
      <c r="K100" s="143">
        <f t="shared" si="27"/>
        <v>301254.04599999997</v>
      </c>
      <c r="L100" s="143">
        <f t="shared" si="27"/>
        <v>306199.74359999999</v>
      </c>
      <c r="M100" s="143">
        <f t="shared" si="27"/>
        <v>289971.04080000002</v>
      </c>
      <c r="N100" s="143">
        <f t="shared" si="27"/>
        <v>319783.54400000005</v>
      </c>
      <c r="O100" s="143">
        <f t="shared" si="27"/>
        <v>289033.18</v>
      </c>
      <c r="P100" s="143">
        <f t="shared" si="27"/>
        <v>285801.27120000002</v>
      </c>
      <c r="Q100" s="143">
        <f t="shared" si="27"/>
        <v>267671.54480000009</v>
      </c>
      <c r="R100" s="143">
        <f t="shared" si="27"/>
        <v>267629.37479999993</v>
      </c>
      <c r="S100" s="143"/>
      <c r="T100" s="144">
        <f>SUM(G100:S100)</f>
        <v>3482312.5732000005</v>
      </c>
      <c r="U100" s="143"/>
      <c r="V100" s="143"/>
      <c r="W100" s="143"/>
      <c r="X100" s="143"/>
      <c r="Y100" s="143"/>
      <c r="Z100" s="143"/>
    </row>
    <row r="101" spans="1:26" s="251" customFormat="1">
      <c r="A101" s="250"/>
      <c r="B101" s="250"/>
      <c r="C101" s="250"/>
      <c r="D101" s="250"/>
      <c r="E101" s="250"/>
      <c r="F101" s="251" t="str">
        <f>+F70</f>
        <v>Regulated RCY (MF)</v>
      </c>
      <c r="G101" s="252">
        <f>+G21*G70</f>
        <v>2273.5805999999998</v>
      </c>
      <c r="H101" s="252">
        <f t="shared" ref="H101:R101" si="28">+H21*H70</f>
        <v>2040.2978999999998</v>
      </c>
      <c r="I101" s="252">
        <f t="shared" si="28"/>
        <v>2434.0395999999996</v>
      </c>
      <c r="J101" s="252">
        <f t="shared" si="28"/>
        <v>3712.7744000000002</v>
      </c>
      <c r="K101" s="252">
        <f t="shared" si="28"/>
        <v>3846.0788000000007</v>
      </c>
      <c r="L101" s="252">
        <f t="shared" si="28"/>
        <v>2426.6338000000005</v>
      </c>
      <c r="M101" s="252">
        <f t="shared" si="28"/>
        <v>3880.6392000000001</v>
      </c>
      <c r="N101" s="252">
        <f t="shared" si="28"/>
        <v>4770.5695000000005</v>
      </c>
      <c r="O101" s="252">
        <f t="shared" si="28"/>
        <v>2879.6218999999996</v>
      </c>
      <c r="P101" s="252">
        <f t="shared" si="28"/>
        <v>1792.2036000000005</v>
      </c>
      <c r="Q101" s="252">
        <f t="shared" si="28"/>
        <v>2181.0081000000005</v>
      </c>
      <c r="R101" s="252">
        <f t="shared" si="28"/>
        <v>1789.7349999999997</v>
      </c>
      <c r="S101" s="252"/>
      <c r="T101" s="253">
        <f>SUM(G101:S101)</f>
        <v>34027.182399999998</v>
      </c>
      <c r="U101" s="252"/>
      <c r="V101" s="252"/>
      <c r="W101" s="252"/>
      <c r="X101" s="252"/>
      <c r="Y101" s="252"/>
      <c r="Z101" s="252"/>
    </row>
    <row r="102" spans="1:26">
      <c r="A102" s="140" t="str">
        <f>A23</f>
        <v>I</v>
      </c>
      <c r="B102" s="140" t="str">
        <f>B23</f>
        <v>RCY</v>
      </c>
      <c r="C102" s="140" t="str">
        <f>C23</f>
        <v>YW</v>
      </c>
      <c r="D102" s="140"/>
      <c r="E102" s="140"/>
      <c r="F102" s="145" t="str">
        <f>+F71</f>
        <v>Unregulated RCY / COGS</v>
      </c>
      <c r="G102" s="146">
        <v>196431.29</v>
      </c>
      <c r="H102" s="146">
        <v>228572.28</v>
      </c>
      <c r="I102" s="146">
        <v>268714.22999999992</v>
      </c>
      <c r="J102" s="146">
        <v>230152.83000000002</v>
      </c>
      <c r="K102" s="146">
        <v>223477.75</v>
      </c>
      <c r="L102" s="146">
        <v>233428.10000000003</v>
      </c>
      <c r="M102" s="146">
        <v>205219.12000000002</v>
      </c>
      <c r="N102" s="146">
        <v>232638.76000000004</v>
      </c>
      <c r="O102" s="146">
        <v>216435.59000000005</v>
      </c>
      <c r="P102" s="146">
        <v>237279.22999999998</v>
      </c>
      <c r="Q102" s="146">
        <v>199590.45999999996</v>
      </c>
      <c r="R102" s="146">
        <v>170096.40000000002</v>
      </c>
      <c r="S102" s="146"/>
      <c r="T102" s="147">
        <f>SUM(G102:S102)</f>
        <v>2642036.04</v>
      </c>
      <c r="U102" s="143"/>
      <c r="V102" s="143"/>
      <c r="W102" s="143"/>
      <c r="X102" s="143"/>
      <c r="Y102" s="143"/>
      <c r="Z102" s="143"/>
    </row>
    <row r="103" spans="1:26">
      <c r="C103" s="140"/>
      <c r="D103" s="140"/>
      <c r="E103" s="140"/>
      <c r="F103" s="133" t="str">
        <f>+F25</f>
        <v>Total Roll-off / Industrial</v>
      </c>
      <c r="G103" s="143">
        <f>SUM(G99:G102)</f>
        <v>523380.13459999999</v>
      </c>
      <c r="H103" s="143">
        <f t="shared" ref="H103:R103" si="29">SUM(H98:H102)</f>
        <v>514165.34470000002</v>
      </c>
      <c r="I103" s="143">
        <f t="shared" si="29"/>
        <v>587168.56279999996</v>
      </c>
      <c r="J103" s="143">
        <f t="shared" si="29"/>
        <v>508582.91280000005</v>
      </c>
      <c r="K103" s="143">
        <f t="shared" si="29"/>
        <v>544170.65399999998</v>
      </c>
      <c r="L103" s="143">
        <f t="shared" si="29"/>
        <v>558036.90740000003</v>
      </c>
      <c r="M103" s="143">
        <f t="shared" si="29"/>
        <v>514639.96400000004</v>
      </c>
      <c r="N103" s="143">
        <f t="shared" si="29"/>
        <v>572161.53670000006</v>
      </c>
      <c r="O103" s="143">
        <f t="shared" si="29"/>
        <v>521798.93510000012</v>
      </c>
      <c r="P103" s="143">
        <f t="shared" si="29"/>
        <v>537262.25080000004</v>
      </c>
      <c r="Q103" s="143">
        <f t="shared" si="29"/>
        <v>486287.39770000003</v>
      </c>
      <c r="R103" s="143">
        <f t="shared" si="29"/>
        <v>455084.67379999993</v>
      </c>
      <c r="S103" s="143"/>
      <c r="T103" s="144">
        <f>SUM(G103:S103)</f>
        <v>6322739.2744000014</v>
      </c>
      <c r="U103" s="143"/>
      <c r="V103" s="143"/>
      <c r="W103" s="143"/>
      <c r="X103" s="143"/>
      <c r="Y103" s="143"/>
      <c r="Z103" s="143"/>
    </row>
    <row r="104" spans="1:26">
      <c r="C104" s="140"/>
      <c r="D104" s="140"/>
      <c r="E104" s="140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72"/>
      <c r="U104" s="143"/>
      <c r="V104" s="143"/>
      <c r="W104" s="143"/>
      <c r="X104" s="143"/>
      <c r="Y104" s="143"/>
      <c r="Z104" s="143"/>
    </row>
    <row r="105" spans="1:26">
      <c r="A105" s="140" t="str">
        <f>A18</f>
        <v>I</v>
      </c>
      <c r="B105" s="140" t="str">
        <f>+B18</f>
        <v>MSW</v>
      </c>
      <c r="C105" s="140">
        <f>C18</f>
        <v>20</v>
      </c>
      <c r="D105" s="140" t="str">
        <f>D18</f>
        <v>2B</v>
      </c>
      <c r="E105" s="140" t="s">
        <v>146</v>
      </c>
      <c r="F105" s="133" t="s">
        <v>181</v>
      </c>
      <c r="G105" s="143">
        <v>130726.97</v>
      </c>
      <c r="H105" s="143">
        <v>123237.65</v>
      </c>
      <c r="I105" s="143">
        <v>121921.03000000001</v>
      </c>
      <c r="J105" s="143">
        <v>100674.41999999998</v>
      </c>
      <c r="K105" s="143">
        <v>132776.73000000001</v>
      </c>
      <c r="L105" s="143">
        <v>131597.56</v>
      </c>
      <c r="M105" s="143">
        <v>120956.26999999999</v>
      </c>
      <c r="N105" s="143">
        <v>129891.18</v>
      </c>
      <c r="O105" s="143">
        <v>126389.61</v>
      </c>
      <c r="P105" s="143">
        <v>123867.04</v>
      </c>
      <c r="Q105" s="143">
        <v>132039.34</v>
      </c>
      <c r="R105" s="143">
        <v>120963.22999999998</v>
      </c>
      <c r="S105" s="143"/>
      <c r="T105" s="144">
        <f>SUM(G105:S105)</f>
        <v>1495041.0300000003</v>
      </c>
      <c r="U105" s="143"/>
      <c r="V105" s="143"/>
      <c r="W105" s="143"/>
      <c r="X105" s="143"/>
      <c r="Y105" s="143"/>
      <c r="Z105" s="143"/>
    </row>
    <row r="106" spans="1:26">
      <c r="C106" s="140"/>
      <c r="D106" s="140"/>
      <c r="E106" s="140"/>
      <c r="F106" s="133" t="s">
        <v>182</v>
      </c>
      <c r="G106" s="143">
        <f>+G107-G105</f>
        <v>346201.91999999993</v>
      </c>
      <c r="H106" s="143">
        <f t="shared" ref="H106:R106" si="30">+H107-H105</f>
        <v>313067.15000000014</v>
      </c>
      <c r="I106" s="143">
        <f t="shared" si="30"/>
        <v>386440.11999999988</v>
      </c>
      <c r="J106" s="143">
        <f t="shared" si="30"/>
        <v>318971.83999999997</v>
      </c>
      <c r="K106" s="143">
        <f t="shared" si="30"/>
        <v>346677.36</v>
      </c>
      <c r="L106" s="143">
        <f t="shared" si="30"/>
        <v>391543.7100000002</v>
      </c>
      <c r="M106" s="143">
        <f t="shared" si="30"/>
        <v>342184.41999999993</v>
      </c>
      <c r="N106" s="143">
        <f t="shared" si="30"/>
        <v>397739.59</v>
      </c>
      <c r="O106" s="143">
        <f t="shared" si="30"/>
        <v>354209.18</v>
      </c>
      <c r="P106" s="143">
        <f t="shared" si="30"/>
        <v>383144.49</v>
      </c>
      <c r="Q106" s="143">
        <f t="shared" si="30"/>
        <v>343654.83999999997</v>
      </c>
      <c r="R106" s="143">
        <f t="shared" si="30"/>
        <v>319906.71000000002</v>
      </c>
      <c r="S106" s="143"/>
      <c r="T106" s="144">
        <f>SUM(G106:S106)</f>
        <v>4243741.3299999991</v>
      </c>
      <c r="U106" s="143"/>
      <c r="V106" s="143"/>
      <c r="W106" s="143"/>
      <c r="X106" s="143"/>
      <c r="Y106" s="143"/>
      <c r="Z106" s="143"/>
    </row>
    <row r="107" spans="1:26">
      <c r="A107" s="140" t="str">
        <f>A105</f>
        <v>I</v>
      </c>
      <c r="C107" s="140"/>
      <c r="D107" s="140"/>
      <c r="E107" s="140"/>
      <c r="F107" s="198" t="str">
        <f>+F30</f>
        <v>Total Roll-off / Industrial Pass Thru Disp.</v>
      </c>
      <c r="G107" s="199">
        <v>476928.88999999996</v>
      </c>
      <c r="H107" s="199">
        <v>436304.8000000001</v>
      </c>
      <c r="I107" s="199">
        <v>508361.14999999991</v>
      </c>
      <c r="J107" s="199">
        <v>419646.25999999995</v>
      </c>
      <c r="K107" s="199">
        <v>479454.09</v>
      </c>
      <c r="L107" s="199">
        <v>523141.27000000019</v>
      </c>
      <c r="M107" s="199">
        <v>463140.68999999994</v>
      </c>
      <c r="N107" s="199">
        <v>527630.77</v>
      </c>
      <c r="O107" s="199">
        <v>480598.79</v>
      </c>
      <c r="P107" s="199">
        <v>507011.52999999997</v>
      </c>
      <c r="Q107" s="199">
        <v>475694.18</v>
      </c>
      <c r="R107" s="199">
        <v>440869.94</v>
      </c>
      <c r="S107" s="199"/>
      <c r="T107" s="200">
        <f>SUM(G107:S107)</f>
        <v>5738782.3600000003</v>
      </c>
      <c r="U107" s="143"/>
      <c r="V107" s="143"/>
      <c r="W107" s="143"/>
      <c r="X107" s="143"/>
      <c r="Y107" s="143"/>
      <c r="Z107" s="143"/>
    </row>
    <row r="108" spans="1:26">
      <c r="C108" s="140"/>
      <c r="D108" s="140"/>
      <c r="E108" s="140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201"/>
      <c r="U108" s="143"/>
      <c r="V108" s="143"/>
      <c r="W108" s="143"/>
      <c r="X108" s="143"/>
      <c r="Y108" s="143"/>
      <c r="Z108" s="143"/>
    </row>
    <row r="109" spans="1:26">
      <c r="C109" s="140"/>
      <c r="D109" s="140"/>
      <c r="E109" s="140"/>
      <c r="F109" s="134" t="str">
        <f>+F76</f>
        <v>Commercial</v>
      </c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72"/>
      <c r="U109" s="143"/>
      <c r="V109" s="143"/>
      <c r="W109" s="143"/>
      <c r="X109" s="143"/>
      <c r="Y109" s="143"/>
      <c r="Z109" s="143"/>
    </row>
    <row r="110" spans="1:26" s="251" customFormat="1">
      <c r="A110" s="250"/>
      <c r="B110" s="250"/>
      <c r="C110" s="250"/>
      <c r="D110" s="250"/>
      <c r="E110" s="250"/>
      <c r="F110" s="251" t="str">
        <f>+F77</f>
        <v>Regulated Garbage</v>
      </c>
      <c r="G110" s="252">
        <f>+G33*G77</f>
        <v>39670.174468637219</v>
      </c>
      <c r="H110" s="252">
        <f t="shared" ref="H110:R111" si="31">+H33*H77</f>
        <v>34570.207715281176</v>
      </c>
      <c r="I110" s="252">
        <f t="shared" si="31"/>
        <v>39890.335212793325</v>
      </c>
      <c r="J110" s="252">
        <f t="shared" si="31"/>
        <v>34988.147155610022</v>
      </c>
      <c r="K110" s="252">
        <f t="shared" si="31"/>
        <v>41917.494169648766</v>
      </c>
      <c r="L110" s="252">
        <f t="shared" si="31"/>
        <v>41179.189352514863</v>
      </c>
      <c r="M110" s="252">
        <f t="shared" si="31"/>
        <v>35697.38945093919</v>
      </c>
      <c r="N110" s="252">
        <f t="shared" si="31"/>
        <v>41125.483747975035</v>
      </c>
      <c r="O110" s="252">
        <f t="shared" si="31"/>
        <v>36340.482293043162</v>
      </c>
      <c r="P110" s="252">
        <f t="shared" si="31"/>
        <v>39407.794366193375</v>
      </c>
      <c r="Q110" s="252">
        <f t="shared" si="31"/>
        <v>38313.034884692701</v>
      </c>
      <c r="R110" s="252">
        <f t="shared" si="31"/>
        <v>38608.097250047809</v>
      </c>
      <c r="S110" s="252"/>
      <c r="T110" s="253">
        <f>SUM(G110:S110)</f>
        <v>461707.83006737661</v>
      </c>
      <c r="U110" s="252"/>
      <c r="V110" s="252"/>
      <c r="W110" s="252"/>
      <c r="X110" s="252"/>
      <c r="Y110" s="252"/>
      <c r="Z110" s="252"/>
    </row>
    <row r="111" spans="1:26">
      <c r="C111" s="140"/>
      <c r="D111" s="140"/>
      <c r="E111" s="140"/>
      <c r="F111" s="133" t="str">
        <f>+F78</f>
        <v>Unregulated Garbage</v>
      </c>
      <c r="G111" s="143">
        <f>+G34*G78</f>
        <v>531984.05381972622</v>
      </c>
      <c r="H111" s="143">
        <f t="shared" si="31"/>
        <v>462212.56066658325</v>
      </c>
      <c r="I111" s="143">
        <f t="shared" si="31"/>
        <v>528289.72911881353</v>
      </c>
      <c r="J111" s="143">
        <f t="shared" si="31"/>
        <v>476257.22812811064</v>
      </c>
      <c r="K111" s="143">
        <f t="shared" si="31"/>
        <v>567571.35607557546</v>
      </c>
      <c r="L111" s="143">
        <f t="shared" si="31"/>
        <v>552096.45477789722</v>
      </c>
      <c r="M111" s="143">
        <f t="shared" si="31"/>
        <v>507354.2397176107</v>
      </c>
      <c r="N111" s="143">
        <f t="shared" si="31"/>
        <v>543793.29142039618</v>
      </c>
      <c r="O111" s="143">
        <f t="shared" si="31"/>
        <v>532289.36345724319</v>
      </c>
      <c r="P111" s="143">
        <f t="shared" si="31"/>
        <v>553594.72647000942</v>
      </c>
      <c r="Q111" s="143">
        <f t="shared" si="31"/>
        <v>540195.89456054359</v>
      </c>
      <c r="R111" s="143">
        <f t="shared" si="31"/>
        <v>541194.98452119157</v>
      </c>
      <c r="S111" s="143"/>
      <c r="T111" s="144">
        <f>SUM(G111:S111)</f>
        <v>6336833.8827337008</v>
      </c>
      <c r="U111" s="143"/>
      <c r="V111" s="143"/>
      <c r="W111" s="143"/>
      <c r="X111" s="143"/>
      <c r="Y111" s="143"/>
      <c r="Z111" s="143"/>
    </row>
    <row r="112" spans="1:26" s="251" customFormat="1">
      <c r="A112" s="250"/>
      <c r="B112" s="250"/>
      <c r="C112" s="250"/>
      <c r="D112" s="250"/>
      <c r="E112" s="250"/>
      <c r="F112" s="251" t="str">
        <f>+F79</f>
        <v>Regulated RCY (MF)</v>
      </c>
      <c r="G112" s="252">
        <f t="shared" ref="G112:R113" si="32">+G36*G79</f>
        <v>8559.8190018976256</v>
      </c>
      <c r="H112" s="252">
        <f t="shared" si="32"/>
        <v>7401.1823924185574</v>
      </c>
      <c r="I112" s="252">
        <f t="shared" si="32"/>
        <v>8344.5955528262111</v>
      </c>
      <c r="J112" s="252">
        <f t="shared" si="32"/>
        <v>7429.0059236485567</v>
      </c>
      <c r="K112" s="252">
        <f t="shared" si="32"/>
        <v>8903.0593874118676</v>
      </c>
      <c r="L112" s="252">
        <f t="shared" si="32"/>
        <v>8207.7615097319667</v>
      </c>
      <c r="M112" s="252">
        <f t="shared" si="32"/>
        <v>7042.3944437965993</v>
      </c>
      <c r="N112" s="252">
        <f t="shared" si="32"/>
        <v>8565.3688641085955</v>
      </c>
      <c r="O112" s="252">
        <f t="shared" si="32"/>
        <v>8221.8633912617115</v>
      </c>
      <c r="P112" s="252">
        <f t="shared" si="32"/>
        <v>8894.5699129200293</v>
      </c>
      <c r="Q112" s="252">
        <f t="shared" si="32"/>
        <v>8494.4722464674487</v>
      </c>
      <c r="R112" s="252">
        <f t="shared" si="32"/>
        <v>9907.5117432621955</v>
      </c>
      <c r="S112" s="252"/>
      <c r="T112" s="253">
        <f>SUM(G112:S112)</f>
        <v>99971.604369751367</v>
      </c>
      <c r="U112" s="252"/>
      <c r="V112" s="252"/>
      <c r="W112" s="252"/>
      <c r="X112" s="252"/>
      <c r="Y112" s="252"/>
      <c r="Z112" s="252"/>
    </row>
    <row r="113" spans="1:26">
      <c r="C113" s="140"/>
      <c r="D113" s="140"/>
      <c r="E113" s="140"/>
      <c r="F113" s="145" t="str">
        <f>+F80</f>
        <v>Unregulated RCY / COGS</v>
      </c>
      <c r="G113" s="146">
        <f t="shared" si="32"/>
        <v>137478.03127754768</v>
      </c>
      <c r="H113" s="146">
        <f t="shared" si="32"/>
        <v>110286.13432728095</v>
      </c>
      <c r="I113" s="146">
        <f t="shared" si="32"/>
        <v>129050.19857138122</v>
      </c>
      <c r="J113" s="146">
        <f t="shared" si="32"/>
        <v>111059.06023584552</v>
      </c>
      <c r="K113" s="146">
        <f t="shared" si="32"/>
        <v>128951.09814854442</v>
      </c>
      <c r="L113" s="146">
        <f t="shared" si="32"/>
        <v>128314.07987218563</v>
      </c>
      <c r="M113" s="146">
        <f t="shared" si="32"/>
        <v>113616.99529812035</v>
      </c>
      <c r="N113" s="146">
        <f t="shared" si="32"/>
        <v>127661.56655564989</v>
      </c>
      <c r="O113" s="146">
        <f t="shared" si="32"/>
        <v>123159.93915463546</v>
      </c>
      <c r="P113" s="146">
        <f t="shared" si="32"/>
        <v>133564.13279627188</v>
      </c>
      <c r="Q113" s="146">
        <f t="shared" si="32"/>
        <v>131450.42823890102</v>
      </c>
      <c r="R113" s="146">
        <f t="shared" si="32"/>
        <v>137661.3218933281</v>
      </c>
      <c r="S113" s="146"/>
      <c r="T113" s="147">
        <f>SUM(G113:S113)</f>
        <v>1512252.986369692</v>
      </c>
      <c r="U113" s="143"/>
      <c r="V113" s="143"/>
      <c r="W113" s="143"/>
      <c r="X113" s="143"/>
      <c r="Y113" s="143"/>
      <c r="Z113" s="143"/>
    </row>
    <row r="114" spans="1:26">
      <c r="C114" s="140"/>
      <c r="D114" s="140"/>
      <c r="E114" s="140"/>
      <c r="F114" s="133" t="str">
        <f>+F39</f>
        <v>Total Commercial per Disposal Report</v>
      </c>
      <c r="G114" s="143">
        <f>SUM(G110:G113)</f>
        <v>717692.07856780873</v>
      </c>
      <c r="H114" s="143">
        <f t="shared" ref="H114:R114" si="33">SUM(H109:H113)</f>
        <v>614470.08510156395</v>
      </c>
      <c r="I114" s="143">
        <f t="shared" si="33"/>
        <v>705574.85845581419</v>
      </c>
      <c r="J114" s="143">
        <f t="shared" si="33"/>
        <v>629733.44144321478</v>
      </c>
      <c r="K114" s="143">
        <f t="shared" si="33"/>
        <v>747343.00778118055</v>
      </c>
      <c r="L114" s="143">
        <f t="shared" si="33"/>
        <v>729797.48551232961</v>
      </c>
      <c r="M114" s="143">
        <f t="shared" si="33"/>
        <v>663711.01891046681</v>
      </c>
      <c r="N114" s="143">
        <f t="shared" si="33"/>
        <v>721145.7105881297</v>
      </c>
      <c r="O114" s="143">
        <f t="shared" si="33"/>
        <v>700011.64829618344</v>
      </c>
      <c r="P114" s="143">
        <f t="shared" si="33"/>
        <v>735461.22354539461</v>
      </c>
      <c r="Q114" s="143">
        <f t="shared" si="33"/>
        <v>718453.8299306049</v>
      </c>
      <c r="R114" s="143">
        <f t="shared" si="33"/>
        <v>727371.91540782969</v>
      </c>
      <c r="S114" s="143"/>
      <c r="T114" s="144">
        <f>SUM(G114:S114)</f>
        <v>8410766.3035405204</v>
      </c>
      <c r="U114" s="143"/>
      <c r="V114" s="143"/>
      <c r="W114" s="143"/>
      <c r="X114" s="143"/>
      <c r="Y114" s="143"/>
      <c r="Z114" s="143"/>
    </row>
    <row r="115" spans="1:26">
      <c r="C115" s="140"/>
      <c r="D115" s="140"/>
      <c r="E115" s="140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72"/>
      <c r="U115" s="143"/>
      <c r="V115" s="143"/>
      <c r="W115" s="143"/>
      <c r="X115" s="143"/>
      <c r="Y115" s="143"/>
      <c r="Z115" s="143"/>
    </row>
    <row r="116" spans="1:26">
      <c r="C116" s="140"/>
      <c r="D116" s="140"/>
      <c r="E116" s="140"/>
      <c r="F116" s="134" t="str">
        <f t="shared" ref="F116:F122" si="34">+F82</f>
        <v>Residential</v>
      </c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72"/>
      <c r="U116" s="143"/>
      <c r="X116" s="143"/>
      <c r="Y116" s="143"/>
      <c r="Z116" s="143"/>
    </row>
    <row r="117" spans="1:26" s="251" customFormat="1">
      <c r="A117" s="250"/>
      <c r="B117" s="250"/>
      <c r="C117" s="250"/>
      <c r="D117" s="250"/>
      <c r="E117" s="250"/>
      <c r="F117" s="251" t="str">
        <f t="shared" si="34"/>
        <v>Regulated Garbage</v>
      </c>
      <c r="G117" s="252">
        <f t="shared" ref="G117:R118" si="35">+G44*G83</f>
        <v>103617.14615983807</v>
      </c>
      <c r="H117" s="252">
        <f t="shared" si="35"/>
        <v>83848.981973691989</v>
      </c>
      <c r="I117" s="252">
        <f t="shared" si="35"/>
        <v>103048.88069910863</v>
      </c>
      <c r="J117" s="252">
        <f t="shared" si="35"/>
        <v>86561.779279056791</v>
      </c>
      <c r="K117" s="252">
        <f t="shared" si="35"/>
        <v>109006.85722792965</v>
      </c>
      <c r="L117" s="252">
        <f t="shared" si="35"/>
        <v>103804.42176192402</v>
      </c>
      <c r="M117" s="252">
        <f t="shared" si="35"/>
        <v>97710.496251986915</v>
      </c>
      <c r="N117" s="252">
        <f t="shared" si="35"/>
        <v>109356.37793556247</v>
      </c>
      <c r="O117" s="252">
        <f t="shared" si="35"/>
        <v>96219.733228175464</v>
      </c>
      <c r="P117" s="252">
        <f t="shared" si="35"/>
        <v>97608.244656636482</v>
      </c>
      <c r="Q117" s="252">
        <f t="shared" si="35"/>
        <v>110469.07451906911</v>
      </c>
      <c r="R117" s="252">
        <f t="shared" si="35"/>
        <v>90279.299305421548</v>
      </c>
      <c r="S117" s="252"/>
      <c r="T117" s="253">
        <f t="shared" ref="T117:T123" si="36">SUM(G117:S117)</f>
        <v>1191531.2929984012</v>
      </c>
      <c r="U117" s="252"/>
      <c r="V117" s="252"/>
      <c r="W117" s="252"/>
      <c r="X117" s="252"/>
      <c r="Y117" s="252"/>
      <c r="Z117" s="252"/>
    </row>
    <row r="118" spans="1:26">
      <c r="C118" s="140"/>
      <c r="D118" s="140"/>
      <c r="E118" s="140"/>
      <c r="F118" s="133" t="str">
        <f t="shared" si="34"/>
        <v>Unregulated Garbage</v>
      </c>
      <c r="G118" s="143">
        <f t="shared" si="35"/>
        <v>457740.56079453317</v>
      </c>
      <c r="H118" s="143">
        <f t="shared" si="35"/>
        <v>367759.35564139578</v>
      </c>
      <c r="I118" s="143">
        <f t="shared" si="35"/>
        <v>430077.14571559802</v>
      </c>
      <c r="J118" s="143">
        <f t="shared" si="35"/>
        <v>379877.45985120576</v>
      </c>
      <c r="K118" s="143">
        <f t="shared" si="35"/>
        <v>470883.46157611796</v>
      </c>
      <c r="L118" s="143">
        <f t="shared" si="35"/>
        <v>464943.8890012842</v>
      </c>
      <c r="M118" s="143">
        <f t="shared" si="35"/>
        <v>441723.19922082918</v>
      </c>
      <c r="N118" s="143">
        <f t="shared" si="35"/>
        <v>459001.51609070692</v>
      </c>
      <c r="O118" s="143">
        <f t="shared" si="35"/>
        <v>431462.16428276594</v>
      </c>
      <c r="P118" s="143">
        <f t="shared" si="35"/>
        <v>437474.83905720501</v>
      </c>
      <c r="Q118" s="143">
        <f t="shared" si="35"/>
        <v>444979.92174074159</v>
      </c>
      <c r="R118" s="143">
        <f t="shared" si="35"/>
        <v>427637.91918279248</v>
      </c>
      <c r="S118" s="143"/>
      <c r="T118" s="144">
        <f t="shared" si="36"/>
        <v>5213561.4321551761</v>
      </c>
      <c r="U118" s="143"/>
      <c r="V118" s="143"/>
      <c r="W118" s="143"/>
      <c r="X118" s="143"/>
      <c r="Y118" s="143"/>
      <c r="Z118" s="143"/>
    </row>
    <row r="119" spans="1:26" s="251" customFormat="1">
      <c r="A119" s="250"/>
      <c r="B119" s="250"/>
      <c r="C119" s="250"/>
      <c r="D119" s="250"/>
      <c r="E119" s="250"/>
      <c r="F119" s="251" t="str">
        <f t="shared" si="34"/>
        <v>Regulated Yardwaste</v>
      </c>
      <c r="G119" s="252">
        <f t="shared" ref="G119:R120" si="37">+G47*G85</f>
        <v>32913.459537763425</v>
      </c>
      <c r="H119" s="252">
        <f t="shared" si="37"/>
        <v>19456.207756587541</v>
      </c>
      <c r="I119" s="252">
        <f t="shared" si="37"/>
        <v>27513.568386784056</v>
      </c>
      <c r="J119" s="252">
        <f t="shared" si="37"/>
        <v>25199.266347556593</v>
      </c>
      <c r="K119" s="252">
        <f t="shared" si="37"/>
        <v>43229.383216796225</v>
      </c>
      <c r="L119" s="252">
        <f t="shared" si="37"/>
        <v>35037.896004054681</v>
      </c>
      <c r="M119" s="252">
        <f t="shared" si="37"/>
        <v>24889.412109081073</v>
      </c>
      <c r="N119" s="252">
        <f t="shared" si="37"/>
        <v>24899.446432326375</v>
      </c>
      <c r="O119" s="252">
        <f t="shared" si="37"/>
        <v>24068.677349586993</v>
      </c>
      <c r="P119" s="252">
        <f t="shared" si="37"/>
        <v>27661.899280047146</v>
      </c>
      <c r="Q119" s="252">
        <f t="shared" si="37"/>
        <v>52618.807765801561</v>
      </c>
      <c r="R119" s="252">
        <f t="shared" si="37"/>
        <v>29304.12284744958</v>
      </c>
      <c r="S119" s="252"/>
      <c r="T119" s="253">
        <f t="shared" si="36"/>
        <v>366792.14703383524</v>
      </c>
      <c r="U119" s="252"/>
      <c r="V119" s="252"/>
      <c r="W119" s="252"/>
      <c r="X119" s="252"/>
      <c r="Y119" s="252"/>
      <c r="Z119" s="252"/>
    </row>
    <row r="120" spans="1:26">
      <c r="C120" s="140"/>
      <c r="D120" s="140"/>
      <c r="E120" s="140"/>
      <c r="F120" s="133" t="str">
        <f t="shared" si="34"/>
        <v>Unregulated Yardwaste</v>
      </c>
      <c r="G120" s="143">
        <f t="shared" si="37"/>
        <v>270451.58526309184</v>
      </c>
      <c r="H120" s="143">
        <f t="shared" si="37"/>
        <v>168060.72422456188</v>
      </c>
      <c r="I120" s="143">
        <f t="shared" si="37"/>
        <v>227003.06640783223</v>
      </c>
      <c r="J120" s="143">
        <f t="shared" si="37"/>
        <v>207441.90758205202</v>
      </c>
      <c r="K120" s="143">
        <f t="shared" si="37"/>
        <v>346380.52712907706</v>
      </c>
      <c r="L120" s="143">
        <f t="shared" si="37"/>
        <v>277475.43826708366</v>
      </c>
      <c r="M120" s="143">
        <f t="shared" si="37"/>
        <v>197686.63750553463</v>
      </c>
      <c r="N120" s="143">
        <f t="shared" si="37"/>
        <v>182666.59700861221</v>
      </c>
      <c r="O120" s="143">
        <f t="shared" si="37"/>
        <v>186524.8993411233</v>
      </c>
      <c r="P120" s="143">
        <f t="shared" si="37"/>
        <v>252899.6503883882</v>
      </c>
      <c r="Q120" s="143">
        <f t="shared" si="37"/>
        <v>381285.59806302289</v>
      </c>
      <c r="R120" s="143">
        <f t="shared" si="37"/>
        <v>253080.39678953044</v>
      </c>
      <c r="S120" s="143"/>
      <c r="T120" s="144">
        <f t="shared" si="36"/>
        <v>2950957.0279699098</v>
      </c>
      <c r="U120" s="143"/>
      <c r="V120" s="143"/>
      <c r="W120" s="143"/>
      <c r="X120" s="143"/>
      <c r="Y120" s="143"/>
      <c r="Z120" s="143"/>
    </row>
    <row r="121" spans="1:26" s="251" customFormat="1">
      <c r="A121" s="250"/>
      <c r="B121" s="250"/>
      <c r="C121" s="250"/>
      <c r="D121" s="250"/>
      <c r="E121" s="250"/>
      <c r="F121" s="251" t="str">
        <f t="shared" si="34"/>
        <v>Regulated RCY</v>
      </c>
      <c r="G121" s="252">
        <f>+G50*G87</f>
        <v>39203.544958745217</v>
      </c>
      <c r="H121" s="252">
        <f t="shared" ref="H121:R121" si="38">+H50*H87</f>
        <v>32255.311698143309</v>
      </c>
      <c r="I121" s="252">
        <f t="shared" si="38"/>
        <v>35619.370665749768</v>
      </c>
      <c r="J121" s="252">
        <f t="shared" si="38"/>
        <v>31046.445794005987</v>
      </c>
      <c r="K121" s="252">
        <f t="shared" si="38"/>
        <v>40632.055156883922</v>
      </c>
      <c r="L121" s="252">
        <f t="shared" si="38"/>
        <v>37014.538057143538</v>
      </c>
      <c r="M121" s="252">
        <f t="shared" si="38"/>
        <v>34202.229007610338</v>
      </c>
      <c r="N121" s="252">
        <f t="shared" si="38"/>
        <v>41362.222259020215</v>
      </c>
      <c r="O121" s="252">
        <f t="shared" si="38"/>
        <v>32663.798441204581</v>
      </c>
      <c r="P121" s="252">
        <f t="shared" si="38"/>
        <v>37763.892721554228</v>
      </c>
      <c r="Q121" s="252">
        <f t="shared" si="38"/>
        <v>39306.363516724865</v>
      </c>
      <c r="R121" s="252">
        <f t="shared" si="38"/>
        <v>38056.727522886948</v>
      </c>
      <c r="S121" s="252"/>
      <c r="T121" s="253">
        <f t="shared" si="36"/>
        <v>439126.49979967286</v>
      </c>
      <c r="U121" s="252"/>
      <c r="V121" s="252"/>
      <c r="W121" s="252"/>
      <c r="X121" s="252"/>
      <c r="Y121" s="252"/>
      <c r="Z121" s="252"/>
    </row>
    <row r="122" spans="1:26">
      <c r="C122" s="140"/>
      <c r="D122" s="140"/>
      <c r="E122" s="140"/>
      <c r="F122" s="145" t="str">
        <f t="shared" si="34"/>
        <v>Unregulated RCY</v>
      </c>
      <c r="G122" s="146">
        <f t="shared" ref="G122:R122" si="39">+G51*G88</f>
        <v>220848.81138068438</v>
      </c>
      <c r="H122" s="146">
        <f t="shared" si="39"/>
        <v>154429.52062951986</v>
      </c>
      <c r="I122" s="146">
        <f t="shared" si="39"/>
        <v>180626.23718785064</v>
      </c>
      <c r="J122" s="146">
        <f t="shared" si="39"/>
        <v>163628.10181873193</v>
      </c>
      <c r="K122" s="146">
        <f t="shared" si="39"/>
        <v>198779.86223004991</v>
      </c>
      <c r="L122" s="146">
        <f t="shared" si="39"/>
        <v>196336.00784749279</v>
      </c>
      <c r="M122" s="146">
        <f t="shared" si="39"/>
        <v>183229.12531340405</v>
      </c>
      <c r="N122" s="146">
        <f t="shared" si="39"/>
        <v>188941.11585761706</v>
      </c>
      <c r="O122" s="146">
        <f t="shared" si="39"/>
        <v>185084.45616367323</v>
      </c>
      <c r="P122" s="146">
        <f t="shared" si="39"/>
        <v>187248.82901052211</v>
      </c>
      <c r="Q122" s="146">
        <f t="shared" si="39"/>
        <v>199933.94596977622</v>
      </c>
      <c r="R122" s="146">
        <f t="shared" si="39"/>
        <v>202033.21340323525</v>
      </c>
      <c r="S122" s="146"/>
      <c r="T122" s="147">
        <f t="shared" si="36"/>
        <v>2261119.2268125573</v>
      </c>
      <c r="U122" s="143"/>
      <c r="V122" s="143"/>
      <c r="W122" s="143"/>
      <c r="X122" s="143"/>
      <c r="Y122" s="143"/>
      <c r="Z122" s="143"/>
    </row>
    <row r="123" spans="1:26">
      <c r="C123" s="140"/>
      <c r="D123" s="140"/>
      <c r="E123" s="140"/>
      <c r="F123" s="133" t="str">
        <f>+F53</f>
        <v>Total Residential per Disposal Report</v>
      </c>
      <c r="G123" s="143">
        <f>SUM(G117:G122)</f>
        <v>1124775.1080946559</v>
      </c>
      <c r="H123" s="143">
        <f t="shared" ref="H123:R123" si="40">SUM(H117:H122)</f>
        <v>825810.10192390031</v>
      </c>
      <c r="I123" s="143">
        <f t="shared" si="40"/>
        <v>1003888.2690629233</v>
      </c>
      <c r="J123" s="143">
        <f t="shared" si="40"/>
        <v>893754.96067260904</v>
      </c>
      <c r="K123" s="143">
        <f t="shared" si="40"/>
        <v>1208912.1465368546</v>
      </c>
      <c r="L123" s="143">
        <f t="shared" si="40"/>
        <v>1114612.1909389829</v>
      </c>
      <c r="M123" s="143">
        <f t="shared" si="40"/>
        <v>979441.09940844611</v>
      </c>
      <c r="N123" s="143">
        <f t="shared" si="40"/>
        <v>1006227.2755838453</v>
      </c>
      <c r="O123" s="143">
        <f t="shared" si="40"/>
        <v>956023.72880652943</v>
      </c>
      <c r="P123" s="143">
        <f t="shared" si="40"/>
        <v>1040657.3551143532</v>
      </c>
      <c r="Q123" s="143">
        <f t="shared" si="40"/>
        <v>1228593.7115751363</v>
      </c>
      <c r="R123" s="143">
        <f t="shared" si="40"/>
        <v>1040391.6790513161</v>
      </c>
      <c r="S123" s="143"/>
      <c r="T123" s="144">
        <f t="shared" si="36"/>
        <v>12423087.626769552</v>
      </c>
      <c r="U123" s="143"/>
      <c r="V123" s="143"/>
      <c r="W123" s="143"/>
      <c r="X123" s="143"/>
      <c r="Y123" s="143"/>
      <c r="Z123" s="143"/>
    </row>
    <row r="124" spans="1:26" ht="15" thickBot="1">
      <c r="C124" s="140"/>
      <c r="D124" s="140"/>
      <c r="E124" s="140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72"/>
      <c r="U124" s="143"/>
      <c r="V124" s="143"/>
      <c r="W124" s="143"/>
      <c r="X124" s="143"/>
      <c r="Y124" s="143"/>
      <c r="Z124" s="143"/>
    </row>
    <row r="125" spans="1:26">
      <c r="C125" s="140"/>
      <c r="D125" s="140"/>
      <c r="E125" s="140"/>
      <c r="F125" s="133" t="s">
        <v>183</v>
      </c>
      <c r="G125" s="143">
        <f>SUM(G99,G101,G110,G112,G117,G119,G121)</f>
        <v>237190.11712688152</v>
      </c>
      <c r="H125" s="143">
        <f t="shared" ref="H125:Q125" si="41">SUM(H99,H101,H110,H112,H117,H119,H121)</f>
        <v>192503.19823612258</v>
      </c>
      <c r="I125" s="143">
        <f t="shared" si="41"/>
        <v>226996.892117262</v>
      </c>
      <c r="J125" s="143">
        <f t="shared" si="41"/>
        <v>198904.72009987797</v>
      </c>
      <c r="K125" s="143">
        <f t="shared" si="41"/>
        <v>263127.70715867041</v>
      </c>
      <c r="L125" s="143">
        <f t="shared" si="41"/>
        <v>243652.87048536909</v>
      </c>
      <c r="M125" s="143">
        <f t="shared" si="41"/>
        <v>218991.72446341411</v>
      </c>
      <c r="N125" s="143">
        <f t="shared" si="41"/>
        <v>245048.13193899265</v>
      </c>
      <c r="O125" s="143">
        <f t="shared" si="41"/>
        <v>213844.7198032719</v>
      </c>
      <c r="P125" s="143">
        <f t="shared" si="41"/>
        <v>225518.15053735129</v>
      </c>
      <c r="Q125" s="143">
        <f t="shared" si="41"/>
        <v>268227.14583275566</v>
      </c>
      <c r="R125" s="143">
        <f>SUM(R99,R101,R110,R112,R117,R119,R121)</f>
        <v>223514.65766906811</v>
      </c>
      <c r="S125" s="143"/>
      <c r="T125" s="144">
        <f>SUM(G125:S125)</f>
        <v>2757520.0354690375</v>
      </c>
      <c r="U125" s="143"/>
      <c r="V125" s="254">
        <f>V15</f>
        <v>2975622.4425999993</v>
      </c>
      <c r="W125" s="255"/>
      <c r="X125" s="256"/>
      <c r="Y125" s="143"/>
      <c r="Z125" s="143"/>
    </row>
    <row r="126" spans="1:26">
      <c r="C126" s="140"/>
      <c r="D126" s="140"/>
      <c r="E126" s="140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72"/>
      <c r="U126" s="143"/>
      <c r="V126" s="257">
        <f>T125</f>
        <v>2757520.0354690375</v>
      </c>
      <c r="W126" s="149"/>
      <c r="X126" s="258"/>
      <c r="Y126" s="143"/>
      <c r="Z126" s="143"/>
    </row>
    <row r="127" spans="1:26" ht="15" thickBot="1">
      <c r="C127" s="140"/>
      <c r="D127" s="140"/>
      <c r="E127" s="140"/>
      <c r="F127" s="133" t="s">
        <v>184</v>
      </c>
      <c r="G127" s="143">
        <f>+G103+G114+G123</f>
        <v>2365847.3212624649</v>
      </c>
      <c r="H127" s="143">
        <f t="shared" ref="H127:R127" si="42">+H103+H114+H123</f>
        <v>1954445.5317254644</v>
      </c>
      <c r="I127" s="143">
        <f t="shared" si="42"/>
        <v>2296631.6903187372</v>
      </c>
      <c r="J127" s="143">
        <f t="shared" si="42"/>
        <v>2032071.3149158238</v>
      </c>
      <c r="K127" s="143">
        <f t="shared" si="42"/>
        <v>2500425.8083180352</v>
      </c>
      <c r="L127" s="143">
        <f t="shared" si="42"/>
        <v>2402446.5838513123</v>
      </c>
      <c r="M127" s="143">
        <f t="shared" si="42"/>
        <v>2157792.0823189132</v>
      </c>
      <c r="N127" s="143">
        <f t="shared" si="42"/>
        <v>2299534.5228719749</v>
      </c>
      <c r="O127" s="143">
        <f t="shared" si="42"/>
        <v>2177834.312202713</v>
      </c>
      <c r="P127" s="143">
        <f t="shared" si="42"/>
        <v>2313380.8294597478</v>
      </c>
      <c r="Q127" s="143">
        <f t="shared" si="42"/>
        <v>2433334.9392057415</v>
      </c>
      <c r="R127" s="143">
        <f t="shared" si="42"/>
        <v>2222848.2682591458</v>
      </c>
      <c r="S127" s="143"/>
      <c r="T127" s="143">
        <f>+T103+T114+T123</f>
        <v>27156593.204710074</v>
      </c>
      <c r="U127" s="143"/>
      <c r="V127" s="259">
        <f>V125-V126</f>
        <v>218102.40713096177</v>
      </c>
      <c r="W127" s="260" t="s">
        <v>235</v>
      </c>
      <c r="X127" s="261"/>
      <c r="Y127" s="143"/>
      <c r="Z127" s="143"/>
    </row>
    <row r="128" spans="1:26">
      <c r="C128" s="140"/>
      <c r="D128" s="140"/>
      <c r="E128" s="140"/>
      <c r="F128" s="169" t="s">
        <v>160</v>
      </c>
      <c r="G128" s="170">
        <f>+G127/G94-1</f>
        <v>3.8830089275672774E-2</v>
      </c>
      <c r="H128" s="170">
        <f t="shared" ref="H128:R128" si="43">+H127/H94-1</f>
        <v>2.5962300178805853E-2</v>
      </c>
      <c r="I128" s="170">
        <f t="shared" si="43"/>
        <v>3.4712494380924053E-2</v>
      </c>
      <c r="J128" s="170">
        <f t="shared" si="43"/>
        <v>3.4891847445235991E-2</v>
      </c>
      <c r="K128" s="170">
        <f t="shared" si="43"/>
        <v>5.9531495008397162E-2</v>
      </c>
      <c r="L128" s="170">
        <f t="shared" si="43"/>
        <v>5.46288854912238E-2</v>
      </c>
      <c r="M128" s="170">
        <f t="shared" si="43"/>
        <v>3.407115076775491E-2</v>
      </c>
      <c r="N128" s="170">
        <f t="shared" si="43"/>
        <v>3.7445126539663143E-2</v>
      </c>
      <c r="O128" s="170">
        <f t="shared" si="43"/>
        <v>4.4436205645928872E-2</v>
      </c>
      <c r="P128" s="170">
        <f t="shared" si="43"/>
        <v>4.3241345459024805E-2</v>
      </c>
      <c r="Q128" s="170">
        <f t="shared" si="43"/>
        <v>4.8838965645468191E-2</v>
      </c>
      <c r="R128" s="170">
        <f t="shared" si="43"/>
        <v>3.1635648356044932E-2</v>
      </c>
      <c r="S128" s="170"/>
      <c r="T128" s="170">
        <f>+T127/T94-1</f>
        <v>4.111688069731434E-2</v>
      </c>
      <c r="U128" s="143"/>
      <c r="V128" s="143"/>
      <c r="W128" s="143"/>
      <c r="X128" s="143"/>
      <c r="Y128" s="143"/>
      <c r="Z128" s="143"/>
    </row>
    <row r="129" spans="3:26">
      <c r="C129" s="140"/>
      <c r="D129" s="140"/>
      <c r="E129" s="140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72"/>
      <c r="U129" s="143"/>
      <c r="V129" s="143"/>
      <c r="W129" s="143"/>
      <c r="X129" s="143"/>
      <c r="Y129" s="143"/>
      <c r="Z129" s="143"/>
    </row>
    <row r="130" spans="3:26">
      <c r="C130" s="140"/>
      <c r="D130" s="140"/>
      <c r="E130" s="140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72"/>
      <c r="U130" s="143"/>
      <c r="V130" s="143"/>
      <c r="W130" s="143"/>
      <c r="X130" s="143"/>
      <c r="Y130" s="143"/>
      <c r="Z130" s="143"/>
    </row>
    <row r="131" spans="3:26"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72"/>
      <c r="U131" s="143"/>
      <c r="V131" s="143"/>
      <c r="W131" s="143"/>
      <c r="X131" s="143"/>
      <c r="Y131" s="143"/>
      <c r="Z131" s="143"/>
    </row>
    <row r="132" spans="3:26"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72"/>
      <c r="U132" s="143"/>
      <c r="V132" s="143"/>
      <c r="W132" s="143"/>
      <c r="X132" s="143"/>
      <c r="Y132" s="143"/>
      <c r="Z132" s="143"/>
    </row>
    <row r="133" spans="3:26"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72"/>
      <c r="U133" s="143"/>
      <c r="V133" s="143"/>
      <c r="W133" s="143"/>
      <c r="X133" s="143"/>
      <c r="Y133" s="143"/>
      <c r="Z133" s="143"/>
    </row>
    <row r="134" spans="3:26"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72"/>
      <c r="U134" s="143"/>
      <c r="V134" s="143"/>
      <c r="W134" s="143"/>
      <c r="X134" s="143"/>
      <c r="Y134" s="143"/>
      <c r="Z134" s="143"/>
    </row>
    <row r="135" spans="3:26"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72"/>
      <c r="U135" s="143"/>
      <c r="V135" s="143"/>
      <c r="W135" s="143"/>
      <c r="X135" s="143"/>
      <c r="Y135" s="143"/>
      <c r="Z135" s="143"/>
    </row>
    <row r="136" spans="3:26"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72"/>
      <c r="U136" s="143"/>
      <c r="V136" s="143"/>
      <c r="W136" s="143"/>
      <c r="X136" s="143"/>
      <c r="Y136" s="143"/>
      <c r="Z136" s="143"/>
    </row>
    <row r="137" spans="3:26"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72"/>
      <c r="U137" s="143"/>
      <c r="V137" s="143"/>
      <c r="W137" s="143"/>
      <c r="X137" s="143"/>
      <c r="Y137" s="143"/>
      <c r="Z137" s="143"/>
    </row>
    <row r="138" spans="3:26"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72"/>
      <c r="U138" s="143"/>
      <c r="V138" s="143"/>
      <c r="W138" s="143"/>
      <c r="X138" s="143"/>
      <c r="Y138" s="143"/>
      <c r="Z138" s="143"/>
    </row>
    <row r="139" spans="3:26"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72"/>
      <c r="U139" s="143"/>
      <c r="V139" s="143"/>
      <c r="W139" s="143"/>
      <c r="X139" s="143"/>
      <c r="Y139" s="143"/>
      <c r="Z139" s="143"/>
    </row>
    <row r="140" spans="3:26"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72"/>
      <c r="U140" s="143"/>
      <c r="V140" s="143"/>
      <c r="W140" s="143"/>
      <c r="X140" s="143"/>
      <c r="Y140" s="143"/>
      <c r="Z140" s="143"/>
    </row>
    <row r="141" spans="3:26"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72"/>
      <c r="U141" s="143"/>
      <c r="V141" s="143"/>
      <c r="W141" s="143"/>
      <c r="X141" s="143"/>
      <c r="Y141" s="143"/>
      <c r="Z141" s="143"/>
    </row>
    <row r="142" spans="3:26"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72"/>
      <c r="U142" s="143"/>
      <c r="V142" s="143"/>
      <c r="W142" s="143"/>
      <c r="X142" s="143"/>
      <c r="Y142" s="143"/>
      <c r="Z142" s="143"/>
    </row>
    <row r="143" spans="3:26"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72"/>
      <c r="U143" s="143"/>
      <c r="V143" s="143"/>
      <c r="W143" s="143"/>
      <c r="X143" s="143"/>
      <c r="Y143" s="143"/>
      <c r="Z143" s="143"/>
    </row>
    <row r="144" spans="3:26"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72"/>
      <c r="U144" s="143"/>
      <c r="V144" s="143"/>
      <c r="W144" s="143"/>
      <c r="X144" s="143"/>
      <c r="Y144" s="143"/>
      <c r="Z144" s="143"/>
    </row>
    <row r="145" spans="7:26"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72"/>
      <c r="U145" s="143"/>
      <c r="V145" s="143"/>
      <c r="W145" s="143"/>
      <c r="X145" s="143"/>
      <c r="Y145" s="143"/>
      <c r="Z145" s="143"/>
    </row>
    <row r="146" spans="7:26"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72"/>
      <c r="U146" s="143"/>
      <c r="V146" s="143"/>
      <c r="W146" s="143"/>
      <c r="X146" s="143"/>
      <c r="Y146" s="143"/>
      <c r="Z146" s="143"/>
    </row>
    <row r="147" spans="7:26"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72"/>
      <c r="U147" s="143"/>
      <c r="V147" s="143"/>
      <c r="W147" s="143"/>
      <c r="X147" s="143"/>
      <c r="Y147" s="143"/>
      <c r="Z147" s="143"/>
    </row>
    <row r="148" spans="7:26"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72"/>
      <c r="U148" s="143"/>
      <c r="V148" s="143"/>
      <c r="W148" s="143"/>
      <c r="X148" s="143"/>
      <c r="Y148" s="143"/>
      <c r="Z148" s="143"/>
    </row>
    <row r="149" spans="7:26"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72"/>
      <c r="U149" s="143"/>
      <c r="V149" s="143"/>
      <c r="W149" s="143"/>
      <c r="X149" s="143"/>
      <c r="Y149" s="143"/>
      <c r="Z149" s="143"/>
    </row>
    <row r="150" spans="7:26"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72"/>
      <c r="U150" s="143"/>
      <c r="V150" s="143"/>
      <c r="W150" s="143"/>
      <c r="X150" s="143"/>
      <c r="Y150" s="143"/>
      <c r="Z150" s="143"/>
    </row>
    <row r="151" spans="7:26"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72"/>
      <c r="U151" s="143"/>
      <c r="V151" s="143"/>
      <c r="W151" s="143"/>
      <c r="X151" s="143"/>
      <c r="Y151" s="143"/>
      <c r="Z151" s="143"/>
    </row>
    <row r="152" spans="7:26"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72"/>
      <c r="U152" s="143"/>
      <c r="V152" s="143"/>
      <c r="W152" s="143"/>
      <c r="X152" s="143"/>
      <c r="Y152" s="143"/>
      <c r="Z152" s="143"/>
    </row>
    <row r="153" spans="7:26"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72"/>
      <c r="U153" s="143"/>
      <c r="V153" s="143"/>
      <c r="W153" s="143"/>
      <c r="X153" s="143"/>
      <c r="Y153" s="143"/>
      <c r="Z153" s="143"/>
    </row>
    <row r="154" spans="7:26"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72"/>
      <c r="U154" s="143"/>
      <c r="V154" s="143"/>
      <c r="W154" s="143"/>
      <c r="X154" s="143"/>
      <c r="Y154" s="143"/>
      <c r="Z154" s="143"/>
    </row>
    <row r="155" spans="7:26"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72"/>
      <c r="U155" s="143"/>
      <c r="V155" s="143"/>
      <c r="W155" s="143"/>
      <c r="X155" s="143"/>
      <c r="Y155" s="143"/>
      <c r="Z155" s="143"/>
    </row>
    <row r="156" spans="7:26"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72"/>
      <c r="U156" s="143"/>
      <c r="V156" s="143"/>
      <c r="W156" s="143"/>
      <c r="X156" s="143"/>
      <c r="Y156" s="143"/>
      <c r="Z156" s="143"/>
    </row>
    <row r="157" spans="7:26"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72"/>
      <c r="U157" s="143"/>
      <c r="V157" s="143"/>
      <c r="W157" s="143"/>
      <c r="X157" s="143"/>
      <c r="Y157" s="143"/>
      <c r="Z157" s="143"/>
    </row>
    <row r="158" spans="7:26"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72"/>
      <c r="U158" s="143"/>
      <c r="V158" s="143"/>
      <c r="W158" s="143"/>
      <c r="X158" s="143"/>
      <c r="Y158" s="143"/>
      <c r="Z158" s="143"/>
    </row>
    <row r="159" spans="7:26"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72"/>
      <c r="U159" s="143"/>
      <c r="V159" s="143"/>
      <c r="W159" s="143"/>
      <c r="X159" s="143"/>
      <c r="Y159" s="143"/>
      <c r="Z159" s="143"/>
    </row>
    <row r="160" spans="7:26"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72"/>
      <c r="U160" s="143"/>
      <c r="V160" s="143"/>
      <c r="W160" s="143"/>
      <c r="X160" s="143"/>
      <c r="Y160" s="143"/>
      <c r="Z160" s="143"/>
    </row>
    <row r="161" spans="7:26"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72"/>
      <c r="U161" s="143"/>
      <c r="V161" s="143"/>
      <c r="W161" s="143"/>
      <c r="X161" s="143"/>
      <c r="Y161" s="143"/>
      <c r="Z161" s="143"/>
    </row>
    <row r="162" spans="7:26"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72"/>
      <c r="U162" s="143"/>
      <c r="V162" s="143"/>
      <c r="W162" s="143"/>
      <c r="X162" s="143"/>
      <c r="Y162" s="143"/>
      <c r="Z162" s="143"/>
    </row>
    <row r="163" spans="7:26"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72"/>
      <c r="U163" s="143"/>
      <c r="V163" s="143"/>
      <c r="W163" s="143"/>
      <c r="X163" s="143"/>
      <c r="Y163" s="143"/>
      <c r="Z163" s="143"/>
    </row>
    <row r="164" spans="7:26"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72"/>
      <c r="U164" s="143"/>
      <c r="V164" s="143"/>
      <c r="W164" s="143"/>
      <c r="X164" s="143"/>
      <c r="Y164" s="143"/>
      <c r="Z164" s="143"/>
    </row>
    <row r="165" spans="7:26"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72"/>
      <c r="U165" s="143"/>
      <c r="V165" s="143"/>
      <c r="W165" s="143"/>
      <c r="X165" s="143"/>
      <c r="Y165" s="143"/>
      <c r="Z165" s="143"/>
    </row>
    <row r="166" spans="7:26"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72"/>
      <c r="U166" s="143"/>
      <c r="V166" s="143"/>
      <c r="W166" s="143"/>
      <c r="X166" s="143"/>
      <c r="Y166" s="143"/>
      <c r="Z166" s="143"/>
    </row>
    <row r="167" spans="7:26"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72"/>
      <c r="U167" s="143"/>
      <c r="V167" s="143"/>
      <c r="W167" s="143"/>
      <c r="X167" s="143"/>
      <c r="Y167" s="143"/>
      <c r="Z167" s="143"/>
    </row>
    <row r="168" spans="7:26"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72"/>
      <c r="U168" s="143"/>
      <c r="V168" s="143"/>
      <c r="W168" s="143"/>
      <c r="X168" s="143"/>
      <c r="Y168" s="143"/>
      <c r="Z168" s="143"/>
    </row>
    <row r="169" spans="7:26"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72"/>
      <c r="U169" s="143"/>
      <c r="V169" s="143"/>
      <c r="W169" s="143"/>
      <c r="X169" s="143"/>
      <c r="Y169" s="143"/>
      <c r="Z169" s="143"/>
    </row>
    <row r="170" spans="7:26"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72"/>
      <c r="U170" s="143"/>
      <c r="V170" s="143"/>
      <c r="W170" s="143"/>
      <c r="X170" s="143"/>
      <c r="Y170" s="143"/>
      <c r="Z170" s="143"/>
    </row>
    <row r="171" spans="7:26"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72"/>
      <c r="U171" s="143"/>
      <c r="V171" s="143"/>
      <c r="W171" s="143"/>
      <c r="X171" s="143"/>
      <c r="Y171" s="143"/>
      <c r="Z171" s="143"/>
    </row>
    <row r="172" spans="7:26"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72"/>
      <c r="U172" s="143"/>
      <c r="V172" s="143"/>
      <c r="W172" s="143"/>
      <c r="X172" s="143"/>
      <c r="Y172" s="143"/>
      <c r="Z172" s="143"/>
    </row>
    <row r="173" spans="7:26"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72"/>
      <c r="U173" s="143"/>
      <c r="V173" s="143"/>
      <c r="W173" s="143"/>
      <c r="X173" s="143"/>
      <c r="Y173" s="143"/>
      <c r="Z173" s="143"/>
    </row>
    <row r="174" spans="7:26"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72"/>
      <c r="U174" s="143"/>
      <c r="V174" s="143"/>
      <c r="W174" s="143"/>
      <c r="X174" s="143"/>
      <c r="Y174" s="143"/>
      <c r="Z174" s="143"/>
    </row>
    <row r="175" spans="7:26"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72"/>
      <c r="U175" s="143"/>
      <c r="V175" s="143"/>
      <c r="W175" s="143"/>
      <c r="X175" s="143"/>
      <c r="Y175" s="143"/>
      <c r="Z175" s="143"/>
    </row>
    <row r="176" spans="7:26"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72"/>
      <c r="U176" s="143"/>
      <c r="V176" s="143"/>
      <c r="W176" s="143"/>
      <c r="X176" s="143"/>
      <c r="Y176" s="143"/>
      <c r="Z176" s="143"/>
    </row>
    <row r="177" spans="7:26"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72"/>
      <c r="U177" s="143"/>
      <c r="V177" s="143"/>
      <c r="W177" s="143"/>
      <c r="X177" s="143"/>
      <c r="Y177" s="143"/>
      <c r="Z177" s="143"/>
    </row>
    <row r="178" spans="7:26"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72"/>
      <c r="U178" s="143"/>
      <c r="V178" s="143"/>
      <c r="W178" s="143"/>
      <c r="X178" s="143"/>
      <c r="Y178" s="143"/>
      <c r="Z178" s="143"/>
    </row>
    <row r="179" spans="7:26"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72"/>
      <c r="U179" s="143"/>
      <c r="V179" s="143"/>
      <c r="W179" s="143"/>
      <c r="X179" s="143"/>
      <c r="Y179" s="143"/>
      <c r="Z179" s="143"/>
    </row>
    <row r="180" spans="7:26"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72"/>
      <c r="U180" s="143"/>
      <c r="V180" s="143"/>
      <c r="W180" s="143"/>
      <c r="X180" s="143"/>
      <c r="Y180" s="143"/>
      <c r="Z180" s="143"/>
    </row>
    <row r="181" spans="7:26"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72"/>
      <c r="U181" s="143"/>
      <c r="V181" s="143"/>
      <c r="W181" s="143"/>
      <c r="X181" s="143"/>
      <c r="Y181" s="143"/>
      <c r="Z181" s="143"/>
    </row>
    <row r="182" spans="7:26"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72"/>
      <c r="U182" s="143"/>
      <c r="V182" s="143"/>
      <c r="W182" s="143"/>
      <c r="X182" s="143"/>
      <c r="Y182" s="143"/>
      <c r="Z182" s="143"/>
    </row>
    <row r="183" spans="7:26"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72"/>
      <c r="U183" s="143"/>
      <c r="V183" s="143"/>
      <c r="W183" s="143"/>
      <c r="X183" s="143"/>
      <c r="Y183" s="143"/>
      <c r="Z183" s="143"/>
    </row>
    <row r="184" spans="7:26"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72"/>
      <c r="U184" s="143"/>
      <c r="V184" s="143"/>
      <c r="W184" s="143"/>
      <c r="X184" s="143"/>
      <c r="Y184" s="143"/>
      <c r="Z184" s="143"/>
    </row>
    <row r="185" spans="7:26"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72"/>
      <c r="U185" s="143"/>
      <c r="V185" s="143"/>
      <c r="W185" s="143"/>
      <c r="X185" s="143"/>
      <c r="Y185" s="143"/>
      <c r="Z185" s="143"/>
    </row>
    <row r="186" spans="7:26"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72"/>
      <c r="U186" s="143"/>
      <c r="V186" s="143"/>
      <c r="W186" s="143"/>
      <c r="X186" s="143"/>
      <c r="Y186" s="143"/>
      <c r="Z186" s="143"/>
    </row>
    <row r="187" spans="7:26"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72"/>
      <c r="U187" s="143"/>
      <c r="V187" s="143"/>
      <c r="W187" s="143"/>
      <c r="X187" s="143"/>
      <c r="Y187" s="143"/>
      <c r="Z187" s="143"/>
    </row>
    <row r="188" spans="7:26"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72"/>
      <c r="U188" s="143"/>
      <c r="V188" s="143"/>
      <c r="W188" s="143"/>
      <c r="X188" s="143"/>
      <c r="Y188" s="143"/>
      <c r="Z188" s="143"/>
    </row>
    <row r="189" spans="7:26"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72"/>
      <c r="U189" s="143"/>
      <c r="V189" s="143"/>
      <c r="W189" s="143"/>
      <c r="X189" s="143"/>
      <c r="Y189" s="143"/>
      <c r="Z189" s="143"/>
    </row>
    <row r="190" spans="7:26"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72"/>
      <c r="U190" s="143"/>
      <c r="V190" s="143"/>
      <c r="W190" s="143"/>
      <c r="X190" s="143"/>
      <c r="Y190" s="143"/>
      <c r="Z190" s="143"/>
    </row>
    <row r="191" spans="7:26"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72"/>
      <c r="U191" s="143"/>
      <c r="V191" s="143"/>
      <c r="W191" s="143"/>
      <c r="X191" s="143"/>
      <c r="Y191" s="143"/>
      <c r="Z191" s="143"/>
    </row>
    <row r="192" spans="7:26"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72"/>
      <c r="U192" s="143"/>
      <c r="V192" s="143"/>
      <c r="W192" s="143"/>
      <c r="X192" s="143"/>
      <c r="Y192" s="143"/>
      <c r="Z192" s="143"/>
    </row>
    <row r="193" spans="7:26"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72"/>
      <c r="U193" s="143"/>
      <c r="V193" s="143"/>
      <c r="W193" s="143"/>
      <c r="X193" s="143"/>
      <c r="Y193" s="143"/>
      <c r="Z193" s="143"/>
    </row>
    <row r="194" spans="7:26"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72"/>
      <c r="U194" s="143"/>
      <c r="V194" s="143"/>
      <c r="W194" s="143"/>
      <c r="X194" s="143"/>
      <c r="Y194" s="143"/>
      <c r="Z194" s="143"/>
    </row>
    <row r="195" spans="7:26"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72"/>
      <c r="U195" s="143"/>
      <c r="V195" s="143"/>
      <c r="W195" s="143"/>
      <c r="X195" s="143"/>
      <c r="Y195" s="143"/>
      <c r="Z195" s="143"/>
    </row>
    <row r="196" spans="7:26"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72"/>
      <c r="U196" s="143"/>
      <c r="V196" s="143"/>
      <c r="W196" s="143"/>
      <c r="X196" s="143"/>
      <c r="Y196" s="143"/>
      <c r="Z196" s="143"/>
    </row>
    <row r="197" spans="7:26"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72"/>
      <c r="U197" s="143"/>
      <c r="V197" s="143"/>
      <c r="W197" s="143"/>
      <c r="X197" s="143"/>
      <c r="Y197" s="143"/>
      <c r="Z197" s="143"/>
    </row>
    <row r="198" spans="7:26"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72"/>
      <c r="U198" s="143"/>
      <c r="V198" s="143"/>
      <c r="W198" s="143"/>
      <c r="X198" s="143"/>
      <c r="Y198" s="143"/>
      <c r="Z198" s="143"/>
    </row>
    <row r="199" spans="7:26"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72"/>
      <c r="U199" s="143"/>
      <c r="V199" s="143"/>
      <c r="W199" s="143"/>
      <c r="X199" s="143"/>
      <c r="Y199" s="143"/>
      <c r="Z199" s="143"/>
    </row>
    <row r="200" spans="7:26"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72"/>
      <c r="U200" s="143"/>
      <c r="V200" s="143"/>
      <c r="W200" s="143"/>
      <c r="X200" s="143"/>
      <c r="Y200" s="143"/>
      <c r="Z200" s="143"/>
    </row>
    <row r="201" spans="7:26"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72"/>
      <c r="U201" s="143"/>
      <c r="V201" s="143"/>
      <c r="W201" s="143"/>
      <c r="X201" s="143"/>
      <c r="Y201" s="143"/>
      <c r="Z201" s="143"/>
    </row>
    <row r="202" spans="7:26"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72"/>
      <c r="U202" s="143"/>
      <c r="V202" s="143"/>
      <c r="W202" s="143"/>
      <c r="X202" s="143"/>
      <c r="Y202" s="143"/>
      <c r="Z202" s="143"/>
    </row>
    <row r="203" spans="7:26"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72"/>
      <c r="U203" s="143"/>
      <c r="V203" s="143"/>
      <c r="W203" s="143"/>
      <c r="X203" s="143"/>
      <c r="Y203" s="143"/>
      <c r="Z203" s="143"/>
    </row>
    <row r="204" spans="7:26"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72"/>
      <c r="U204" s="143"/>
      <c r="V204" s="143"/>
      <c r="W204" s="143"/>
      <c r="X204" s="143"/>
      <c r="Y204" s="143"/>
      <c r="Z204" s="143"/>
    </row>
    <row r="205" spans="7:26"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72"/>
      <c r="U205" s="143"/>
      <c r="V205" s="143"/>
      <c r="W205" s="143"/>
      <c r="X205" s="143"/>
      <c r="Y205" s="143"/>
      <c r="Z205" s="143"/>
    </row>
    <row r="206" spans="7:26"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72"/>
      <c r="U206" s="143"/>
      <c r="V206" s="143"/>
      <c r="W206" s="143"/>
      <c r="X206" s="143"/>
      <c r="Y206" s="143"/>
      <c r="Z206" s="143"/>
    </row>
    <row r="207" spans="7:26"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72"/>
      <c r="U207" s="143"/>
      <c r="V207" s="143"/>
      <c r="W207" s="143"/>
      <c r="X207" s="143"/>
      <c r="Y207" s="143"/>
      <c r="Z207" s="143"/>
    </row>
    <row r="208" spans="7:26"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72"/>
      <c r="U208" s="143"/>
      <c r="V208" s="143"/>
      <c r="W208" s="143"/>
      <c r="X208" s="143"/>
      <c r="Y208" s="143"/>
      <c r="Z208" s="143"/>
    </row>
    <row r="209" spans="7:26"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72"/>
      <c r="U209" s="143"/>
      <c r="V209" s="143"/>
      <c r="W209" s="143"/>
      <c r="X209" s="143"/>
      <c r="Y209" s="143"/>
      <c r="Z209" s="143"/>
    </row>
    <row r="210" spans="7:26"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72"/>
      <c r="U210" s="143"/>
      <c r="V210" s="143"/>
      <c r="W210" s="143"/>
      <c r="X210" s="143"/>
      <c r="Y210" s="143"/>
      <c r="Z210" s="143"/>
    </row>
    <row r="211" spans="7:26"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72"/>
      <c r="U211" s="143"/>
      <c r="V211" s="143"/>
      <c r="W211" s="143"/>
      <c r="X211" s="143"/>
      <c r="Y211" s="143"/>
      <c r="Z211" s="143"/>
    </row>
    <row r="212" spans="7:26"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72"/>
      <c r="U212" s="143"/>
      <c r="V212" s="143"/>
      <c r="W212" s="143"/>
      <c r="X212" s="143"/>
      <c r="Y212" s="143"/>
      <c r="Z212" s="143"/>
    </row>
    <row r="213" spans="7:26"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72"/>
      <c r="U213" s="143"/>
      <c r="V213" s="143"/>
      <c r="W213" s="143"/>
      <c r="X213" s="143"/>
      <c r="Y213" s="143"/>
      <c r="Z213" s="143"/>
    </row>
    <row r="214" spans="7:26"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72"/>
      <c r="U214" s="143"/>
      <c r="V214" s="143"/>
      <c r="W214" s="143"/>
      <c r="X214" s="143"/>
      <c r="Y214" s="143"/>
      <c r="Z214" s="143"/>
    </row>
    <row r="215" spans="7:26"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72"/>
      <c r="U215" s="143"/>
      <c r="V215" s="143"/>
      <c r="W215" s="143"/>
      <c r="X215" s="143"/>
      <c r="Y215" s="143"/>
      <c r="Z215" s="143"/>
    </row>
    <row r="216" spans="7:26"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72"/>
      <c r="U216" s="143"/>
      <c r="V216" s="143"/>
      <c r="W216" s="143"/>
      <c r="X216" s="143"/>
      <c r="Y216" s="143"/>
      <c r="Z216" s="143"/>
    </row>
    <row r="217" spans="7:26"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72"/>
      <c r="U217" s="143"/>
      <c r="V217" s="143"/>
      <c r="W217" s="143"/>
      <c r="X217" s="143"/>
      <c r="Y217" s="143"/>
      <c r="Z217" s="143"/>
    </row>
    <row r="218" spans="7:26"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72"/>
      <c r="U218" s="143"/>
      <c r="V218" s="143"/>
      <c r="W218" s="143"/>
      <c r="X218" s="143"/>
      <c r="Y218" s="143"/>
      <c r="Z218" s="143"/>
    </row>
    <row r="219" spans="7:26"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72"/>
      <c r="U219" s="143"/>
      <c r="V219" s="143"/>
      <c r="W219" s="143"/>
      <c r="X219" s="143"/>
      <c r="Y219" s="143"/>
      <c r="Z219" s="143"/>
    </row>
    <row r="220" spans="7:26"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72"/>
      <c r="U220" s="143"/>
      <c r="V220" s="143"/>
      <c r="W220" s="143"/>
      <c r="X220" s="143"/>
      <c r="Y220" s="143"/>
      <c r="Z220" s="143"/>
    </row>
    <row r="221" spans="7:26"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72"/>
      <c r="U221" s="143"/>
      <c r="V221" s="143"/>
      <c r="W221" s="143"/>
      <c r="X221" s="143"/>
      <c r="Y221" s="143"/>
      <c r="Z221" s="143"/>
    </row>
    <row r="222" spans="7:26"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72"/>
      <c r="U222" s="143"/>
      <c r="V222" s="143"/>
      <c r="W222" s="143"/>
      <c r="X222" s="143"/>
      <c r="Y222" s="143"/>
      <c r="Z222" s="143"/>
    </row>
    <row r="223" spans="7:26"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72"/>
      <c r="U223" s="143"/>
      <c r="V223" s="143"/>
      <c r="W223" s="143"/>
      <c r="X223" s="143"/>
      <c r="Y223" s="143"/>
      <c r="Z223" s="143"/>
    </row>
    <row r="224" spans="7:26"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72"/>
      <c r="U224" s="143"/>
      <c r="V224" s="143"/>
      <c r="W224" s="143"/>
      <c r="X224" s="143"/>
      <c r="Y224" s="143"/>
      <c r="Z224" s="143"/>
    </row>
    <row r="225" spans="7:26"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72"/>
      <c r="U225" s="143"/>
      <c r="V225" s="143"/>
      <c r="W225" s="143"/>
      <c r="X225" s="143"/>
      <c r="Y225" s="143"/>
      <c r="Z225" s="143"/>
    </row>
    <row r="226" spans="7:26"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72"/>
      <c r="U226" s="143"/>
      <c r="V226" s="143"/>
      <c r="W226" s="143"/>
      <c r="X226" s="143"/>
      <c r="Y226" s="143"/>
      <c r="Z226" s="143"/>
    </row>
    <row r="227" spans="7:26"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72"/>
      <c r="U227" s="143"/>
      <c r="V227" s="143"/>
      <c r="W227" s="143"/>
      <c r="X227" s="143"/>
      <c r="Y227" s="143"/>
      <c r="Z227" s="143"/>
    </row>
    <row r="228" spans="7:26"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72"/>
      <c r="U228" s="143"/>
      <c r="V228" s="143"/>
      <c r="W228" s="143"/>
      <c r="X228" s="143"/>
      <c r="Y228" s="143"/>
      <c r="Z228" s="143"/>
    </row>
    <row r="229" spans="7:26"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72"/>
      <c r="U229" s="143"/>
      <c r="V229" s="143"/>
      <c r="W229" s="143"/>
      <c r="X229" s="143"/>
      <c r="Y229" s="143"/>
      <c r="Z229" s="143"/>
    </row>
    <row r="230" spans="7:26"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72"/>
      <c r="U230" s="143"/>
      <c r="V230" s="143"/>
      <c r="W230" s="143"/>
      <c r="X230" s="143"/>
      <c r="Y230" s="143"/>
      <c r="Z230" s="143"/>
    </row>
    <row r="231" spans="7:26"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72"/>
      <c r="U231" s="143"/>
      <c r="V231" s="143"/>
      <c r="W231" s="143"/>
      <c r="X231" s="143"/>
      <c r="Y231" s="143"/>
      <c r="Z231" s="143"/>
    </row>
    <row r="232" spans="7:26"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72"/>
      <c r="U232" s="143"/>
      <c r="V232" s="143"/>
      <c r="W232" s="143"/>
      <c r="X232" s="143"/>
      <c r="Y232" s="143"/>
      <c r="Z232" s="143"/>
    </row>
    <row r="233" spans="7:26"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72"/>
      <c r="U233" s="143"/>
      <c r="V233" s="143"/>
      <c r="W233" s="143"/>
      <c r="X233" s="143"/>
      <c r="Y233" s="143"/>
      <c r="Z233" s="143"/>
    </row>
    <row r="234" spans="7:26"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72"/>
      <c r="U234" s="143"/>
      <c r="V234" s="143"/>
      <c r="W234" s="143"/>
      <c r="X234" s="143"/>
      <c r="Y234" s="143"/>
      <c r="Z234" s="143"/>
    </row>
    <row r="235" spans="7:26"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72"/>
      <c r="U235" s="143"/>
      <c r="V235" s="143"/>
      <c r="W235" s="143"/>
      <c r="X235" s="143"/>
      <c r="Y235" s="143"/>
      <c r="Z235" s="143"/>
    </row>
    <row r="236" spans="7:26"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72"/>
      <c r="U236" s="143"/>
      <c r="V236" s="143"/>
      <c r="W236" s="143"/>
      <c r="X236" s="143"/>
      <c r="Y236" s="143"/>
      <c r="Z236" s="143"/>
    </row>
    <row r="237" spans="7:26"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72"/>
      <c r="U237" s="143"/>
      <c r="V237" s="143"/>
      <c r="W237" s="143"/>
      <c r="X237" s="143"/>
      <c r="Y237" s="143"/>
      <c r="Z237" s="143"/>
    </row>
    <row r="238" spans="7:26"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72"/>
      <c r="U238" s="143"/>
      <c r="V238" s="143"/>
      <c r="W238" s="143"/>
      <c r="X238" s="143"/>
      <c r="Y238" s="143"/>
      <c r="Z238" s="143"/>
    </row>
    <row r="239" spans="7:26"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72"/>
      <c r="U239" s="143"/>
      <c r="V239" s="143"/>
      <c r="W239" s="143"/>
      <c r="X239" s="143"/>
      <c r="Y239" s="143"/>
      <c r="Z239" s="143"/>
    </row>
    <row r="240" spans="7:26"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72"/>
      <c r="U240" s="143"/>
      <c r="V240" s="143"/>
      <c r="W240" s="143"/>
      <c r="X240" s="143"/>
      <c r="Y240" s="143"/>
      <c r="Z240" s="143"/>
    </row>
    <row r="241" spans="7:26"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72"/>
      <c r="U241" s="143"/>
      <c r="V241" s="143"/>
      <c r="W241" s="143"/>
      <c r="X241" s="143"/>
      <c r="Y241" s="143"/>
      <c r="Z241" s="143"/>
    </row>
    <row r="242" spans="7:26"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72"/>
      <c r="U242" s="143"/>
      <c r="V242" s="143"/>
      <c r="W242" s="143"/>
      <c r="X242" s="143"/>
      <c r="Y242" s="143"/>
      <c r="Z242" s="143"/>
    </row>
    <row r="243" spans="7:26"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72"/>
      <c r="U243" s="143"/>
      <c r="V243" s="143"/>
      <c r="W243" s="143"/>
      <c r="X243" s="143"/>
      <c r="Y243" s="143"/>
      <c r="Z243" s="143"/>
    </row>
    <row r="244" spans="7:26"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72"/>
      <c r="U244" s="143"/>
      <c r="V244" s="143"/>
      <c r="W244" s="143"/>
      <c r="X244" s="143"/>
      <c r="Y244" s="143"/>
      <c r="Z244" s="143"/>
    </row>
    <row r="245" spans="7:26"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72"/>
      <c r="U245" s="143"/>
      <c r="V245" s="143"/>
      <c r="W245" s="143"/>
      <c r="X245" s="143"/>
      <c r="Y245" s="143"/>
      <c r="Z245" s="143"/>
    </row>
    <row r="246" spans="7:26"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72"/>
      <c r="U246" s="143"/>
      <c r="V246" s="143"/>
      <c r="W246" s="143"/>
      <c r="X246" s="143"/>
      <c r="Y246" s="143"/>
      <c r="Z246" s="143"/>
    </row>
    <row r="247" spans="7:26"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72"/>
      <c r="U247" s="143"/>
      <c r="V247" s="143"/>
      <c r="W247" s="143"/>
      <c r="X247" s="143"/>
      <c r="Y247" s="143"/>
      <c r="Z247" s="143"/>
    </row>
    <row r="248" spans="7:26"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72"/>
      <c r="U248" s="143"/>
      <c r="V248" s="143"/>
      <c r="W248" s="143"/>
      <c r="X248" s="143"/>
      <c r="Y248" s="143"/>
      <c r="Z248" s="143"/>
    </row>
    <row r="249" spans="7:26"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72"/>
      <c r="U249" s="143"/>
      <c r="V249" s="143"/>
      <c r="W249" s="143"/>
      <c r="X249" s="143"/>
      <c r="Y249" s="143"/>
      <c r="Z249" s="143"/>
    </row>
    <row r="250" spans="7:26"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72"/>
      <c r="U250" s="143"/>
      <c r="V250" s="143"/>
      <c r="W250" s="143"/>
      <c r="X250" s="143"/>
      <c r="Y250" s="143"/>
      <c r="Z250" s="143"/>
    </row>
    <row r="251" spans="7:26"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72"/>
      <c r="U251" s="143"/>
      <c r="V251" s="143"/>
      <c r="W251" s="143"/>
      <c r="X251" s="143"/>
      <c r="Y251" s="143"/>
      <c r="Z251" s="143"/>
    </row>
    <row r="252" spans="7:26"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72"/>
      <c r="U252" s="143"/>
      <c r="V252" s="143"/>
      <c r="W252" s="143"/>
      <c r="X252" s="143"/>
      <c r="Y252" s="143"/>
      <c r="Z252" s="143"/>
    </row>
    <row r="253" spans="7:26"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72"/>
      <c r="U253" s="143"/>
      <c r="V253" s="143"/>
      <c r="W253" s="143"/>
      <c r="X253" s="143"/>
      <c r="Y253" s="143"/>
      <c r="Z253" s="143"/>
    </row>
    <row r="254" spans="7:26"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72"/>
      <c r="U254" s="143"/>
      <c r="V254" s="143"/>
      <c r="W254" s="143"/>
      <c r="X254" s="143"/>
      <c r="Y254" s="143"/>
      <c r="Z254" s="143"/>
    </row>
    <row r="255" spans="7:26"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72"/>
      <c r="U255" s="143"/>
      <c r="V255" s="143"/>
      <c r="W255" s="143"/>
      <c r="X255" s="143"/>
      <c r="Y255" s="143"/>
      <c r="Z255" s="143"/>
    </row>
    <row r="256" spans="7:26"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72"/>
      <c r="U256" s="143"/>
      <c r="V256" s="143"/>
      <c r="W256" s="143"/>
      <c r="X256" s="143"/>
      <c r="Y256" s="143"/>
      <c r="Z256" s="143"/>
    </row>
    <row r="257" spans="7:26"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72"/>
      <c r="U257" s="143"/>
      <c r="V257" s="143"/>
      <c r="W257" s="143"/>
      <c r="X257" s="143"/>
      <c r="Y257" s="143"/>
      <c r="Z257" s="143"/>
    </row>
    <row r="258" spans="7:26"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72"/>
      <c r="U258" s="143"/>
      <c r="V258" s="143"/>
      <c r="W258" s="143"/>
      <c r="X258" s="143"/>
      <c r="Y258" s="143"/>
      <c r="Z258" s="143"/>
    </row>
    <row r="259" spans="7:26"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72"/>
      <c r="U259" s="143"/>
      <c r="V259" s="143"/>
      <c r="W259" s="143"/>
      <c r="X259" s="143"/>
      <c r="Y259" s="143"/>
      <c r="Z259" s="143"/>
    </row>
    <row r="260" spans="7:26"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72"/>
      <c r="U260" s="143"/>
      <c r="V260" s="143"/>
      <c r="W260" s="143"/>
      <c r="X260" s="143"/>
      <c r="Y260" s="143"/>
      <c r="Z260" s="143"/>
    </row>
    <row r="261" spans="7:26"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72"/>
      <c r="U261" s="143"/>
      <c r="V261" s="143"/>
      <c r="W261" s="143"/>
      <c r="X261" s="143"/>
      <c r="Y261" s="143"/>
      <c r="Z261" s="143"/>
    </row>
    <row r="262" spans="7:26"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72"/>
      <c r="U262" s="143"/>
      <c r="V262" s="143"/>
      <c r="W262" s="143"/>
      <c r="X262" s="143"/>
      <c r="Y262" s="143"/>
      <c r="Z262" s="143"/>
    </row>
    <row r="263" spans="7:26"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72"/>
      <c r="U263" s="143"/>
      <c r="V263" s="143"/>
      <c r="W263" s="143"/>
      <c r="X263" s="143"/>
      <c r="Y263" s="143"/>
      <c r="Z263" s="143"/>
    </row>
    <row r="264" spans="7:26"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72"/>
      <c r="U264" s="143"/>
      <c r="V264" s="143"/>
      <c r="W264" s="143"/>
      <c r="X264" s="143"/>
      <c r="Y264" s="143"/>
      <c r="Z264" s="143"/>
    </row>
    <row r="265" spans="7:26"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72"/>
      <c r="U265" s="143"/>
      <c r="V265" s="143"/>
      <c r="W265" s="143"/>
      <c r="X265" s="143"/>
      <c r="Y265" s="143"/>
      <c r="Z265" s="143"/>
    </row>
    <row r="266" spans="7:26"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72"/>
      <c r="U266" s="143"/>
      <c r="V266" s="143"/>
      <c r="W266" s="143"/>
      <c r="X266" s="143"/>
      <c r="Y266" s="143"/>
      <c r="Z266" s="143"/>
    </row>
    <row r="267" spans="7:26"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72"/>
      <c r="U267" s="143"/>
      <c r="V267" s="143"/>
      <c r="W267" s="143"/>
      <c r="X267" s="143"/>
      <c r="Y267" s="143"/>
      <c r="Z267" s="143"/>
    </row>
    <row r="268" spans="7:26"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72"/>
      <c r="U268" s="143"/>
      <c r="V268" s="143"/>
      <c r="W268" s="143"/>
      <c r="X268" s="143"/>
      <c r="Y268" s="143"/>
      <c r="Z268" s="143"/>
    </row>
    <row r="269" spans="7:26"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72"/>
      <c r="U269" s="143"/>
      <c r="V269" s="143"/>
      <c r="W269" s="143"/>
      <c r="X269" s="143"/>
      <c r="Y269" s="143"/>
      <c r="Z269" s="143"/>
    </row>
    <row r="270" spans="7:26"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72"/>
      <c r="U270" s="143"/>
      <c r="V270" s="143"/>
      <c r="W270" s="143"/>
      <c r="X270" s="143"/>
      <c r="Y270" s="143"/>
      <c r="Z270" s="143"/>
    </row>
    <row r="271" spans="7:26"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72"/>
      <c r="U271" s="143"/>
      <c r="V271" s="143"/>
      <c r="W271" s="143"/>
      <c r="X271" s="143"/>
      <c r="Y271" s="143"/>
      <c r="Z271" s="143"/>
    </row>
    <row r="272" spans="7:26"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72"/>
      <c r="U272" s="143"/>
      <c r="V272" s="143"/>
      <c r="W272" s="143"/>
      <c r="X272" s="143"/>
      <c r="Y272" s="143"/>
      <c r="Z272" s="143"/>
    </row>
    <row r="273" spans="7:26"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72"/>
      <c r="U273" s="143"/>
      <c r="V273" s="143"/>
      <c r="W273" s="143"/>
      <c r="X273" s="143"/>
      <c r="Y273" s="143"/>
      <c r="Z273" s="143"/>
    </row>
    <row r="274" spans="7:26"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72"/>
      <c r="U274" s="143"/>
      <c r="V274" s="143"/>
      <c r="W274" s="143"/>
      <c r="X274" s="143"/>
      <c r="Y274" s="143"/>
      <c r="Z274" s="143"/>
    </row>
    <row r="275" spans="7:26"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72"/>
      <c r="U275" s="143"/>
      <c r="V275" s="143"/>
      <c r="W275" s="143"/>
      <c r="X275" s="143"/>
      <c r="Y275" s="143"/>
      <c r="Z275" s="143"/>
    </row>
    <row r="276" spans="7:26"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72"/>
      <c r="U276" s="143"/>
      <c r="V276" s="143"/>
      <c r="W276" s="143"/>
      <c r="X276" s="143"/>
      <c r="Y276" s="143"/>
      <c r="Z276" s="143"/>
    </row>
    <row r="277" spans="7:26"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72"/>
      <c r="U277" s="143"/>
      <c r="V277" s="143"/>
      <c r="W277" s="143"/>
      <c r="X277" s="143"/>
      <c r="Y277" s="143"/>
      <c r="Z277" s="143"/>
    </row>
    <row r="278" spans="7:26"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72"/>
      <c r="U278" s="143"/>
      <c r="V278" s="143"/>
      <c r="W278" s="143"/>
      <c r="X278" s="143"/>
      <c r="Y278" s="143"/>
      <c r="Z278" s="143"/>
    </row>
    <row r="279" spans="7:26"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72"/>
      <c r="U279" s="143"/>
      <c r="V279" s="143"/>
      <c r="W279" s="143"/>
      <c r="X279" s="143"/>
      <c r="Y279" s="143"/>
      <c r="Z279" s="143"/>
    </row>
    <row r="280" spans="7:26"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72"/>
      <c r="U280" s="143"/>
      <c r="V280" s="143"/>
      <c r="W280" s="143"/>
      <c r="X280" s="143"/>
      <c r="Y280" s="143"/>
      <c r="Z280" s="143"/>
    </row>
    <row r="281" spans="7:26"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72"/>
      <c r="U281" s="143"/>
      <c r="V281" s="143"/>
      <c r="W281" s="143"/>
      <c r="X281" s="143"/>
      <c r="Y281" s="143"/>
      <c r="Z281" s="143"/>
    </row>
    <row r="282" spans="7:26"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72"/>
      <c r="U282" s="143"/>
      <c r="V282" s="143"/>
      <c r="W282" s="143"/>
      <c r="X282" s="143"/>
      <c r="Y282" s="143"/>
      <c r="Z282" s="143"/>
    </row>
    <row r="283" spans="7:26"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72"/>
      <c r="U283" s="143"/>
      <c r="V283" s="143"/>
      <c r="W283" s="143"/>
      <c r="X283" s="143"/>
      <c r="Y283" s="143"/>
      <c r="Z283" s="143"/>
    </row>
    <row r="284" spans="7:26"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72"/>
      <c r="U284" s="143"/>
      <c r="V284" s="143"/>
      <c r="W284" s="143"/>
      <c r="X284" s="143"/>
      <c r="Y284" s="143"/>
      <c r="Z284" s="143"/>
    </row>
    <row r="285" spans="7:26"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72"/>
      <c r="U285" s="143"/>
      <c r="V285" s="143"/>
      <c r="W285" s="143"/>
      <c r="X285" s="143"/>
      <c r="Y285" s="143"/>
      <c r="Z285" s="143"/>
    </row>
    <row r="286" spans="7:26"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72"/>
      <c r="U286" s="143"/>
      <c r="V286" s="143"/>
      <c r="W286" s="143"/>
      <c r="X286" s="143"/>
      <c r="Y286" s="143"/>
      <c r="Z286" s="143"/>
    </row>
    <row r="287" spans="7:26"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72"/>
      <c r="U287" s="143"/>
      <c r="V287" s="143"/>
      <c r="W287" s="143"/>
      <c r="X287" s="143"/>
      <c r="Y287" s="143"/>
      <c r="Z287" s="143"/>
    </row>
    <row r="288" spans="7:26"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72"/>
      <c r="U288" s="143"/>
      <c r="V288" s="143"/>
      <c r="W288" s="143"/>
      <c r="X288" s="143"/>
      <c r="Y288" s="143"/>
      <c r="Z288" s="143"/>
    </row>
    <row r="289" spans="7:26"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72"/>
      <c r="U289" s="143"/>
      <c r="V289" s="143"/>
      <c r="W289" s="143"/>
      <c r="X289" s="143"/>
      <c r="Y289" s="143"/>
      <c r="Z289" s="143"/>
    </row>
    <row r="290" spans="7:26"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72"/>
      <c r="U290" s="143"/>
      <c r="V290" s="143"/>
      <c r="W290" s="143"/>
      <c r="X290" s="143"/>
      <c r="Y290" s="143"/>
      <c r="Z290" s="143"/>
    </row>
    <row r="291" spans="7:26"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72"/>
      <c r="U291" s="143"/>
      <c r="V291" s="143"/>
      <c r="W291" s="143"/>
      <c r="X291" s="143"/>
      <c r="Y291" s="143"/>
      <c r="Z291" s="143"/>
    </row>
    <row r="292" spans="7:26"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72"/>
      <c r="U292" s="143"/>
      <c r="V292" s="143"/>
      <c r="W292" s="143"/>
      <c r="X292" s="143"/>
      <c r="Y292" s="143"/>
      <c r="Z292" s="143"/>
    </row>
    <row r="293" spans="7:26"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72"/>
      <c r="U293" s="143"/>
      <c r="V293" s="143"/>
      <c r="W293" s="143"/>
      <c r="X293" s="143"/>
      <c r="Y293" s="143"/>
      <c r="Z293" s="143"/>
    </row>
    <row r="294" spans="7:26"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72"/>
      <c r="U294" s="143"/>
      <c r="V294" s="143"/>
      <c r="W294" s="143"/>
      <c r="X294" s="143"/>
      <c r="Y294" s="143"/>
      <c r="Z294" s="143"/>
    </row>
    <row r="295" spans="7:26"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72"/>
      <c r="U295" s="143"/>
      <c r="V295" s="143"/>
      <c r="W295" s="143"/>
      <c r="X295" s="143"/>
      <c r="Y295" s="143"/>
      <c r="Z295" s="143"/>
    </row>
    <row r="296" spans="7:26"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72"/>
      <c r="U296" s="143"/>
      <c r="V296" s="143"/>
      <c r="W296" s="143"/>
      <c r="X296" s="143"/>
      <c r="Y296" s="143"/>
      <c r="Z296" s="143"/>
    </row>
    <row r="297" spans="7:26"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72"/>
      <c r="U297" s="143"/>
      <c r="V297" s="143"/>
      <c r="W297" s="143"/>
      <c r="X297" s="143"/>
      <c r="Y297" s="143"/>
      <c r="Z297" s="143"/>
    </row>
    <row r="298" spans="7:26"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72"/>
      <c r="U298" s="143"/>
      <c r="V298" s="143"/>
      <c r="W298" s="143"/>
      <c r="X298" s="143"/>
      <c r="Y298" s="143"/>
      <c r="Z298" s="143"/>
    </row>
    <row r="299" spans="7:26"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72"/>
      <c r="U299" s="143"/>
      <c r="V299" s="143"/>
      <c r="W299" s="143"/>
      <c r="X299" s="143"/>
      <c r="Y299" s="143"/>
      <c r="Z299" s="143"/>
    </row>
    <row r="300" spans="7:26"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72"/>
      <c r="U300" s="143"/>
      <c r="V300" s="143"/>
      <c r="W300" s="143"/>
      <c r="X300" s="143"/>
      <c r="Y300" s="143"/>
      <c r="Z300" s="143"/>
    </row>
    <row r="301" spans="7:26"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72"/>
      <c r="U301" s="143"/>
      <c r="V301" s="143"/>
      <c r="W301" s="143"/>
      <c r="X301" s="143"/>
      <c r="Y301" s="143"/>
      <c r="Z301" s="143"/>
    </row>
    <row r="302" spans="7:26"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72"/>
      <c r="U302" s="143"/>
      <c r="V302" s="143"/>
      <c r="W302" s="143"/>
      <c r="X302" s="143"/>
      <c r="Y302" s="143"/>
      <c r="Z302" s="143"/>
    </row>
    <row r="303" spans="7:26"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72"/>
      <c r="U303" s="143"/>
      <c r="V303" s="143"/>
      <c r="W303" s="143"/>
      <c r="X303" s="143"/>
      <c r="Y303" s="143"/>
      <c r="Z303" s="143"/>
    </row>
    <row r="304" spans="7:26"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72"/>
      <c r="U304" s="143"/>
      <c r="V304" s="143"/>
      <c r="W304" s="143"/>
      <c r="X304" s="143"/>
      <c r="Y304" s="143"/>
      <c r="Z304" s="143"/>
    </row>
    <row r="305" spans="7:26"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72"/>
      <c r="U305" s="143"/>
      <c r="V305" s="143"/>
      <c r="W305" s="143"/>
      <c r="X305" s="143"/>
      <c r="Y305" s="143"/>
      <c r="Z305" s="143"/>
    </row>
    <row r="306" spans="7:26"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72"/>
      <c r="U306" s="143"/>
      <c r="V306" s="143"/>
      <c r="W306" s="143"/>
      <c r="X306" s="143"/>
      <c r="Y306" s="143"/>
      <c r="Z306" s="143"/>
    </row>
    <row r="307" spans="7:26"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72"/>
      <c r="U307" s="143"/>
      <c r="V307" s="143"/>
      <c r="W307" s="143"/>
      <c r="X307" s="143"/>
      <c r="Y307" s="143"/>
      <c r="Z307" s="143"/>
    </row>
    <row r="308" spans="7:26"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72"/>
      <c r="U308" s="143"/>
      <c r="V308" s="143"/>
      <c r="W308" s="143"/>
      <c r="X308" s="143"/>
      <c r="Y308" s="143"/>
      <c r="Z308" s="143"/>
    </row>
    <row r="309" spans="7:26"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72"/>
      <c r="U309" s="143"/>
      <c r="V309" s="143"/>
      <c r="W309" s="143"/>
      <c r="X309" s="143"/>
      <c r="Y309" s="143"/>
      <c r="Z309" s="143"/>
    </row>
    <row r="310" spans="7:26"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72"/>
      <c r="U310" s="143"/>
      <c r="V310" s="143"/>
      <c r="W310" s="143"/>
      <c r="X310" s="143"/>
      <c r="Y310" s="143"/>
      <c r="Z310" s="143"/>
    </row>
    <row r="311" spans="7:26"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72"/>
      <c r="U311" s="143"/>
      <c r="V311" s="143"/>
      <c r="W311" s="143"/>
      <c r="X311" s="143"/>
      <c r="Y311" s="143"/>
      <c r="Z311" s="143"/>
    </row>
    <row r="312" spans="7:26"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72"/>
      <c r="U312" s="143"/>
      <c r="V312" s="143"/>
      <c r="W312" s="143"/>
      <c r="X312" s="143"/>
      <c r="Y312" s="143"/>
      <c r="Z312" s="143"/>
    </row>
    <row r="313" spans="7:26"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72"/>
      <c r="U313" s="143"/>
      <c r="V313" s="143"/>
      <c r="W313" s="143"/>
      <c r="X313" s="143"/>
      <c r="Y313" s="143"/>
      <c r="Z313" s="143"/>
    </row>
    <row r="314" spans="7:26"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72"/>
      <c r="U314" s="143"/>
      <c r="V314" s="143"/>
      <c r="W314" s="143"/>
      <c r="X314" s="143"/>
      <c r="Y314" s="143"/>
      <c r="Z314" s="143"/>
    </row>
    <row r="315" spans="7:26"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72"/>
      <c r="U315" s="143"/>
      <c r="V315" s="143"/>
      <c r="W315" s="143"/>
      <c r="X315" s="143"/>
      <c r="Y315" s="143"/>
      <c r="Z315" s="143"/>
    </row>
    <row r="316" spans="7:26"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72"/>
      <c r="U316" s="143"/>
      <c r="V316" s="143"/>
      <c r="W316" s="143"/>
      <c r="X316" s="143"/>
      <c r="Y316" s="143"/>
      <c r="Z316" s="143"/>
    </row>
    <row r="317" spans="7:26"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72"/>
      <c r="U317" s="143"/>
      <c r="V317" s="143"/>
      <c r="W317" s="143"/>
      <c r="X317" s="143"/>
      <c r="Y317" s="143"/>
      <c r="Z317" s="143"/>
    </row>
    <row r="318" spans="7:26"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72"/>
      <c r="U318" s="143"/>
      <c r="V318" s="143"/>
      <c r="W318" s="143"/>
      <c r="X318" s="143"/>
      <c r="Y318" s="143"/>
      <c r="Z318" s="143"/>
    </row>
    <row r="319" spans="7:26"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72"/>
      <c r="U319" s="143"/>
      <c r="V319" s="143"/>
      <c r="W319" s="143"/>
      <c r="X319" s="143"/>
      <c r="Y319" s="143"/>
      <c r="Z319" s="143"/>
    </row>
    <row r="320" spans="7:26"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72"/>
      <c r="U320" s="143"/>
      <c r="V320" s="143"/>
      <c r="W320" s="143"/>
      <c r="X320" s="143"/>
      <c r="Y320" s="143"/>
      <c r="Z320" s="143"/>
    </row>
    <row r="321" spans="7:26"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72"/>
      <c r="U321" s="143"/>
      <c r="V321" s="143"/>
      <c r="W321" s="143"/>
      <c r="X321" s="143"/>
      <c r="Y321" s="143"/>
      <c r="Z321" s="143"/>
    </row>
    <row r="322" spans="7:26"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72"/>
      <c r="U322" s="143"/>
      <c r="V322" s="143"/>
      <c r="W322" s="143"/>
      <c r="X322" s="143"/>
      <c r="Y322" s="143"/>
      <c r="Z322" s="143"/>
    </row>
    <row r="323" spans="7:26"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72"/>
      <c r="U323" s="143"/>
      <c r="V323" s="143"/>
      <c r="W323" s="143"/>
      <c r="X323" s="143"/>
      <c r="Y323" s="143"/>
      <c r="Z323" s="143"/>
    </row>
    <row r="324" spans="7:26"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72"/>
      <c r="U324" s="143"/>
      <c r="V324" s="143"/>
      <c r="W324" s="143"/>
      <c r="X324" s="143"/>
      <c r="Y324" s="143"/>
      <c r="Z324" s="143"/>
    </row>
    <row r="325" spans="7:26"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72"/>
      <c r="U325" s="143"/>
      <c r="V325" s="143"/>
      <c r="W325" s="143"/>
      <c r="X325" s="143"/>
      <c r="Y325" s="143"/>
      <c r="Z325" s="143"/>
    </row>
    <row r="326" spans="7:26"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72"/>
      <c r="U326" s="143"/>
      <c r="V326" s="143"/>
      <c r="W326" s="143"/>
      <c r="X326" s="143"/>
      <c r="Y326" s="143"/>
      <c r="Z326" s="143"/>
    </row>
    <row r="327" spans="7:26"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72"/>
      <c r="U327" s="143"/>
      <c r="V327" s="143"/>
      <c r="W327" s="143"/>
      <c r="X327" s="143"/>
      <c r="Y327" s="143"/>
      <c r="Z327" s="143"/>
    </row>
    <row r="328" spans="7:26"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72"/>
      <c r="U328" s="143"/>
      <c r="V328" s="143"/>
      <c r="W328" s="143"/>
      <c r="X328" s="143"/>
      <c r="Y328" s="143"/>
      <c r="Z328" s="143"/>
    </row>
    <row r="329" spans="7:26"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72"/>
      <c r="U329" s="143"/>
      <c r="V329" s="143"/>
      <c r="W329" s="143"/>
      <c r="X329" s="143"/>
      <c r="Y329" s="143"/>
      <c r="Z329" s="143"/>
    </row>
    <row r="330" spans="7:26"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72"/>
      <c r="U330" s="143"/>
      <c r="V330" s="143"/>
      <c r="W330" s="143"/>
      <c r="X330" s="143"/>
      <c r="Y330" s="143"/>
      <c r="Z330" s="143"/>
    </row>
    <row r="331" spans="7:26"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72"/>
      <c r="U331" s="143"/>
      <c r="V331" s="143"/>
      <c r="W331" s="143"/>
      <c r="X331" s="143"/>
      <c r="Y331" s="143"/>
      <c r="Z331" s="143"/>
    </row>
    <row r="332" spans="7:26"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72"/>
      <c r="U332" s="143"/>
      <c r="V332" s="143"/>
      <c r="W332" s="143"/>
      <c r="X332" s="143"/>
      <c r="Y332" s="143"/>
      <c r="Z332" s="143"/>
    </row>
    <row r="333" spans="7:26"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72"/>
      <c r="U333" s="143"/>
      <c r="V333" s="143"/>
      <c r="W333" s="143"/>
      <c r="X333" s="143"/>
      <c r="Y333" s="143"/>
      <c r="Z333" s="143"/>
    </row>
    <row r="334" spans="7:26"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72"/>
      <c r="U334" s="143"/>
      <c r="V334" s="143"/>
      <c r="W334" s="143"/>
      <c r="X334" s="143"/>
      <c r="Y334" s="143"/>
      <c r="Z334" s="143"/>
    </row>
    <row r="335" spans="7:26"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72"/>
      <c r="U335" s="143"/>
      <c r="V335" s="143"/>
      <c r="W335" s="143"/>
      <c r="X335" s="143"/>
      <c r="Y335" s="143"/>
      <c r="Z335" s="143"/>
    </row>
    <row r="336" spans="7:26"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72"/>
      <c r="U336" s="143"/>
      <c r="V336" s="143"/>
      <c r="W336" s="143"/>
      <c r="X336" s="143"/>
      <c r="Y336" s="143"/>
      <c r="Z336" s="143"/>
    </row>
    <row r="337" spans="7:26"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72"/>
      <c r="U337" s="143"/>
      <c r="V337" s="143"/>
      <c r="W337" s="143"/>
      <c r="X337" s="143"/>
      <c r="Y337" s="143"/>
      <c r="Z337" s="143"/>
    </row>
    <row r="338" spans="7:26"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72"/>
      <c r="U338" s="143"/>
      <c r="V338" s="143"/>
      <c r="W338" s="143"/>
      <c r="X338" s="143"/>
      <c r="Y338" s="143"/>
      <c r="Z338" s="143"/>
    </row>
    <row r="339" spans="7:26"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72"/>
      <c r="U339" s="143"/>
      <c r="V339" s="143"/>
      <c r="W339" s="143"/>
      <c r="X339" s="143"/>
      <c r="Y339" s="143"/>
      <c r="Z339" s="143"/>
    </row>
    <row r="340" spans="7:26"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72"/>
      <c r="U340" s="143"/>
      <c r="V340" s="143"/>
      <c r="W340" s="143"/>
      <c r="X340" s="143"/>
      <c r="Y340" s="143"/>
      <c r="Z340" s="143"/>
    </row>
    <row r="341" spans="7:26"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72"/>
      <c r="U341" s="143"/>
      <c r="V341" s="143"/>
      <c r="W341" s="143"/>
      <c r="X341" s="143"/>
      <c r="Y341" s="143"/>
      <c r="Z341" s="143"/>
    </row>
    <row r="342" spans="7:26"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72"/>
      <c r="U342" s="143"/>
      <c r="V342" s="143"/>
      <c r="W342" s="143"/>
      <c r="X342" s="143"/>
      <c r="Y342" s="143"/>
      <c r="Z342" s="143"/>
    </row>
    <row r="343" spans="7:26"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72"/>
      <c r="U343" s="143"/>
      <c r="V343" s="143"/>
      <c r="W343" s="143"/>
      <c r="X343" s="143"/>
      <c r="Y343" s="143"/>
      <c r="Z343" s="143"/>
    </row>
    <row r="344" spans="7:26"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72"/>
      <c r="U344" s="143"/>
      <c r="V344" s="143"/>
      <c r="W344" s="143"/>
      <c r="X344" s="143"/>
      <c r="Y344" s="143"/>
      <c r="Z344" s="143"/>
    </row>
    <row r="345" spans="7:26"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72"/>
      <c r="U345" s="143"/>
      <c r="V345" s="143"/>
      <c r="W345" s="143"/>
      <c r="X345" s="143"/>
      <c r="Y345" s="143"/>
      <c r="Z345" s="143"/>
    </row>
    <row r="346" spans="7:26"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72"/>
      <c r="U346" s="143"/>
      <c r="V346" s="143"/>
      <c r="W346" s="143"/>
      <c r="X346" s="143"/>
      <c r="Y346" s="143"/>
      <c r="Z346" s="143"/>
    </row>
    <row r="347" spans="7:26"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72"/>
      <c r="U347" s="143"/>
      <c r="V347" s="143"/>
      <c r="W347" s="143"/>
      <c r="X347" s="143"/>
      <c r="Y347" s="143"/>
      <c r="Z347" s="143"/>
    </row>
    <row r="348" spans="7:26"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72"/>
      <c r="U348" s="143"/>
      <c r="V348" s="143"/>
      <c r="W348" s="143"/>
      <c r="X348" s="143"/>
      <c r="Y348" s="143"/>
      <c r="Z348" s="143"/>
    </row>
    <row r="349" spans="7:26"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72"/>
      <c r="U349" s="143"/>
      <c r="V349" s="143"/>
      <c r="W349" s="143"/>
      <c r="X349" s="143"/>
      <c r="Y349" s="143"/>
      <c r="Z349" s="143"/>
    </row>
    <row r="350" spans="7:26"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72"/>
      <c r="U350" s="143"/>
      <c r="V350" s="143"/>
      <c r="W350" s="143"/>
      <c r="X350" s="143"/>
      <c r="Y350" s="143"/>
      <c r="Z350" s="143"/>
    </row>
    <row r="351" spans="7:26"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72"/>
      <c r="U351" s="143"/>
      <c r="V351" s="143"/>
      <c r="W351" s="143"/>
      <c r="X351" s="143"/>
      <c r="Y351" s="143"/>
      <c r="Z351" s="143"/>
    </row>
    <row r="352" spans="7:26"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72"/>
      <c r="U352" s="143"/>
      <c r="V352" s="143"/>
      <c r="W352" s="143"/>
      <c r="X352" s="143"/>
      <c r="Y352" s="143"/>
      <c r="Z352" s="143"/>
    </row>
    <row r="353" spans="7:26"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72"/>
      <c r="U353" s="143"/>
      <c r="V353" s="143"/>
      <c r="W353" s="143"/>
      <c r="X353" s="143"/>
      <c r="Y353" s="143"/>
      <c r="Z353" s="143"/>
    </row>
    <row r="354" spans="7:26"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72"/>
      <c r="U354" s="143"/>
      <c r="V354" s="143"/>
      <c r="W354" s="143"/>
      <c r="X354" s="143"/>
      <c r="Y354" s="143"/>
      <c r="Z354" s="143"/>
    </row>
    <row r="355" spans="7:26"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72"/>
      <c r="U355" s="143"/>
      <c r="V355" s="143"/>
      <c r="W355" s="143"/>
      <c r="X355" s="143"/>
      <c r="Y355" s="143"/>
      <c r="Z355" s="143"/>
    </row>
    <row r="356" spans="7:26"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72"/>
      <c r="U356" s="143"/>
      <c r="V356" s="143"/>
      <c r="W356" s="143"/>
      <c r="X356" s="143"/>
      <c r="Y356" s="143"/>
      <c r="Z356" s="143"/>
    </row>
    <row r="357" spans="7:26"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72"/>
      <c r="U357" s="143"/>
      <c r="V357" s="143"/>
      <c r="W357" s="143"/>
      <c r="X357" s="143"/>
      <c r="Y357" s="143"/>
      <c r="Z357" s="143"/>
    </row>
    <row r="358" spans="7:26"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72"/>
      <c r="U358" s="143"/>
      <c r="V358" s="143"/>
      <c r="W358" s="143"/>
      <c r="X358" s="143"/>
      <c r="Y358" s="143"/>
      <c r="Z358" s="143"/>
    </row>
    <row r="359" spans="7:26"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72"/>
      <c r="U359" s="143"/>
      <c r="V359" s="143"/>
      <c r="W359" s="143"/>
      <c r="X359" s="143"/>
      <c r="Y359" s="143"/>
      <c r="Z359" s="143"/>
    </row>
    <row r="360" spans="7:26"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72"/>
      <c r="U360" s="143"/>
      <c r="V360" s="143"/>
      <c r="W360" s="143"/>
      <c r="X360" s="143"/>
      <c r="Y360" s="143"/>
      <c r="Z360" s="143"/>
    </row>
    <row r="361" spans="7:26"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72"/>
      <c r="U361" s="143"/>
      <c r="V361" s="143"/>
      <c r="W361" s="143"/>
      <c r="X361" s="143"/>
      <c r="Y361" s="143"/>
      <c r="Z361" s="143"/>
    </row>
    <row r="362" spans="7:26"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72"/>
      <c r="U362" s="143"/>
      <c r="V362" s="143"/>
      <c r="W362" s="143"/>
      <c r="X362" s="143"/>
      <c r="Y362" s="143"/>
      <c r="Z362" s="143"/>
    </row>
    <row r="363" spans="7:26"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72"/>
      <c r="U363" s="143"/>
      <c r="V363" s="143"/>
      <c r="W363" s="143"/>
      <c r="X363" s="143"/>
      <c r="Y363" s="143"/>
      <c r="Z363" s="143"/>
    </row>
    <row r="364" spans="7:26"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72"/>
      <c r="U364" s="143"/>
      <c r="V364" s="143"/>
      <c r="W364" s="143"/>
      <c r="X364" s="143"/>
      <c r="Y364" s="143"/>
      <c r="Z364" s="143"/>
    </row>
    <row r="365" spans="7:26"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72"/>
      <c r="U365" s="143"/>
      <c r="V365" s="143"/>
      <c r="W365" s="143"/>
      <c r="X365" s="143"/>
      <c r="Y365" s="143"/>
      <c r="Z365" s="143"/>
    </row>
    <row r="366" spans="7:26"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72"/>
      <c r="U366" s="143"/>
      <c r="V366" s="143"/>
      <c r="W366" s="143"/>
      <c r="X366" s="143"/>
      <c r="Y366" s="143"/>
      <c r="Z366" s="143"/>
    </row>
    <row r="367" spans="7:26"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72"/>
      <c r="U367" s="143"/>
      <c r="V367" s="143"/>
      <c r="W367" s="143"/>
      <c r="X367" s="143"/>
      <c r="Y367" s="143"/>
      <c r="Z367" s="143"/>
    </row>
    <row r="368" spans="7:26"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72"/>
      <c r="U368" s="143"/>
      <c r="V368" s="143"/>
      <c r="W368" s="143"/>
      <c r="X368" s="143"/>
      <c r="Y368" s="143"/>
      <c r="Z368" s="143"/>
    </row>
    <row r="369" spans="7:26"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72"/>
      <c r="U369" s="143"/>
      <c r="V369" s="143"/>
      <c r="W369" s="143"/>
      <c r="X369" s="143"/>
      <c r="Y369" s="143"/>
      <c r="Z369" s="143"/>
    </row>
    <row r="370" spans="7:26"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72"/>
      <c r="U370" s="143"/>
      <c r="V370" s="143"/>
      <c r="W370" s="143"/>
      <c r="X370" s="143"/>
      <c r="Y370" s="143"/>
      <c r="Z370" s="143"/>
    </row>
    <row r="371" spans="7:26"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72"/>
      <c r="U371" s="143"/>
      <c r="V371" s="143"/>
      <c r="W371" s="143"/>
      <c r="X371" s="143"/>
      <c r="Y371" s="143"/>
      <c r="Z371" s="143"/>
    </row>
    <row r="372" spans="7:26"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72"/>
      <c r="U372" s="143"/>
      <c r="V372" s="143"/>
      <c r="W372" s="143"/>
      <c r="X372" s="143"/>
      <c r="Y372" s="143"/>
      <c r="Z372" s="143"/>
    </row>
    <row r="373" spans="7:26"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72"/>
      <c r="U373" s="143"/>
      <c r="V373" s="143"/>
      <c r="W373" s="143"/>
      <c r="X373" s="143"/>
      <c r="Y373" s="143"/>
      <c r="Z373" s="143"/>
    </row>
    <row r="374" spans="7:26"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72"/>
      <c r="U374" s="143"/>
      <c r="V374" s="143"/>
      <c r="W374" s="143"/>
      <c r="X374" s="143"/>
      <c r="Y374" s="143"/>
      <c r="Z374" s="143"/>
    </row>
    <row r="375" spans="7:26"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72"/>
      <c r="U375" s="143"/>
      <c r="V375" s="143"/>
      <c r="W375" s="143"/>
      <c r="X375" s="143"/>
      <c r="Y375" s="143"/>
      <c r="Z375" s="143"/>
    </row>
    <row r="376" spans="7:26"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72"/>
      <c r="U376" s="143"/>
      <c r="V376" s="143"/>
      <c r="W376" s="143"/>
      <c r="X376" s="143"/>
      <c r="Y376" s="143"/>
      <c r="Z376" s="143"/>
    </row>
    <row r="377" spans="7:26"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72"/>
      <c r="U377" s="143"/>
      <c r="V377" s="143"/>
      <c r="W377" s="143"/>
      <c r="X377" s="143"/>
      <c r="Y377" s="143"/>
      <c r="Z377" s="143"/>
    </row>
    <row r="378" spans="7:26"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72"/>
      <c r="U378" s="143"/>
      <c r="V378" s="143"/>
      <c r="W378" s="143"/>
      <c r="X378" s="143"/>
      <c r="Y378" s="143"/>
      <c r="Z378" s="143"/>
    </row>
    <row r="379" spans="7:26"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72"/>
      <c r="U379" s="143"/>
      <c r="V379" s="143"/>
      <c r="W379" s="143"/>
      <c r="X379" s="143"/>
      <c r="Y379" s="143"/>
      <c r="Z379" s="143"/>
    </row>
    <row r="380" spans="7:26"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72"/>
      <c r="U380" s="143"/>
      <c r="V380" s="143"/>
      <c r="W380" s="143"/>
      <c r="X380" s="143"/>
      <c r="Y380" s="143"/>
      <c r="Z380" s="143"/>
    </row>
    <row r="381" spans="7:26"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72"/>
      <c r="U381" s="143"/>
      <c r="V381" s="143"/>
      <c r="W381" s="143"/>
      <c r="X381" s="143"/>
      <c r="Y381" s="143"/>
      <c r="Z381" s="143"/>
    </row>
    <row r="382" spans="7:26"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72"/>
      <c r="U382" s="143"/>
      <c r="V382" s="143"/>
      <c r="W382" s="143"/>
      <c r="X382" s="143"/>
      <c r="Y382" s="143"/>
      <c r="Z382" s="143"/>
    </row>
    <row r="383" spans="7:26"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72"/>
      <c r="U383" s="143"/>
      <c r="V383" s="143"/>
      <c r="W383" s="143"/>
      <c r="X383" s="143"/>
      <c r="Y383" s="143"/>
      <c r="Z383" s="143"/>
    </row>
    <row r="384" spans="7:26"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72"/>
      <c r="U384" s="143"/>
      <c r="V384" s="143"/>
      <c r="W384" s="143"/>
      <c r="X384" s="143"/>
      <c r="Y384" s="143"/>
      <c r="Z384" s="143"/>
    </row>
    <row r="385" spans="7:26"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72"/>
      <c r="U385" s="143"/>
      <c r="V385" s="143"/>
      <c r="W385" s="143"/>
      <c r="X385" s="143"/>
      <c r="Y385" s="143"/>
      <c r="Z385" s="143"/>
    </row>
    <row r="386" spans="7:26"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72"/>
      <c r="U386" s="143"/>
      <c r="V386" s="143"/>
      <c r="W386" s="143"/>
      <c r="X386" s="143"/>
      <c r="Y386" s="143"/>
      <c r="Z386" s="143"/>
    </row>
    <row r="387" spans="7:26"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72"/>
      <c r="U387" s="143"/>
      <c r="V387" s="143"/>
      <c r="W387" s="143"/>
      <c r="X387" s="143"/>
      <c r="Y387" s="143"/>
      <c r="Z387" s="143"/>
    </row>
    <row r="388" spans="7:26"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72"/>
      <c r="U388" s="143"/>
      <c r="V388" s="143"/>
      <c r="W388" s="143"/>
      <c r="X388" s="143"/>
      <c r="Y388" s="143"/>
      <c r="Z388" s="143"/>
    </row>
    <row r="389" spans="7:26"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72"/>
      <c r="U389" s="143"/>
      <c r="V389" s="143"/>
      <c r="W389" s="143"/>
      <c r="X389" s="143"/>
      <c r="Y389" s="143"/>
      <c r="Z389" s="143"/>
    </row>
    <row r="390" spans="7:26"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72"/>
      <c r="U390" s="143"/>
      <c r="V390" s="143"/>
      <c r="W390" s="143"/>
      <c r="X390" s="143"/>
      <c r="Y390" s="143"/>
      <c r="Z390" s="143"/>
    </row>
    <row r="391" spans="7:26"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72"/>
      <c r="U391" s="143"/>
      <c r="V391" s="143"/>
      <c r="W391" s="143"/>
      <c r="X391" s="143"/>
      <c r="Y391" s="143"/>
      <c r="Z391" s="143"/>
    </row>
    <row r="392" spans="7:26"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72"/>
      <c r="U392" s="143"/>
      <c r="V392" s="143"/>
      <c r="W392" s="143"/>
      <c r="X392" s="143"/>
      <c r="Y392" s="143"/>
      <c r="Z392" s="143"/>
    </row>
    <row r="393" spans="7:26"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72"/>
      <c r="U393" s="143"/>
      <c r="V393" s="143"/>
      <c r="W393" s="143"/>
      <c r="X393" s="143"/>
      <c r="Y393" s="143"/>
      <c r="Z393" s="143"/>
    </row>
    <row r="394" spans="7:26"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72"/>
      <c r="U394" s="143"/>
      <c r="V394" s="143"/>
      <c r="W394" s="143"/>
      <c r="X394" s="143"/>
      <c r="Y394" s="143"/>
      <c r="Z394" s="143"/>
    </row>
    <row r="395" spans="7:26"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72"/>
      <c r="U395" s="143"/>
      <c r="V395" s="143"/>
      <c r="W395" s="143"/>
      <c r="X395" s="143"/>
      <c r="Y395" s="143"/>
      <c r="Z395" s="143"/>
    </row>
    <row r="396" spans="7:26"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72"/>
      <c r="U396" s="143"/>
      <c r="V396" s="143"/>
      <c r="W396" s="143"/>
      <c r="X396" s="143"/>
      <c r="Y396" s="143"/>
      <c r="Z396" s="143"/>
    </row>
    <row r="397" spans="7:26"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72"/>
      <c r="U397" s="143"/>
      <c r="V397" s="143"/>
      <c r="W397" s="143"/>
      <c r="X397" s="143"/>
      <c r="Y397" s="143"/>
      <c r="Z397" s="143"/>
    </row>
    <row r="398" spans="7:26"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72"/>
      <c r="U398" s="143"/>
      <c r="V398" s="143"/>
      <c r="W398" s="143"/>
      <c r="X398" s="143"/>
      <c r="Y398" s="143"/>
      <c r="Z398" s="143"/>
    </row>
    <row r="399" spans="7:26"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72"/>
      <c r="U399" s="143"/>
      <c r="V399" s="143"/>
      <c r="W399" s="143"/>
      <c r="X399" s="143"/>
      <c r="Y399" s="143"/>
      <c r="Z399" s="143"/>
    </row>
    <row r="400" spans="7:26"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72"/>
      <c r="U400" s="143"/>
      <c r="V400" s="143"/>
      <c r="W400" s="143"/>
      <c r="X400" s="143"/>
      <c r="Y400" s="143"/>
      <c r="Z400" s="143"/>
    </row>
    <row r="401" spans="7:26"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72"/>
      <c r="U401" s="143"/>
      <c r="V401" s="143"/>
      <c r="W401" s="143"/>
      <c r="X401" s="143"/>
      <c r="Y401" s="143"/>
      <c r="Z401" s="143"/>
    </row>
    <row r="402" spans="7:26"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72"/>
      <c r="U402" s="143"/>
      <c r="V402" s="143"/>
      <c r="W402" s="143"/>
      <c r="X402" s="143"/>
      <c r="Y402" s="143"/>
      <c r="Z402" s="143"/>
    </row>
    <row r="403" spans="7:26"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72"/>
      <c r="U403" s="143"/>
      <c r="V403" s="143"/>
      <c r="W403" s="143"/>
      <c r="X403" s="143"/>
      <c r="Y403" s="143"/>
      <c r="Z403" s="143"/>
    </row>
    <row r="404" spans="7:26"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72"/>
      <c r="U404" s="143"/>
      <c r="V404" s="143"/>
      <c r="W404" s="143"/>
      <c r="X404" s="143"/>
      <c r="Y404" s="143"/>
      <c r="Z404" s="143"/>
    </row>
    <row r="405" spans="7:26"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72"/>
      <c r="U405" s="143"/>
      <c r="V405" s="143"/>
      <c r="W405" s="143"/>
      <c r="X405" s="143"/>
      <c r="Y405" s="143"/>
      <c r="Z405" s="143"/>
    </row>
    <row r="406" spans="7:26"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72"/>
      <c r="U406" s="143"/>
      <c r="V406" s="143"/>
      <c r="W406" s="143"/>
      <c r="X406" s="143"/>
      <c r="Y406" s="143"/>
      <c r="Z406" s="143"/>
    </row>
    <row r="407" spans="7:26"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72"/>
      <c r="U407" s="143"/>
      <c r="V407" s="143"/>
      <c r="W407" s="143"/>
      <c r="X407" s="143"/>
      <c r="Y407" s="143"/>
      <c r="Z407" s="143"/>
    </row>
    <row r="408" spans="7:26"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72"/>
      <c r="U408" s="143"/>
      <c r="V408" s="143"/>
      <c r="W408" s="143"/>
      <c r="X408" s="143"/>
      <c r="Y408" s="143"/>
      <c r="Z408" s="143"/>
    </row>
    <row r="409" spans="7:26"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72"/>
      <c r="U409" s="143"/>
      <c r="V409" s="143"/>
      <c r="W409" s="143"/>
      <c r="X409" s="143"/>
      <c r="Y409" s="143"/>
      <c r="Z409" s="143"/>
    </row>
    <row r="410" spans="7:26"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72"/>
      <c r="U410" s="143"/>
      <c r="V410" s="143"/>
      <c r="W410" s="143"/>
      <c r="X410" s="143"/>
      <c r="Y410" s="143"/>
      <c r="Z410" s="143"/>
    </row>
    <row r="411" spans="7:26"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72"/>
      <c r="U411" s="143"/>
      <c r="V411" s="143"/>
      <c r="W411" s="143"/>
      <c r="X411" s="143"/>
      <c r="Y411" s="143"/>
      <c r="Z411" s="143"/>
    </row>
    <row r="412" spans="7:26"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72"/>
      <c r="U412" s="143"/>
      <c r="V412" s="143"/>
      <c r="W412" s="143"/>
      <c r="X412" s="143"/>
      <c r="Y412" s="143"/>
      <c r="Z412" s="143"/>
    </row>
    <row r="413" spans="7:26"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72"/>
      <c r="U413" s="143"/>
      <c r="V413" s="143"/>
      <c r="W413" s="143"/>
      <c r="X413" s="143"/>
      <c r="Y413" s="143"/>
      <c r="Z413" s="143"/>
    </row>
    <row r="414" spans="7:26"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72"/>
      <c r="U414" s="143"/>
      <c r="V414" s="143"/>
      <c r="W414" s="143"/>
      <c r="X414" s="143"/>
      <c r="Y414" s="143"/>
      <c r="Z414" s="143"/>
    </row>
    <row r="415" spans="7:26"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72"/>
      <c r="U415" s="143"/>
      <c r="V415" s="143"/>
      <c r="W415" s="143"/>
      <c r="X415" s="143"/>
      <c r="Y415" s="143"/>
      <c r="Z415" s="143"/>
    </row>
    <row r="416" spans="7:26"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72"/>
      <c r="U416" s="143"/>
      <c r="V416" s="143"/>
      <c r="W416" s="143"/>
      <c r="X416" s="143"/>
      <c r="Y416" s="143"/>
      <c r="Z416" s="143"/>
    </row>
    <row r="417" spans="7:26"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72"/>
      <c r="U417" s="143"/>
      <c r="V417" s="143"/>
      <c r="W417" s="143"/>
      <c r="X417" s="143"/>
      <c r="Y417" s="143"/>
      <c r="Z417" s="143"/>
    </row>
    <row r="418" spans="7:26"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72"/>
      <c r="U418" s="143"/>
      <c r="V418" s="143"/>
      <c r="W418" s="143"/>
      <c r="X418" s="143"/>
      <c r="Y418" s="143"/>
      <c r="Z418" s="143"/>
    </row>
    <row r="419" spans="7:26"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72"/>
      <c r="U419" s="143"/>
      <c r="V419" s="143"/>
      <c r="W419" s="143"/>
      <c r="X419" s="143"/>
      <c r="Y419" s="143"/>
      <c r="Z419" s="143"/>
    </row>
    <row r="420" spans="7:26"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72"/>
      <c r="U420" s="143"/>
      <c r="V420" s="143"/>
      <c r="W420" s="143"/>
      <c r="X420" s="143"/>
      <c r="Y420" s="143"/>
      <c r="Z420" s="143"/>
    </row>
    <row r="421" spans="7:26"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72"/>
      <c r="U421" s="143"/>
      <c r="V421" s="143"/>
      <c r="W421" s="143"/>
      <c r="X421" s="143"/>
      <c r="Y421" s="143"/>
      <c r="Z421" s="143"/>
    </row>
    <row r="422" spans="7:26"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72"/>
      <c r="U422" s="143"/>
      <c r="V422" s="143"/>
      <c r="W422" s="143"/>
      <c r="X422" s="143"/>
      <c r="Y422" s="143"/>
      <c r="Z422" s="143"/>
    </row>
    <row r="423" spans="7:26"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72"/>
      <c r="U423" s="143"/>
      <c r="V423" s="143"/>
      <c r="W423" s="143"/>
      <c r="X423" s="143"/>
      <c r="Y423" s="143"/>
      <c r="Z423" s="143"/>
    </row>
    <row r="424" spans="7:26"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72"/>
      <c r="U424" s="143"/>
      <c r="V424" s="143"/>
      <c r="W424" s="143"/>
      <c r="X424" s="143"/>
      <c r="Y424" s="143"/>
      <c r="Z424" s="143"/>
    </row>
    <row r="425" spans="7:26"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72"/>
      <c r="U425" s="143"/>
      <c r="V425" s="143"/>
      <c r="W425" s="143"/>
      <c r="X425" s="143"/>
      <c r="Y425" s="143"/>
      <c r="Z425" s="143"/>
    </row>
    <row r="426" spans="7:26"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72"/>
      <c r="U426" s="143"/>
      <c r="V426" s="143"/>
      <c r="W426" s="143"/>
      <c r="X426" s="143"/>
      <c r="Y426" s="143"/>
      <c r="Z426" s="143"/>
    </row>
    <row r="427" spans="7:26"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72"/>
      <c r="U427" s="143"/>
      <c r="V427" s="143"/>
      <c r="W427" s="143"/>
      <c r="X427" s="143"/>
      <c r="Y427" s="143"/>
      <c r="Z427" s="143"/>
    </row>
    <row r="428" spans="7:26"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72"/>
      <c r="U428" s="143"/>
      <c r="V428" s="143"/>
      <c r="W428" s="143"/>
      <c r="X428" s="143"/>
      <c r="Y428" s="143"/>
      <c r="Z428" s="143"/>
    </row>
    <row r="429" spans="7:26"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72"/>
      <c r="U429" s="143"/>
      <c r="V429" s="143"/>
      <c r="W429" s="143"/>
      <c r="X429" s="143"/>
      <c r="Y429" s="143"/>
      <c r="Z429" s="143"/>
    </row>
    <row r="430" spans="7:26"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72"/>
      <c r="U430" s="143"/>
      <c r="V430" s="143"/>
      <c r="W430" s="143"/>
      <c r="X430" s="143"/>
      <c r="Y430" s="143"/>
      <c r="Z430" s="143"/>
    </row>
    <row r="431" spans="7:26"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72"/>
      <c r="U431" s="143"/>
      <c r="V431" s="143"/>
      <c r="W431" s="143"/>
      <c r="X431" s="143"/>
      <c r="Y431" s="143"/>
      <c r="Z431" s="143"/>
    </row>
    <row r="432" spans="7:26"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72"/>
      <c r="U432" s="143"/>
      <c r="V432" s="143"/>
      <c r="W432" s="143"/>
      <c r="X432" s="143"/>
      <c r="Y432" s="143"/>
      <c r="Z432" s="143"/>
    </row>
    <row r="433" spans="7:26"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72"/>
      <c r="U433" s="143"/>
      <c r="V433" s="143"/>
      <c r="W433" s="143"/>
      <c r="X433" s="143"/>
      <c r="Y433" s="143"/>
      <c r="Z433" s="143"/>
    </row>
    <row r="434" spans="7:26"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72"/>
      <c r="U434" s="143"/>
      <c r="V434" s="143"/>
      <c r="W434" s="143"/>
      <c r="X434" s="143"/>
      <c r="Y434" s="143"/>
      <c r="Z434" s="143"/>
    </row>
    <row r="435" spans="7:26"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72"/>
      <c r="U435" s="143"/>
      <c r="V435" s="143"/>
      <c r="W435" s="143"/>
      <c r="X435" s="143"/>
      <c r="Y435" s="143"/>
      <c r="Z435" s="143"/>
    </row>
    <row r="436" spans="7:26"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72"/>
      <c r="U436" s="143"/>
      <c r="V436" s="143"/>
      <c r="W436" s="143"/>
      <c r="X436" s="143"/>
      <c r="Y436" s="143"/>
      <c r="Z436" s="143"/>
    </row>
    <row r="437" spans="7:26"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72"/>
      <c r="U437" s="143"/>
      <c r="V437" s="143"/>
      <c r="W437" s="143"/>
      <c r="X437" s="143"/>
      <c r="Y437" s="143"/>
      <c r="Z437" s="143"/>
    </row>
    <row r="438" spans="7:26"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72"/>
      <c r="U438" s="143"/>
      <c r="V438" s="143"/>
      <c r="W438" s="143"/>
      <c r="X438" s="143"/>
      <c r="Y438" s="143"/>
      <c r="Z438" s="143"/>
    </row>
    <row r="439" spans="7:26"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72"/>
      <c r="U439" s="143"/>
      <c r="V439" s="143"/>
      <c r="W439" s="143"/>
      <c r="X439" s="143"/>
      <c r="Y439" s="143"/>
      <c r="Z439" s="143"/>
    </row>
    <row r="440" spans="7:26"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72"/>
      <c r="U440" s="143"/>
      <c r="V440" s="143"/>
      <c r="W440" s="143"/>
      <c r="X440" s="143"/>
      <c r="Y440" s="143"/>
      <c r="Z440" s="143"/>
    </row>
    <row r="441" spans="7:26"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72"/>
      <c r="U441" s="143"/>
      <c r="V441" s="143"/>
      <c r="W441" s="143"/>
      <c r="X441" s="143"/>
      <c r="Y441" s="143"/>
      <c r="Z441" s="143"/>
    </row>
    <row r="442" spans="7:26"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72"/>
      <c r="U442" s="143"/>
      <c r="V442" s="143"/>
      <c r="W442" s="143"/>
      <c r="X442" s="143"/>
      <c r="Y442" s="143"/>
      <c r="Z442" s="143"/>
    </row>
    <row r="443" spans="7:26"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72"/>
      <c r="U443" s="143"/>
      <c r="V443" s="143"/>
      <c r="W443" s="143"/>
      <c r="X443" s="143"/>
      <c r="Y443" s="143"/>
      <c r="Z443" s="143"/>
    </row>
    <row r="444" spans="7:26"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72"/>
      <c r="U444" s="143"/>
      <c r="V444" s="143"/>
      <c r="W444" s="143"/>
      <c r="X444" s="143"/>
      <c r="Y444" s="143"/>
      <c r="Z444" s="143"/>
    </row>
    <row r="445" spans="7:26"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72"/>
      <c r="U445" s="143"/>
      <c r="V445" s="143"/>
      <c r="W445" s="143"/>
      <c r="X445" s="143"/>
      <c r="Y445" s="143"/>
      <c r="Z445" s="143"/>
    </row>
    <row r="446" spans="7:26"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72"/>
      <c r="U446" s="143"/>
      <c r="V446" s="143"/>
      <c r="W446" s="143"/>
      <c r="X446" s="143"/>
      <c r="Y446" s="143"/>
      <c r="Z446" s="143"/>
    </row>
    <row r="447" spans="7:26"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72"/>
      <c r="U447" s="143"/>
      <c r="V447" s="143"/>
      <c r="W447" s="143"/>
      <c r="X447" s="143"/>
      <c r="Y447" s="143"/>
      <c r="Z447" s="143"/>
    </row>
    <row r="448" spans="7:26"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72"/>
      <c r="U448" s="143"/>
      <c r="V448" s="143"/>
      <c r="W448" s="143"/>
      <c r="X448" s="143"/>
      <c r="Y448" s="143"/>
      <c r="Z448" s="143"/>
    </row>
    <row r="449" spans="7:26"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72"/>
      <c r="U449" s="143"/>
      <c r="V449" s="143"/>
      <c r="W449" s="143"/>
      <c r="X449" s="143"/>
      <c r="Y449" s="143"/>
      <c r="Z449" s="143"/>
    </row>
    <row r="450" spans="7:26"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72"/>
      <c r="U450" s="143"/>
      <c r="V450" s="143"/>
      <c r="W450" s="143"/>
      <c r="X450" s="143"/>
      <c r="Y450" s="143"/>
      <c r="Z450" s="143"/>
    </row>
    <row r="451" spans="7:26"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72"/>
      <c r="U451" s="143"/>
      <c r="V451" s="143"/>
      <c r="W451" s="143"/>
      <c r="X451" s="143"/>
      <c r="Y451" s="143"/>
      <c r="Z451" s="143"/>
    </row>
    <row r="452" spans="7:26"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72"/>
      <c r="U452" s="143"/>
      <c r="V452" s="143"/>
      <c r="W452" s="143"/>
      <c r="X452" s="143"/>
      <c r="Y452" s="143"/>
      <c r="Z452" s="143"/>
    </row>
    <row r="453" spans="7:26"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72"/>
      <c r="U453" s="143"/>
      <c r="V453" s="143"/>
      <c r="W453" s="143"/>
      <c r="X453" s="143"/>
      <c r="Y453" s="143"/>
      <c r="Z453" s="143"/>
    </row>
    <row r="454" spans="7:26"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72"/>
      <c r="U454" s="143"/>
      <c r="V454" s="143"/>
      <c r="W454" s="143"/>
      <c r="X454" s="143"/>
      <c r="Y454" s="143"/>
      <c r="Z454" s="143"/>
    </row>
    <row r="455" spans="7:26"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72"/>
      <c r="U455" s="143"/>
      <c r="V455" s="143"/>
      <c r="W455" s="143"/>
      <c r="X455" s="143"/>
      <c r="Y455" s="143"/>
      <c r="Z455" s="143"/>
    </row>
    <row r="456" spans="7:26"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72"/>
      <c r="U456" s="143"/>
      <c r="V456" s="143"/>
      <c r="W456" s="143"/>
      <c r="X456" s="143"/>
      <c r="Y456" s="143"/>
      <c r="Z456" s="143"/>
    </row>
    <row r="457" spans="7:26"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72"/>
      <c r="U457" s="143"/>
      <c r="V457" s="143"/>
      <c r="W457" s="143"/>
      <c r="X457" s="143"/>
      <c r="Y457" s="143"/>
      <c r="Z457" s="143"/>
    </row>
    <row r="458" spans="7:26"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72"/>
      <c r="U458" s="143"/>
      <c r="V458" s="143"/>
      <c r="W458" s="143"/>
      <c r="X458" s="143"/>
      <c r="Y458" s="143"/>
      <c r="Z458" s="143"/>
    </row>
    <row r="459" spans="7:26"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72"/>
      <c r="U459" s="143"/>
      <c r="V459" s="143"/>
      <c r="W459" s="143"/>
      <c r="X459" s="143"/>
      <c r="Y459" s="143"/>
      <c r="Z459" s="143"/>
    </row>
    <row r="460" spans="7:26"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72"/>
      <c r="U460" s="143"/>
      <c r="V460" s="143"/>
      <c r="W460" s="143"/>
      <c r="X460" s="143"/>
      <c r="Y460" s="143"/>
      <c r="Z460" s="143"/>
    </row>
    <row r="461" spans="7:26"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72"/>
      <c r="U461" s="143"/>
      <c r="V461" s="143"/>
      <c r="W461" s="143"/>
      <c r="X461" s="143"/>
      <c r="Y461" s="143"/>
      <c r="Z461" s="143"/>
    </row>
    <row r="462" spans="7:26"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72"/>
      <c r="U462" s="143"/>
      <c r="V462" s="143"/>
      <c r="W462" s="143"/>
      <c r="X462" s="143"/>
      <c r="Y462" s="143"/>
      <c r="Z462" s="143"/>
    </row>
    <row r="463" spans="7:26"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72"/>
      <c r="U463" s="143"/>
      <c r="V463" s="143"/>
      <c r="W463" s="143"/>
      <c r="X463" s="143"/>
      <c r="Y463" s="143"/>
      <c r="Z463" s="143"/>
    </row>
    <row r="464" spans="7:26"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72"/>
      <c r="U464" s="143"/>
      <c r="V464" s="143"/>
      <c r="W464" s="143"/>
      <c r="X464" s="143"/>
      <c r="Y464" s="143"/>
      <c r="Z464" s="143"/>
    </row>
  </sheetData>
  <mergeCells count="3">
    <mergeCell ref="A1:F1"/>
    <mergeCell ref="C3:D3"/>
    <mergeCell ref="A2:F2"/>
  </mergeCells>
  <pageMargins left="0.25" right="0.25" top="0.75" bottom="0.75" header="0.3" footer="0.3"/>
  <pageSetup scale="34" fitToHeight="0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7482CBD4D5C54793101B011F35D55C" ma:contentTypeVersion="16" ma:contentTypeDescription="" ma:contentTypeScope="" ma:versionID="b26a6fe8f247754896f6fdf5b8be477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2024-11-08T08:00:00+00:00</OpenedDate>
    <SignificantOrder xmlns="dc463f71-b30c-4ab2-9473-d307f9d35888">false</SignificantOrder>
    <Date1 xmlns="dc463f71-b30c-4ab2-9473-d307f9d35888">2024-11-08T08:00:00+00:00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240896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8B2C33A-EBEB-41DB-9D94-CBA9ECAC430B}"/>
</file>

<file path=customXml/itemProps2.xml><?xml version="1.0" encoding="utf-8"?>
<ds:datastoreItem xmlns:ds="http://schemas.openxmlformats.org/officeDocument/2006/customXml" ds:itemID="{B67946F6-253B-40F3-ADF9-DBD760147FC0}">
  <ds:schemaRefs>
    <ds:schemaRef ds:uri="7429f450-94b4-4416-870d-2c140728156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6a7bd91e-004b-490a-8704-e368d63d59a0"/>
  </ds:schemaRefs>
</ds:datastoreItem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25EC9A-8C88-4C9A-B49B-B9EB6AF57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Tariff Changes</vt:lpstr>
      <vt:lpstr>Price Out Rates</vt:lpstr>
      <vt:lpstr>References</vt:lpstr>
      <vt:lpstr>Disposal Summary (with IC)</vt:lpstr>
      <vt:lpstr>'Disposal Summary (with IC)'!Print_Titles</vt:lpstr>
      <vt:lpstr>RegROTons</vt:lpstr>
      <vt:lpstr>Total_ResComTonnage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Waldren, Rick</cp:lastModifiedBy>
  <cp:lastPrinted>2018-11-09T21:11:35Z</cp:lastPrinted>
  <dcterms:created xsi:type="dcterms:W3CDTF">2013-10-29T22:33:54Z</dcterms:created>
  <dcterms:modified xsi:type="dcterms:W3CDTF">2024-11-07T21:44:55Z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0x0101006E56B4D1795A2E4DB2F0B01679ED314A000E7482CBD4D5C54793101B011F35D55C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