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stateofwa-my.sharepoint.com/personal/avery_booth_utc_wa_gov/Documents/Local Computer Files/Documents/"/>
    </mc:Choice>
  </mc:AlternateContent>
  <xr:revisionPtr revIDLastSave="0" documentId="8_{7DDE4BC5-6935-4652-999D-6734F29A5B32}" xr6:coauthVersionLast="47" xr6:coauthVersionMax="47" xr10:uidLastSave="{00000000-0000-0000-0000-000000000000}"/>
  <bookViews>
    <workbookView xWindow="-120" yWindow="-120" windowWidth="11760" windowHeight="20130" xr2:uid="{4B0172CF-C8A6-4815-9E17-56522F869FF0}"/>
  </bookViews>
  <sheets>
    <sheet name="Page 1" sheetId="2" r:id="rId1"/>
    <sheet name="Page 2" sheetId="1" r:id="rId2"/>
    <sheet name="Page 3" sheetId="3" r:id="rId3"/>
    <sheet name="Page 4" sheetId="4" r:id="rId4"/>
  </sheets>
  <externalReferences>
    <externalReference r:id="rId5"/>
    <externalReference r:id="rId6"/>
    <externalReference r:id="rId7"/>
    <externalReference r:id="rId8"/>
  </externalReferences>
  <definedNames>
    <definedName name="_Order1" hidden="1">255</definedName>
    <definedName name="_Order2" hidden="1">255</definedName>
    <definedName name="_xlnm.Print_Area" localSheetId="2">'Page 3'!$B$1:$L$40</definedName>
    <definedName name="SUBDATA">'[1]page1:CLP with elas'!$A$7:$K$51</definedName>
    <definedName name="SUMRY1">'[1]New SMPE:Proposed Temps'!$A$1:$L$61</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9" i="3" l="1"/>
  <c r="K28" i="3"/>
  <c r="K23" i="3"/>
  <c r="K25" i="3"/>
  <c r="J20" i="3"/>
  <c r="F22" i="4" l="1"/>
  <c r="B22" i="4"/>
  <c r="F18" i="4"/>
  <c r="F24" i="4" s="1"/>
  <c r="F12" i="4"/>
  <c r="A8" i="4"/>
  <c r="A9" i="4" s="1"/>
  <c r="A10" i="4" s="1"/>
  <c r="A11" i="4" s="1"/>
  <c r="A12" i="4" s="1"/>
  <c r="A13" i="4" s="1"/>
  <c r="A14" i="4" s="1"/>
  <c r="A15" i="4" s="1"/>
  <c r="A16" i="4" s="1"/>
  <c r="A17" i="4" s="1"/>
  <c r="A18" i="4" s="1"/>
  <c r="A19" i="4" s="1"/>
  <c r="A20" i="4" s="1"/>
  <c r="A21" i="4" s="1"/>
  <c r="A22" i="4" s="1"/>
  <c r="A23" i="4" s="1"/>
  <c r="A24" i="4" s="1"/>
  <c r="F26" i="3"/>
  <c r="F27" i="3" s="1"/>
  <c r="F28" i="3" s="1"/>
  <c r="F29" i="3" s="1"/>
  <c r="F22" i="3"/>
  <c r="E19" i="3"/>
  <c r="K16" i="3"/>
  <c r="E9" i="3"/>
  <c r="E12" i="3" s="1"/>
  <c r="E38" i="3" l="1"/>
  <c r="E37" i="3"/>
  <c r="E36" i="3"/>
  <c r="E11" i="3"/>
  <c r="E35" i="3"/>
  <c r="F38" i="3"/>
  <c r="F37" i="3"/>
  <c r="F36" i="3"/>
  <c r="F35" i="3"/>
  <c r="F39" i="3" s="1"/>
  <c r="G37" i="3" l="1"/>
  <c r="E39" i="3"/>
  <c r="G35" i="3"/>
  <c r="G39" i="3" s="1"/>
  <c r="K17" i="3" s="1"/>
  <c r="K18" i="3" s="1"/>
  <c r="K20" i="3" s="1"/>
  <c r="G36" i="3"/>
  <c r="G38" i="3"/>
</calcChain>
</file>

<file path=xl/sharedStrings.xml><?xml version="1.0" encoding="utf-8"?>
<sst xmlns="http://schemas.openxmlformats.org/spreadsheetml/2006/main" count="401" uniqueCount="183">
  <si>
    <t>NW Natural</t>
  </si>
  <si>
    <t>Rates &amp; Regulatory Affairs</t>
  </si>
  <si>
    <t>2024-2025 PGA Filing - Washington: September Filing</t>
  </si>
  <si>
    <t>Calculation of Increments Allocated on the EQUAL PERCENTAGE OF MARGIN BASIS</t>
  </si>
  <si>
    <t>Billing</t>
  </si>
  <si>
    <t>WACOG &amp;</t>
  </si>
  <si>
    <t>Temps from</t>
  </si>
  <si>
    <t xml:space="preserve">Residental Bill Discount Program </t>
  </si>
  <si>
    <t>PGA</t>
  </si>
  <si>
    <t>Rate from</t>
  </si>
  <si>
    <t>Demand from</t>
  </si>
  <si>
    <t>Temporary</t>
  </si>
  <si>
    <t>Proposed Amount:</t>
  </si>
  <si>
    <t>Temporary Increments</t>
  </si>
  <si>
    <t>Volumes page,</t>
  </si>
  <si>
    <t>Rates page,</t>
  </si>
  <si>
    <t>Increment  page,</t>
  </si>
  <si>
    <t>MARGIN</t>
  </si>
  <si>
    <t>Volumetric</t>
  </si>
  <si>
    <t>Customer</t>
  </si>
  <si>
    <t>Total</t>
  </si>
  <si>
    <t>Revenue Sensitive Multiplier:</t>
  </si>
  <si>
    <t>rev sensitive factor is built in</t>
  </si>
  <si>
    <t>Column D</t>
  </si>
  <si>
    <t>Column A</t>
  </si>
  <si>
    <t>Column B+C+D</t>
  </si>
  <si>
    <t>Rate</t>
  </si>
  <si>
    <t>Margin</t>
  </si>
  <si>
    <t>Charge</t>
  </si>
  <si>
    <t>Customers</t>
  </si>
  <si>
    <t>Amount to Amortize:</t>
  </si>
  <si>
    <t>All Customers</t>
  </si>
  <si>
    <t>E=B-C-D</t>
  </si>
  <si>
    <t>I = (G*H*12)+F</t>
  </si>
  <si>
    <t>Multiplier</t>
  </si>
  <si>
    <t>Allocation to RS</t>
  </si>
  <si>
    <t>Increment</t>
  </si>
  <si>
    <t>Schedule</t>
  </si>
  <si>
    <t>Block</t>
  </si>
  <si>
    <t>A</t>
  </si>
  <si>
    <t>B</t>
  </si>
  <si>
    <t>C</t>
  </si>
  <si>
    <t>D</t>
  </si>
  <si>
    <t>E</t>
  </si>
  <si>
    <t>F = E * A</t>
  </si>
  <si>
    <t>G</t>
  </si>
  <si>
    <t>H</t>
  </si>
  <si>
    <t>V</t>
  </si>
  <si>
    <t>W</t>
  </si>
  <si>
    <t>X</t>
  </si>
  <si>
    <t>1R</t>
  </si>
  <si>
    <t>1C</t>
  </si>
  <si>
    <t>2R</t>
  </si>
  <si>
    <t>3 CFS</t>
  </si>
  <si>
    <t>3 IFS</t>
  </si>
  <si>
    <t>41C Firm Sales</t>
  </si>
  <si>
    <t>Block 1</t>
  </si>
  <si>
    <t>Block 2</t>
  </si>
  <si>
    <t>41I Firm Sales</t>
  </si>
  <si>
    <t>41C Interr Sales</t>
  </si>
  <si>
    <t>41I Interr Sales</t>
  </si>
  <si>
    <t>41C Firm Trans</t>
  </si>
  <si>
    <t>41I Firm Trans</t>
  </si>
  <si>
    <t>42C Firm Sales</t>
  </si>
  <si>
    <t>Block 3</t>
  </si>
  <si>
    <t>Block 4</t>
  </si>
  <si>
    <t>Block 5</t>
  </si>
  <si>
    <t>Block 6</t>
  </si>
  <si>
    <t>42I Firm Sales</t>
  </si>
  <si>
    <t>42C Firm Trans</t>
  </si>
  <si>
    <t>42I Firm Trans</t>
  </si>
  <si>
    <t>42C Interr Sales</t>
  </si>
  <si>
    <t>42I Interr Sales</t>
  </si>
  <si>
    <t>42C Inter Trans</t>
  </si>
  <si>
    <t>42I Inter Trans</t>
  </si>
  <si>
    <t>43 Firm Trans</t>
  </si>
  <si>
    <t>43 Interr Trans</t>
  </si>
  <si>
    <t>Intentionally blank</t>
  </si>
  <si>
    <t>Totals</t>
  </si>
  <si>
    <t>Sources for line 2 above:</t>
  </si>
  <si>
    <t>Inputs page</t>
  </si>
  <si>
    <t>Column G</t>
  </si>
  <si>
    <t>Line 50</t>
  </si>
  <si>
    <t>Tariff Schedules:</t>
  </si>
  <si>
    <t>Schedule #</t>
  </si>
  <si>
    <t>Sched 231</t>
  </si>
  <si>
    <t>Note: Allocation to rate schedules or blocks with zero volumes is calculated on an overall margin percentage change basis.</t>
  </si>
  <si>
    <t>PGA Effects on Average Bill by Rate Schedule</t>
  </si>
  <si>
    <t>Calculation of Effect on Customer Average Bill by Rate Schedule [1]</t>
  </si>
  <si>
    <t>Current</t>
  </si>
  <si>
    <t>Proposed</t>
  </si>
  <si>
    <t>Washington</t>
  </si>
  <si>
    <t>Normal</t>
  </si>
  <si>
    <t>Net</t>
  </si>
  <si>
    <t>PGA Normalized</t>
  </si>
  <si>
    <t>Therms</t>
  </si>
  <si>
    <t>Minimum</t>
  </si>
  <si>
    <t>CCA</t>
  </si>
  <si>
    <t>Therms in</t>
  </si>
  <si>
    <t>Monthly</t>
  </si>
  <si>
    <t xml:space="preserve">Monthly </t>
  </si>
  <si>
    <t>RBDP</t>
  </si>
  <si>
    <t>Average use</t>
  </si>
  <si>
    <t xml:space="preserve">Avg. Credit </t>
  </si>
  <si>
    <t>Rates</t>
  </si>
  <si>
    <t>Average Bill[2]</t>
  </si>
  <si>
    <t>Average Bill</t>
  </si>
  <si>
    <t>% Bill Change</t>
  </si>
  <si>
    <t>F=D+(C * E)</t>
  </si>
  <si>
    <t>T = D+(C*S)</t>
  </si>
  <si>
    <t>F</t>
  </si>
  <si>
    <t>S</t>
  </si>
  <si>
    <t>T</t>
  </si>
  <si>
    <t>U</t>
  </si>
  <si>
    <t>N/A</t>
  </si>
  <si>
    <t>all additional</t>
  </si>
  <si>
    <t>TOTAL</t>
  </si>
  <si>
    <t>[1] Rate Schedule 41 and 42 customers may choose demand charges at a volumetric rate or based on MDDV.  For convenience of presentation, demand charges are not included in the calculations for those schedules.</t>
  </si>
  <si>
    <t>[2] Residential current bill as of April 1, 2023. Assumes customer receives CCA credit.</t>
  </si>
  <si>
    <t xml:space="preserve">[3] Proposed rates include the effect of removing the current Schedule 215 adjustment and applying the proposed Schedule 215 adjustment.  The rate shown is for illustrative purposes only and assumes no other changes to rates occur November 1.   </t>
  </si>
  <si>
    <t>Sources:</t>
  </si>
  <si>
    <t>Direct Inputs</t>
  </si>
  <si>
    <t>per Tariff</t>
  </si>
  <si>
    <t>Rates in summary</t>
  </si>
  <si>
    <t>Estimate for 2025 Washington Bill Discount Program</t>
  </si>
  <si>
    <t>From PGA</t>
  </si>
  <si>
    <t>From GL</t>
  </si>
  <si>
    <t>Average Residential use</t>
  </si>
  <si>
    <t>Account 151921 balance Oct 2024</t>
  </si>
  <si>
    <t>amount under-collected</t>
  </si>
  <si>
    <t>RS 2 Fixed</t>
  </si>
  <si>
    <t>excludes CCA credit</t>
  </si>
  <si>
    <t>RS 2 Volumetric</t>
  </si>
  <si>
    <t>excludes CCA charge</t>
  </si>
  <si>
    <t>Average monthly bill</t>
  </si>
  <si>
    <t>Average annual bill</t>
  </si>
  <si>
    <t>Analysis and other data</t>
  </si>
  <si>
    <t>Amount to collect 2025</t>
  </si>
  <si>
    <t>Sep 2024 residential customers</t>
  </si>
  <si>
    <t>Previous under-collection</t>
  </si>
  <si>
    <t>Forecast for 2024</t>
  </si>
  <si>
    <t>BDP count at Sep 2024</t>
  </si>
  <si>
    <t>excludes revenue-sensitive costs</t>
  </si>
  <si>
    <t>BDP count as % of res customers</t>
  </si>
  <si>
    <t>November &amp; December Weighted Exclusion</t>
  </si>
  <si>
    <t>From EBA - est. low income customers</t>
  </si>
  <si>
    <t>January - October Weighted Total</t>
  </si>
  <si>
    <t>BDP count as % of low income customers</t>
  </si>
  <si>
    <t>Revenue Sensitive Multiplier</t>
  </si>
  <si>
    <t>Forecast for 2025</t>
  </si>
  <si>
    <t>Total to Amortize</t>
  </si>
  <si>
    <t>Forecast - 60% of low income customers</t>
  </si>
  <si>
    <t>Placed in rates for 2024</t>
  </si>
  <si>
    <t>includes revenue-sensitive costs</t>
  </si>
  <si>
    <t>Growth from Sep 2024 count</t>
  </si>
  <si>
    <t>Increase</t>
  </si>
  <si>
    <t>half-year convention on growth</t>
  </si>
  <si>
    <t>percent increase</t>
  </si>
  <si>
    <t>Annual cost</t>
  </si>
  <si>
    <t>of current</t>
  </si>
  <si>
    <t>Incremental</t>
  </si>
  <si>
    <t>Total cost</t>
  </si>
  <si>
    <t>participants</t>
  </si>
  <si>
    <t>Cost for 2025</t>
  </si>
  <si>
    <t>for 2025 update</t>
  </si>
  <si>
    <t>Disc tiers</t>
  </si>
  <si>
    <t>% discount</t>
  </si>
  <si>
    <t>% at Sep 2024</t>
  </si>
  <si>
    <t>Level - 80%</t>
  </si>
  <si>
    <t>Level - 40%</t>
  </si>
  <si>
    <t>Level - 20%</t>
  </si>
  <si>
    <t>Level - 15%</t>
  </si>
  <si>
    <t>Amount</t>
  </si>
  <si>
    <t>Reference</t>
  </si>
  <si>
    <t>Removal of Current Temporary Increments</t>
  </si>
  <si>
    <t>Amortization of Bill Discount Program</t>
  </si>
  <si>
    <t>NWN 2023-24 WA PGA rate development file September_CCA.xlsx</t>
  </si>
  <si>
    <t>Addition of Proposed Temporary Increments</t>
  </si>
  <si>
    <t>NWN 2024-25 WA PGA rate development file September.xlsx</t>
  </si>
  <si>
    <t>TOTAL OF ALL COMPONENTS OF RATE CHANGES</t>
  </si>
  <si>
    <t xml:space="preserve">Effect of this filing, as a percentage change </t>
  </si>
  <si>
    <t>Tariff Advice 24-15: Schedule 231 Residential Bill Discount Program</t>
  </si>
  <si>
    <t>November 2024 Filing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</si>
</sst>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7" formatCode="&quot;$&quot;#,##0.00_);\(&quot;$&quot;#,##0.00\)"/>
    <numFmt numFmtId="44" formatCode="_(&quot;$&quot;* #,##0.00_);_(&quot;$&quot;* \(#,##0.00\);_(&quot;$&quot;* &quot;-&quot;??_);_(@_)"/>
    <numFmt numFmtId="164" formatCode="0.0%"/>
    <numFmt numFmtId="165" formatCode="#,##0.00000_);\(#,##0.00000\)"/>
    <numFmt numFmtId="166" formatCode="#,##0.0_);\(#,##0.0\)"/>
    <numFmt numFmtId="167" formatCode="&quot;$&quot;#,##0.00000_);\(&quot;$&quot;#,##0.00000\)"/>
    <numFmt numFmtId="168" formatCode="0.00_);\(0.00\)"/>
    <numFmt numFmtId="169" formatCode="&quot;$&quot;#,##0.00"/>
    <numFmt numFmtId="170" formatCode="_(&quot;$&quot;* #,##0_);_(&quot;$&quot;* \(#,##0\);_(&quot;$&quot;* &quot;-&quot;??_);_(@_)"/>
    <numFmt numFmtId="171" formatCode="0.000%"/>
    <numFmt numFmtId="172" formatCode="&quot;$&quot;#,##0.00000"/>
    <numFmt numFmtId="173" formatCode="&quot;$&quot;#,##0"/>
  </numFmts>
  <fonts count="20" x14ac:knownFonts="1">
    <font>
      <sz val="11"/>
      <color theme="1"/>
      <name val="Aptos Narrow"/>
      <family val="2"/>
      <scheme val="minor"/>
    </font>
    <font>
      <sz val="11"/>
      <color theme="1"/>
      <name val="Aptos Narrow"/>
      <family val="2"/>
      <scheme val="minor"/>
    </font>
    <font>
      <b/>
      <sz val="11"/>
      <name val="Aptos Narrow"/>
      <family val="2"/>
      <scheme val="minor"/>
    </font>
    <font>
      <sz val="11"/>
      <name val="Aptos Narrow"/>
      <family val="2"/>
      <scheme val="minor"/>
    </font>
    <font>
      <sz val="10"/>
      <name val="Times New Roman"/>
      <family val="1"/>
    </font>
    <font>
      <b/>
      <u/>
      <sz val="11"/>
      <name val="Aptos Narrow"/>
      <family val="2"/>
      <scheme val="minor"/>
    </font>
    <font>
      <b/>
      <i/>
      <sz val="11"/>
      <name val="Aptos Narrow"/>
      <family val="2"/>
      <scheme val="minor"/>
    </font>
    <font>
      <sz val="11"/>
      <color indexed="8"/>
      <name val="Aptos Narrow"/>
      <family val="2"/>
      <scheme val="minor"/>
    </font>
    <font>
      <sz val="10"/>
      <color theme="1"/>
      <name val="Tahoma"/>
      <family val="2"/>
    </font>
    <font>
      <b/>
      <sz val="11"/>
      <name val="Tahoma"/>
      <family val="2"/>
    </font>
    <font>
      <sz val="10"/>
      <name val="Tahoma"/>
      <family val="2"/>
    </font>
    <font>
      <b/>
      <sz val="10"/>
      <name val="Tahoma"/>
      <family val="2"/>
    </font>
    <font>
      <b/>
      <u/>
      <sz val="10"/>
      <name val="Tahoma"/>
      <family val="2"/>
    </font>
    <font>
      <sz val="8"/>
      <name val="Tahoma"/>
      <family val="2"/>
    </font>
    <font>
      <u/>
      <sz val="10"/>
      <name val="Tahoma"/>
      <family val="2"/>
    </font>
    <font>
      <b/>
      <sz val="11"/>
      <color rgb="FF000000"/>
      <name val="Aptos Narrow"/>
      <family val="2"/>
      <scheme val="minor"/>
    </font>
    <font>
      <sz val="11"/>
      <color rgb="FF000000"/>
      <name val="Aptos Narrow"/>
      <family val="2"/>
      <scheme val="minor"/>
    </font>
    <font>
      <sz val="10"/>
      <color rgb="FF000000"/>
      <name val="Tahoma"/>
      <family val="2"/>
    </font>
    <font>
      <u/>
      <sz val="11"/>
      <color rgb="FF000000"/>
      <name val="Aptos Narrow"/>
      <family val="2"/>
      <scheme val="minor"/>
    </font>
    <font>
      <b/>
      <u/>
      <sz val="11"/>
      <color rgb="FF000000"/>
      <name val="Aptos Narrow"/>
      <family val="2"/>
      <scheme val="minor"/>
    </font>
  </fonts>
  <fills count="2">
    <fill>
      <patternFill patternType="none"/>
    </fill>
    <fill>
      <patternFill patternType="gray125"/>
    </fill>
  </fills>
  <borders count="35">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medium">
        <color indexed="64"/>
      </bottom>
      <diagonal/>
    </border>
    <border>
      <left style="medium">
        <color indexed="64"/>
      </left>
      <right style="medium">
        <color indexed="64"/>
      </right>
      <top/>
      <bottom style="medium">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bottom style="double">
        <color indexed="64"/>
      </bottom>
      <diagonal/>
    </border>
  </borders>
  <cellStyleXfs count="10">
    <xf numFmtId="0" fontId="0" fillId="0" borderId="0"/>
    <xf numFmtId="44" fontId="1" fillId="0" borderId="0" applyFont="0" applyFill="0" applyBorder="0" applyAlignment="0" applyProtection="0"/>
    <xf numFmtId="9" fontId="1" fillId="0" borderId="0" applyFont="0" applyFill="0" applyBorder="0" applyAlignment="0" applyProtection="0"/>
    <xf numFmtId="0" fontId="4" fillId="0" borderId="0"/>
    <xf numFmtId="0" fontId="7" fillId="0" borderId="0"/>
    <xf numFmtId="0" fontId="8" fillId="0" borderId="0"/>
    <xf numFmtId="9" fontId="7"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cellStyleXfs>
  <cellXfs count="167">
    <xf numFmtId="0" fontId="0" fillId="0" borderId="0" xfId="0"/>
    <xf numFmtId="0" fontId="2" fillId="0" borderId="0" xfId="0" applyFont="1"/>
    <xf numFmtId="0" fontId="3" fillId="0" borderId="0" xfId="0" applyFont="1"/>
    <xf numFmtId="7" fontId="3" fillId="0" borderId="0" xfId="0" applyNumberFormat="1" applyFont="1"/>
    <xf numFmtId="39" fontId="3" fillId="0" borderId="0" xfId="0" applyNumberFormat="1" applyFont="1"/>
    <xf numFmtId="0" fontId="2" fillId="0" borderId="0" xfId="0" applyFont="1" applyAlignment="1">
      <alignment horizontal="left"/>
    </xf>
    <xf numFmtId="0" fontId="2" fillId="0" borderId="0" xfId="0" applyFont="1" applyAlignment="1">
      <alignment horizontal="centerContinuous"/>
    </xf>
    <xf numFmtId="7" fontId="2" fillId="0" borderId="0" xfId="0" applyNumberFormat="1" applyFont="1" applyAlignment="1">
      <alignment horizontal="center"/>
    </xf>
    <xf numFmtId="0" fontId="3" fillId="0" borderId="0" xfId="0" applyFont="1" applyAlignment="1">
      <alignment horizontal="center"/>
    </xf>
    <xf numFmtId="14" fontId="3" fillId="0" borderId="0" xfId="0" applyNumberFormat="1" applyFont="1" applyAlignment="1">
      <alignment horizontal="center"/>
    </xf>
    <xf numFmtId="14" fontId="3" fillId="0" borderId="1" xfId="0" applyNumberFormat="1" applyFont="1" applyBorder="1" applyAlignment="1">
      <alignment horizontal="center"/>
    </xf>
    <xf numFmtId="14" fontId="3" fillId="0" borderId="2" xfId="0" applyNumberFormat="1" applyFont="1" applyBorder="1" applyAlignment="1">
      <alignment horizontal="center"/>
    </xf>
    <xf numFmtId="37" fontId="3" fillId="0" borderId="0" xfId="0" applyNumberFormat="1" applyFont="1" applyAlignment="1">
      <alignment horizontal="center" wrapText="1"/>
    </xf>
    <xf numFmtId="0" fontId="3" fillId="0" borderId="3"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center"/>
    </xf>
    <xf numFmtId="0" fontId="2" fillId="0" borderId="0" xfId="0" applyFont="1" applyAlignment="1">
      <alignment horizontal="right"/>
    </xf>
    <xf numFmtId="0" fontId="2" fillId="0" borderId="0" xfId="0" applyFont="1" applyAlignment="1">
      <alignment horizontal="center"/>
    </xf>
    <xf numFmtId="0" fontId="2" fillId="0" borderId="1" xfId="0" applyFont="1" applyBorder="1" applyAlignment="1">
      <alignment horizontal="center"/>
    </xf>
    <xf numFmtId="0" fontId="2" fillId="0" borderId="1" xfId="0" applyFont="1" applyBorder="1" applyAlignment="1">
      <alignment horizontal="right"/>
    </xf>
    <xf numFmtId="0" fontId="3" fillId="0" borderId="5"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3" fillId="0" borderId="8" xfId="0" applyFont="1" applyBorder="1" applyAlignment="1">
      <alignment horizontal="center"/>
    </xf>
    <xf numFmtId="37" fontId="3" fillId="0" borderId="6" xfId="0" applyNumberFormat="1" applyFont="1" applyBorder="1"/>
    <xf numFmtId="165" fontId="3" fillId="0" borderId="6" xfId="0" applyNumberFormat="1" applyFont="1" applyBorder="1" applyAlignment="1">
      <alignment horizontal="center"/>
    </xf>
    <xf numFmtId="166" fontId="3" fillId="0" borderId="6" xfId="0" applyNumberFormat="1" applyFont="1" applyBorder="1"/>
    <xf numFmtId="7" fontId="3" fillId="0" borderId="6" xfId="0" applyNumberFormat="1" applyFont="1" applyBorder="1"/>
    <xf numFmtId="167" fontId="3" fillId="0" borderId="6" xfId="0" applyNumberFormat="1" applyFont="1" applyBorder="1"/>
    <xf numFmtId="164" fontId="3" fillId="0" borderId="7" xfId="2" applyNumberFormat="1" applyFont="1" applyFill="1" applyBorder="1"/>
    <xf numFmtId="0" fontId="3" fillId="0" borderId="6" xfId="0" applyFont="1" applyBorder="1" applyAlignment="1">
      <alignment horizontal="center"/>
    </xf>
    <xf numFmtId="168" fontId="3" fillId="0" borderId="0" xfId="0" applyNumberFormat="1" applyFont="1" applyAlignment="1">
      <alignment horizontal="center"/>
    </xf>
    <xf numFmtId="37" fontId="3" fillId="0" borderId="0" xfId="0" applyNumberFormat="1" applyFont="1"/>
    <xf numFmtId="37" fontId="3" fillId="0" borderId="0" xfId="0" applyNumberFormat="1" applyFont="1" applyAlignment="1">
      <alignment horizontal="center"/>
    </xf>
    <xf numFmtId="166" fontId="3" fillId="0" borderId="0" xfId="0" applyNumberFormat="1" applyFont="1"/>
    <xf numFmtId="167" fontId="3" fillId="0" borderId="0" xfId="0" applyNumberFormat="1" applyFont="1"/>
    <xf numFmtId="164" fontId="3" fillId="0" borderId="2" xfId="2" applyNumberFormat="1" applyFont="1" applyFill="1" applyBorder="1"/>
    <xf numFmtId="168" fontId="2" fillId="0" borderId="6" xfId="0" applyNumberFormat="1" applyFont="1" applyBorder="1" applyAlignment="1">
      <alignment horizontal="center"/>
    </xf>
    <xf numFmtId="37" fontId="2" fillId="0" borderId="6" xfId="0" applyNumberFormat="1" applyFont="1" applyBorder="1"/>
    <xf numFmtId="37" fontId="2" fillId="0" borderId="6" xfId="0" applyNumberFormat="1" applyFont="1" applyBorder="1" applyAlignment="1">
      <alignment horizontal="center"/>
    </xf>
    <xf numFmtId="166" fontId="2" fillId="0" borderId="6" xfId="0" applyNumberFormat="1" applyFont="1" applyBorder="1"/>
    <xf numFmtId="7" fontId="2" fillId="0" borderId="6" xfId="0" applyNumberFormat="1" applyFont="1" applyBorder="1"/>
    <xf numFmtId="167" fontId="2" fillId="0" borderId="6" xfId="0" applyNumberFormat="1" applyFont="1" applyBorder="1"/>
    <xf numFmtId="164" fontId="2" fillId="0" borderId="7" xfId="2" applyNumberFormat="1" applyFont="1" applyFill="1" applyBorder="1"/>
    <xf numFmtId="166" fontId="2" fillId="0" borderId="0" xfId="0" applyNumberFormat="1" applyFont="1"/>
    <xf numFmtId="7" fontId="2" fillId="0" borderId="0" xfId="0" applyNumberFormat="1" applyFont="1"/>
    <xf numFmtId="167" fontId="2" fillId="0" borderId="9" xfId="0" applyNumberFormat="1" applyFont="1" applyBorder="1"/>
    <xf numFmtId="167" fontId="2" fillId="0" borderId="0" xfId="0" applyNumberFormat="1" applyFont="1"/>
    <xf numFmtId="37" fontId="3" fillId="0" borderId="8" xfId="0" applyNumberFormat="1" applyFont="1" applyBorder="1"/>
    <xf numFmtId="165" fontId="3" fillId="0" borderId="8" xfId="0" applyNumberFormat="1" applyFont="1" applyBorder="1" applyAlignment="1">
      <alignment horizontal="center"/>
    </xf>
    <xf numFmtId="166" fontId="3" fillId="0" borderId="8" xfId="0" applyNumberFormat="1" applyFont="1" applyBorder="1"/>
    <xf numFmtId="7" fontId="3" fillId="0" borderId="8" xfId="0" applyNumberFormat="1" applyFont="1" applyBorder="1"/>
    <xf numFmtId="167" fontId="3" fillId="0" borderId="8" xfId="0" applyNumberFormat="1" applyFont="1" applyBorder="1"/>
    <xf numFmtId="39" fontId="3" fillId="0" borderId="6" xfId="0" applyNumberFormat="1" applyFont="1" applyBorder="1"/>
    <xf numFmtId="165" fontId="3" fillId="0" borderId="6" xfId="0" applyNumberFormat="1" applyFont="1" applyBorder="1"/>
    <xf numFmtId="39" fontId="3" fillId="0" borderId="4" xfId="0" applyNumberFormat="1" applyFont="1" applyBorder="1"/>
    <xf numFmtId="39" fontId="3" fillId="0" borderId="10" xfId="0" applyNumberFormat="1" applyFont="1" applyBorder="1"/>
    <xf numFmtId="0" fontId="5" fillId="0" borderId="0" xfId="0" applyFont="1"/>
    <xf numFmtId="0" fontId="3" fillId="0" borderId="11" xfId="0" applyFont="1" applyBorder="1"/>
    <xf numFmtId="0" fontId="3" fillId="0" borderId="12" xfId="0" applyFont="1" applyBorder="1"/>
    <xf numFmtId="0" fontId="3" fillId="0" borderId="12" xfId="0" applyFont="1" applyBorder="1" applyAlignment="1">
      <alignment horizontal="center"/>
    </xf>
    <xf numFmtId="169" fontId="3" fillId="0" borderId="0" xfId="0" applyNumberFormat="1" applyFont="1"/>
    <xf numFmtId="165" fontId="3" fillId="0" borderId="0" xfId="0" applyNumberFormat="1" applyFont="1"/>
    <xf numFmtId="0" fontId="3" fillId="0" borderId="0" xfId="0" applyFont="1" applyAlignment="1">
      <alignment horizontal="center" wrapText="1"/>
    </xf>
    <xf numFmtId="0" fontId="2" fillId="0" borderId="0" xfId="0" quotePrefix="1" applyFont="1" applyAlignment="1">
      <alignment horizontal="center"/>
    </xf>
    <xf numFmtId="165" fontId="6" fillId="0" borderId="6" xfId="0" applyNumberFormat="1" applyFont="1" applyBorder="1"/>
    <xf numFmtId="0" fontId="3" fillId="0" borderId="17" xfId="0" applyFont="1" applyBorder="1"/>
    <xf numFmtId="165" fontId="3" fillId="0" borderId="19" xfId="0" applyNumberFormat="1" applyFont="1" applyBorder="1"/>
    <xf numFmtId="170" fontId="2" fillId="0" borderId="18" xfId="1" applyNumberFormat="1" applyFont="1" applyFill="1" applyBorder="1"/>
    <xf numFmtId="171" fontId="3" fillId="0" borderId="18" xfId="2" applyNumberFormat="1" applyFont="1" applyFill="1" applyBorder="1"/>
    <xf numFmtId="0" fontId="3" fillId="0" borderId="12" xfId="0" applyFont="1" applyBorder="1" applyAlignment="1">
      <alignment horizontal="left"/>
    </xf>
    <xf numFmtId="165" fontId="3" fillId="0" borderId="19" xfId="0" applyNumberFormat="1" applyFont="1" applyBorder="1" applyAlignment="1">
      <alignment horizontal="left"/>
    </xf>
    <xf numFmtId="0" fontId="3" fillId="0" borderId="20" xfId="0" applyFont="1" applyBorder="1"/>
    <xf numFmtId="37" fontId="2" fillId="0" borderId="21" xfId="0" applyNumberFormat="1" applyFont="1" applyBorder="1"/>
    <xf numFmtId="37" fontId="3" fillId="0" borderId="22" xfId="0" applyNumberFormat="1" applyFont="1" applyBorder="1"/>
    <xf numFmtId="165" fontId="3" fillId="0" borderId="23" xfId="0" applyNumberFormat="1" applyFont="1" applyBorder="1"/>
    <xf numFmtId="0" fontId="2" fillId="0" borderId="25" xfId="0" applyFont="1" applyBorder="1" applyAlignment="1">
      <alignment horizontal="right"/>
    </xf>
    <xf numFmtId="0" fontId="2" fillId="0" borderId="26" xfId="0" applyFont="1" applyBorder="1" applyAlignment="1">
      <alignment horizontal="center"/>
    </xf>
    <xf numFmtId="165" fontId="3" fillId="0" borderId="27" xfId="0" applyNumberFormat="1" applyFont="1" applyBorder="1" applyAlignment="1">
      <alignment horizontal="center"/>
    </xf>
    <xf numFmtId="0" fontId="2" fillId="0" borderId="29" xfId="0" applyFont="1" applyBorder="1" applyAlignment="1">
      <alignment horizontal="center"/>
    </xf>
    <xf numFmtId="0" fontId="2" fillId="0" borderId="30" xfId="0" applyFont="1" applyBorder="1" applyAlignment="1">
      <alignment horizontal="center"/>
    </xf>
    <xf numFmtId="165" fontId="2" fillId="0" borderId="28" xfId="0" applyNumberFormat="1" applyFont="1" applyBorder="1" applyAlignment="1">
      <alignment horizontal="center"/>
    </xf>
    <xf numFmtId="172" fontId="3" fillId="0" borderId="6" xfId="0" applyNumberFormat="1" applyFont="1" applyBorder="1"/>
    <xf numFmtId="5" fontId="3" fillId="0" borderId="6" xfId="0" applyNumberFormat="1" applyFont="1" applyBorder="1"/>
    <xf numFmtId="173" fontId="3" fillId="0" borderId="6" xfId="0" applyNumberFormat="1" applyFont="1" applyBorder="1"/>
    <xf numFmtId="165" fontId="3" fillId="0" borderId="29" xfId="0" applyNumberFormat="1" applyFont="1" applyBorder="1"/>
    <xf numFmtId="166" fontId="3" fillId="0" borderId="30" xfId="0" applyNumberFormat="1" applyFont="1" applyBorder="1" applyAlignment="1">
      <alignment horizontal="center"/>
    </xf>
    <xf numFmtId="167" fontId="3" fillId="0" borderId="28" xfId="0" applyNumberFormat="1" applyFont="1" applyBorder="1"/>
    <xf numFmtId="165" fontId="3" fillId="0" borderId="28" xfId="0" applyNumberFormat="1" applyFont="1" applyBorder="1"/>
    <xf numFmtId="172" fontId="3" fillId="0" borderId="0" xfId="0" applyNumberFormat="1" applyFont="1"/>
    <xf numFmtId="5" fontId="3" fillId="0" borderId="0" xfId="0" applyNumberFormat="1" applyFont="1"/>
    <xf numFmtId="173" fontId="3" fillId="0" borderId="0" xfId="3" quotePrefix="1" applyNumberFormat="1" applyFont="1"/>
    <xf numFmtId="165" fontId="3" fillId="0" borderId="31" xfId="0" applyNumberFormat="1" applyFont="1" applyBorder="1"/>
    <xf numFmtId="166" fontId="3" fillId="0" borderId="26" xfId="0" applyNumberFormat="1" applyFont="1" applyBorder="1" applyAlignment="1">
      <alignment horizontal="center"/>
    </xf>
    <xf numFmtId="5" fontId="3" fillId="0" borderId="0" xfId="3" applyNumberFormat="1" applyFont="1"/>
    <xf numFmtId="167" fontId="3" fillId="0" borderId="27" xfId="3" applyNumberFormat="1" applyFont="1" applyBorder="1"/>
    <xf numFmtId="168" fontId="3" fillId="0" borderId="6" xfId="0" applyNumberFormat="1" applyFont="1" applyBorder="1" applyAlignment="1">
      <alignment horizontal="center"/>
    </xf>
    <xf numFmtId="37" fontId="3" fillId="0" borderId="5" xfId="0" applyNumberFormat="1" applyFont="1" applyBorder="1"/>
    <xf numFmtId="165" fontId="3" fillId="0" borderId="25" xfId="0" applyNumberFormat="1" applyFont="1" applyBorder="1"/>
    <xf numFmtId="5" fontId="3" fillId="0" borderId="0" xfId="3" quotePrefix="1" applyNumberFormat="1" applyFont="1"/>
    <xf numFmtId="167" fontId="3" fillId="0" borderId="27" xfId="3" quotePrefix="1" applyNumberFormat="1" applyFont="1" applyBorder="1"/>
    <xf numFmtId="173" fontId="3" fillId="0" borderId="0" xfId="0" applyNumberFormat="1" applyFont="1"/>
    <xf numFmtId="167" fontId="3" fillId="0" borderId="27" xfId="0" applyNumberFormat="1" applyFont="1" applyBorder="1"/>
    <xf numFmtId="165" fontId="3" fillId="0" borderId="27" xfId="0" applyNumberFormat="1" applyFont="1" applyBorder="1"/>
    <xf numFmtId="172" fontId="3" fillId="0" borderId="8" xfId="0" applyNumberFormat="1" applyFont="1" applyBorder="1"/>
    <xf numFmtId="5" fontId="3" fillId="0" borderId="8" xfId="0" applyNumberFormat="1" applyFont="1" applyBorder="1"/>
    <xf numFmtId="165" fontId="3" fillId="0" borderId="32" xfId="0" applyNumberFormat="1" applyFont="1" applyBorder="1"/>
    <xf numFmtId="166" fontId="3" fillId="0" borderId="13" xfId="0" applyNumberFormat="1" applyFont="1" applyBorder="1" applyAlignment="1">
      <alignment horizontal="center"/>
    </xf>
    <xf numFmtId="169" fontId="3" fillId="0" borderId="6" xfId="0" applyNumberFormat="1" applyFont="1" applyBorder="1"/>
    <xf numFmtId="166" fontId="3" fillId="0" borderId="0" xfId="0" applyNumberFormat="1" applyFont="1" applyAlignment="1">
      <alignment horizontal="center"/>
    </xf>
    <xf numFmtId="5" fontId="3" fillId="0" borderId="0" xfId="0" applyNumberFormat="1" applyFont="1" applyAlignment="1">
      <alignment horizontal="center"/>
    </xf>
    <xf numFmtId="10" fontId="3" fillId="0" borderId="0" xfId="2" applyNumberFormat="1" applyFont="1" applyFill="1" applyBorder="1" applyAlignment="1">
      <alignment horizontal="center"/>
    </xf>
    <xf numFmtId="0" fontId="2" fillId="0" borderId="11" xfId="0" applyFont="1" applyBorder="1"/>
    <xf numFmtId="37" fontId="7" fillId="0" borderId="0" xfId="4" applyNumberFormat="1"/>
    <xf numFmtId="0" fontId="9" fillId="0" borderId="0" xfId="7" applyFont="1"/>
    <xf numFmtId="0" fontId="10" fillId="0" borderId="0" xfId="7" applyFont="1"/>
    <xf numFmtId="0" fontId="4" fillId="0" borderId="0" xfId="7"/>
    <xf numFmtId="0" fontId="11" fillId="0" borderId="0" xfId="7" applyFont="1"/>
    <xf numFmtId="0" fontId="10" fillId="0" borderId="0" xfId="7" applyFont="1" applyAlignment="1">
      <alignment horizontal="center"/>
    </xf>
    <xf numFmtId="0" fontId="12" fillId="0" borderId="0" xfId="7" applyFont="1" applyAlignment="1">
      <alignment horizontal="center"/>
    </xf>
    <xf numFmtId="37" fontId="10" fillId="0" borderId="0" xfId="7" applyNumberFormat="1" applyFont="1"/>
    <xf numFmtId="0" fontId="13" fillId="0" borderId="0" xfId="7" applyFont="1"/>
    <xf numFmtId="0" fontId="12" fillId="0" borderId="0" xfId="7" applyFont="1"/>
    <xf numFmtId="0" fontId="14" fillId="0" borderId="0" xfId="7" applyFont="1"/>
    <xf numFmtId="170" fontId="10" fillId="0" borderId="6" xfId="8" applyNumberFormat="1" applyFont="1" applyFill="1" applyBorder="1"/>
    <xf numFmtId="5" fontId="11" fillId="0" borderId="34" xfId="7" applyNumberFormat="1" applyFont="1" applyBorder="1"/>
    <xf numFmtId="0" fontId="11" fillId="0" borderId="0" xfId="7" quotePrefix="1" applyFont="1"/>
    <xf numFmtId="0" fontId="10" fillId="0" borderId="0" xfId="7" quotePrefix="1" applyFont="1"/>
    <xf numFmtId="5" fontId="11" fillId="0" borderId="0" xfId="8" applyNumberFormat="1" applyFont="1" applyFill="1"/>
    <xf numFmtId="37" fontId="11" fillId="0" borderId="0" xfId="7" applyNumberFormat="1" applyFont="1"/>
    <xf numFmtId="10" fontId="11" fillId="0" borderId="0" xfId="9" applyNumberFormat="1" applyFont="1" applyFill="1"/>
    <xf numFmtId="37" fontId="15" fillId="0" borderId="0" xfId="4" applyNumberFormat="1" applyFont="1"/>
    <xf numFmtId="37" fontId="16" fillId="0" borderId="0" xfId="4" applyNumberFormat="1" applyFont="1"/>
    <xf numFmtId="37" fontId="15" fillId="0" borderId="6" xfId="4" applyNumberFormat="1" applyFont="1" applyBorder="1"/>
    <xf numFmtId="37" fontId="16" fillId="0" borderId="6" xfId="4" applyNumberFormat="1" applyFont="1" applyBorder="1"/>
    <xf numFmtId="37" fontId="17" fillId="0" borderId="0" xfId="5" applyNumberFormat="1" applyFont="1"/>
    <xf numFmtId="37" fontId="16" fillId="0" borderId="5" xfId="4" applyNumberFormat="1" applyFont="1" applyBorder="1"/>
    <xf numFmtId="7" fontId="16" fillId="0" borderId="5" xfId="4" applyNumberFormat="1" applyFont="1" applyBorder="1"/>
    <xf numFmtId="7" fontId="16" fillId="0" borderId="0" xfId="4" applyNumberFormat="1" applyFont="1"/>
    <xf numFmtId="167" fontId="16" fillId="0" borderId="0" xfId="4" applyNumberFormat="1" applyFont="1"/>
    <xf numFmtId="37" fontId="16" fillId="0" borderId="3" xfId="4" applyNumberFormat="1" applyFont="1" applyBorder="1"/>
    <xf numFmtId="7" fontId="16" fillId="0" borderId="3" xfId="4" applyNumberFormat="1" applyFont="1" applyBorder="1"/>
    <xf numFmtId="37" fontId="18" fillId="0" borderId="0" xfId="4" applyNumberFormat="1" applyFont="1"/>
    <xf numFmtId="37" fontId="19" fillId="0" borderId="0" xfId="4" applyNumberFormat="1" applyFont="1"/>
    <xf numFmtId="10" fontId="16" fillId="0" borderId="0" xfId="6" applyNumberFormat="1" applyFont="1"/>
    <xf numFmtId="37" fontId="16" fillId="0" borderId="0" xfId="4" applyNumberFormat="1" applyFont="1" applyAlignment="1">
      <alignment horizontal="left"/>
    </xf>
    <xf numFmtId="10" fontId="16" fillId="0" borderId="0" xfId="2" applyNumberFormat="1" applyFont="1"/>
    <xf numFmtId="164" fontId="16" fillId="0" borderId="0" xfId="6" applyNumberFormat="1" applyFont="1"/>
    <xf numFmtId="37" fontId="15" fillId="0" borderId="11" xfId="4" applyNumberFormat="1" applyFont="1" applyBorder="1"/>
    <xf numFmtId="37" fontId="16" fillId="0" borderId="12" xfId="4" applyNumberFormat="1" applyFont="1" applyBorder="1"/>
    <xf numFmtId="37" fontId="16" fillId="0" borderId="33" xfId="4" applyNumberFormat="1" applyFont="1" applyBorder="1"/>
    <xf numFmtId="37" fontId="16" fillId="0" borderId="0" xfId="4" applyNumberFormat="1" applyFont="1" applyAlignment="1">
      <alignment horizontal="center"/>
    </xf>
    <xf numFmtId="37" fontId="16" fillId="0" borderId="6" xfId="4" applyNumberFormat="1" applyFont="1" applyBorder="1" applyAlignment="1">
      <alignment horizontal="center"/>
    </xf>
    <xf numFmtId="37" fontId="16" fillId="0" borderId="6" xfId="4" quotePrefix="1" applyNumberFormat="1" applyFont="1" applyBorder="1"/>
    <xf numFmtId="0" fontId="16" fillId="0" borderId="0" xfId="4" applyFont="1"/>
    <xf numFmtId="5" fontId="16" fillId="0" borderId="0" xfId="4" applyNumberFormat="1" applyFont="1"/>
    <xf numFmtId="5" fontId="16" fillId="0" borderId="6" xfId="4" applyNumberFormat="1" applyFont="1" applyBorder="1"/>
    <xf numFmtId="0" fontId="2" fillId="0" borderId="24" xfId="0" applyFont="1" applyBorder="1" applyAlignment="1">
      <alignment horizontal="center" wrapText="1"/>
    </xf>
    <xf numFmtId="0" fontId="3" fillId="0" borderId="28" xfId="0" applyFont="1" applyBorder="1" applyAlignment="1">
      <alignment horizontal="center" wrapText="1"/>
    </xf>
    <xf numFmtId="37" fontId="2" fillId="0" borderId="14" xfId="0" applyNumberFormat="1" applyFont="1" applyBorder="1" applyAlignment="1">
      <alignment horizontal="center"/>
    </xf>
    <xf numFmtId="37" fontId="2" fillId="0" borderId="15" xfId="0" applyNumberFormat="1" applyFont="1" applyBorder="1" applyAlignment="1">
      <alignment horizontal="center"/>
    </xf>
    <xf numFmtId="37" fontId="2" fillId="0" borderId="16" xfId="0" applyNumberFormat="1" applyFont="1" applyBorder="1" applyAlignment="1">
      <alignment horizontal="center"/>
    </xf>
    <xf numFmtId="37" fontId="2" fillId="0" borderId="0" xfId="0" applyNumberFormat="1" applyFont="1" applyAlignment="1">
      <alignment horizontal="left" wrapText="1"/>
    </xf>
    <xf numFmtId="0" fontId="3" fillId="0" borderId="0" xfId="0" applyFont="1" applyAlignment="1">
      <alignment wrapText="1"/>
    </xf>
    <xf numFmtId="0" fontId="2" fillId="0" borderId="0" xfId="0" applyFont="1" applyAlignment="1">
      <alignment horizontal="left" wrapText="1"/>
    </xf>
    <xf numFmtId="0" fontId="2" fillId="0" borderId="0" xfId="0" applyFont="1" applyAlignment="1">
      <alignment wrapText="1"/>
    </xf>
    <xf numFmtId="37" fontId="16" fillId="0" borderId="0" xfId="4" applyNumberFormat="1" applyFont="1" applyAlignment="1">
      <alignment horizontal="left"/>
    </xf>
  </cellXfs>
  <cellStyles count="10">
    <cellStyle name="Currency" xfId="1" builtinId="4"/>
    <cellStyle name="Currency 2" xfId="8" xr:uid="{49836EB9-5181-4744-8BA2-0517E35A6F72}"/>
    <cellStyle name="Normal" xfId="0" builtinId="0"/>
    <cellStyle name="Normal 2" xfId="4" xr:uid="{34C34D95-CBDF-4C00-941E-9659633923D8}"/>
    <cellStyle name="Normal 2 2" xfId="5" xr:uid="{193879C4-CAD9-4F23-BC6B-D98DA170B307}"/>
    <cellStyle name="Normal 3" xfId="7" xr:uid="{399BFC18-577B-413F-91FC-DB358A8C4B0F}"/>
    <cellStyle name="Normal_Book3" xfId="3" xr:uid="{81655287-DBD0-4170-AB21-658B54B3775B}"/>
    <cellStyle name="Percent" xfId="2" builtinId="5"/>
    <cellStyle name="Percent 2" xfId="6" xr:uid="{1BCE2E42-80C2-4C90-8FB0-32955A35A309}"/>
    <cellStyle name="Percent 3" xfId="9" xr:uid="{72007384-2D18-4427-92F6-49B7181C7D8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ncs\Desktop\Testers\2005-06%20PGA%20File%20NCS.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gasco.com\share\GROUPS\Regulatory_Affairs\PGA%20-%20WASHINGTON\2024\8_BDP\2024-25%20OR%20WA%20PGA%20JULY%20Forecast%202024%200701_DRFT%20-%20BDP.xlsx" TargetMode="External"/><Relationship Id="rId1" Type="http://schemas.openxmlformats.org/officeDocument/2006/relationships/externalLinkPath" Target="/personal/avery_booth_utc_wa_gov/Documents/Local%20Computer%20Files/Downloads/2024-25%20OR%20WA%20PGA%20JULY%20Forecast%202024%200701_DRFT%20-%20BDP.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R:\Regulatory_Affairs\Current%20Rates\2_Washington\NWN%202023-24%20PGA%20WA%20Rate%20Development_September%20Filing_CCA.xlsx" TargetMode="External"/><Relationship Id="rId1" Type="http://schemas.openxmlformats.org/officeDocument/2006/relationships/externalLinkPath" Target="/Regulatory_Affairs/Current%20Rates/2_Washington/NWN%202023-24%20PGA%20WA%20Rate%20Development_September%20Filing_CCA.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gasco.com\share\GROUPS\Regulatory_Affairs\Decarbonization\CCA\Jan%201,%202025%20Filing\NWN%202024-25%20PGA%20Summary%20Effects%20September%20filing_WA_CCA+BDP.xlsx" TargetMode="External"/><Relationship Id="rId1" Type="http://schemas.openxmlformats.org/officeDocument/2006/relationships/externalLinkPath" Target="/GROUPS/Regulatory_Affairs/Decarbonization/CCA/Jan%201,%202025%20Filing/NWN%202024-25%20PGA%20Summary%20Effects%20September%20filing_WA_CCA+BD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1"/>
      <sheetName val="Staff Summary Page 1"/>
      <sheetName val="Staff Summary Page 2"/>
      <sheetName val="Staff Summary Page 3"/>
      <sheetName val="data"/>
      <sheetName val="PGA effects"/>
      <sheetName val="Sheet1"/>
      <sheetName val="Equalpct"/>
      <sheetName val="PGA by Sched"/>
      <sheetName val="Rates"/>
      <sheetName val="Unbundled Rates"/>
      <sheetName val="RC Clp"/>
      <sheetName val="TEST CLP"/>
      <sheetName val="Elasticity"/>
      <sheetName val="Bare Steel"/>
      <sheetName val="Geo-Hazard"/>
      <sheetName val="CLP with elas"/>
      <sheetName val="New SMPE"/>
      <sheetName val="Temp Inc Summary"/>
      <sheetName val="Proposed Temps"/>
      <sheetName val="Derivation of Temps"/>
      <sheetName val="Base Adjustm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OTES"/>
      <sheetName val="PGA 24-25"/>
      <sheetName val="PGA 23-24"/>
      <sheetName val="Dist Split 23-24"/>
      <sheetName val="PGA 22-23"/>
      <sheetName val="Dist Split 22-23"/>
      <sheetName val="PGA 21-22"/>
      <sheetName val="Dist Split 21-22"/>
      <sheetName val="PGA 20-21"/>
      <sheetName val="Dist Split 20-21"/>
      <sheetName val="PGA 19-20"/>
      <sheetName val="Dist Split 19-20"/>
      <sheetName val="Delta"/>
      <sheetName val="PGA 18-19"/>
      <sheetName val="PGA 17-18"/>
    </sheetNames>
    <sheetDataSet>
      <sheetData sheetId="0"/>
      <sheetData sheetId="1">
        <row r="16">
          <cell r="R16">
            <v>0.75510679003069969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dex &amp; Documentation"/>
      <sheetName val="Inputs"/>
      <sheetName val="Washington volumes"/>
      <sheetName val="Allocation equal ¢ per therm"/>
      <sheetName val="Allocation = % of revenue"/>
      <sheetName val="Allocation = % of margin"/>
      <sheetName val="Temporaries"/>
      <sheetName val="Rates in detail"/>
      <sheetName val="Permanents"/>
      <sheetName val="Avg Bill by RS"/>
      <sheetName val="Rates in summary"/>
      <sheetName val="Margin Model"/>
      <sheetName val="Amortization"/>
      <sheetName val="F Goldenrod"/>
      <sheetName val="F Goldenrod+Rate Case"/>
      <sheetName val="Cover"/>
      <sheetName val="WA Index"/>
      <sheetName val="Statement of Rates"/>
      <sheetName val="Summary of Sales Rates"/>
      <sheetName val="Summary of Transportation Rates"/>
      <sheetName val="Summary of Changes in Rate"/>
      <sheetName val="Adjs. to Residential Rates"/>
      <sheetName val="Rate Case History"/>
      <sheetName val="Annual WACOG History"/>
      <sheetName val="Winter WACOG History"/>
      <sheetName val="RS 1 BR History"/>
      <sheetName val="RS 2 BR History"/>
      <sheetName val="RS 3 BR History"/>
      <sheetName val="RS 19 BR History"/>
      <sheetName val="RS 27 BR History"/>
      <sheetName val="RS 41 Firm BR History"/>
      <sheetName val="RS 41 Intp BR History"/>
      <sheetName val="RS 42 FS BR History"/>
      <sheetName val="RS42 IS BR History"/>
      <sheetName val="RS 41T BR History"/>
      <sheetName val="RS 42T BR History"/>
      <sheetName val="RS 43 FT BR History"/>
      <sheetName val="RS 43 IT BR History "/>
      <sheetName val="RS 1 PR History"/>
      <sheetName val="RS 2 PR History"/>
      <sheetName val="RS 3 PR History"/>
      <sheetName val="RS 21 BR History"/>
      <sheetName val="RS 54 BR History"/>
      <sheetName val="wacog purch history 1988-2007"/>
      <sheetName val="Chgs in Rates by RS 1995-2004"/>
      <sheetName val="RS 3T BR History"/>
    </sheetNames>
    <sheetDataSet>
      <sheetData sheetId="0"/>
      <sheetData sheetId="1">
        <row r="68">
          <cell r="B68">
            <v>-320858</v>
          </cell>
        </row>
      </sheetData>
      <sheetData sheetId="2"/>
      <sheetData sheetId="3">
        <row r="10">
          <cell r="F10">
            <v>527173</v>
          </cell>
        </row>
      </sheetData>
      <sheetData sheetId="4">
        <row r="10">
          <cell r="K10">
            <v>231344</v>
          </cell>
        </row>
      </sheetData>
      <sheetData sheetId="5">
        <row r="10">
          <cell r="N10">
            <v>4723917</v>
          </cell>
          <cell r="AI10">
            <v>1242118</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4-XX ECRM"/>
      <sheetName val="24-07 R&amp;C Eng. Effic."/>
      <sheetName val="24-08 GREAT &amp; WA-LIEE"/>
      <sheetName val="20-8 Interim Tax Deferral"/>
      <sheetName val="24-09 Regulatory Fee"/>
      <sheetName val="24-10 Rate Mitigation"/>
      <sheetName val="24-11 Property Sales"/>
      <sheetName val="24-12 Industrial EE Audit"/>
      <sheetName val="24-13 Mist Recall"/>
      <sheetName val="23-05 Res. Bill Discount"/>
      <sheetName val="24-14 PGA"/>
      <sheetName val="CCA Recovery"/>
      <sheetName val="Revenue Senstive"/>
      <sheetName val="24-14 Combin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6">
          <cell r="B36" t="str">
            <v>2023 Washington CBR Normalized Total Revenues</v>
          </cell>
          <cell r="F36">
            <v>121797100.09618466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8DF35-00EC-426D-82E4-B88B43ADAAF5}">
  <sheetPr>
    <pageSetUpPr fitToPage="1"/>
  </sheetPr>
  <dimension ref="A1:P90"/>
  <sheetViews>
    <sheetView tabSelected="1" view="pageLayout" topLeftCell="E1" zoomScaleNormal="100" workbookViewId="0">
      <selection activeCell="T4" sqref="T4"/>
    </sheetView>
  </sheetViews>
  <sheetFormatPr defaultRowHeight="15" x14ac:dyDescent="0.25"/>
  <cols>
    <col min="1" max="1" width="9.28515625" bestFit="1" customWidth="1"/>
    <col min="2" max="2" width="21.7109375" customWidth="1"/>
    <col min="4" max="4" width="13.5703125" bestFit="1" customWidth="1"/>
    <col min="5" max="5" width="11.85546875" customWidth="1"/>
    <col min="6" max="6" width="12.85546875" customWidth="1"/>
    <col min="7" max="7" width="15.28515625" customWidth="1"/>
    <col min="8" max="8" width="10.5703125" bestFit="1" customWidth="1"/>
    <col min="9" max="9" width="14.140625" bestFit="1" customWidth="1"/>
    <col min="10" max="10" width="10.7109375" bestFit="1" customWidth="1"/>
    <col min="11" max="11" width="10.140625" customWidth="1"/>
    <col min="12" max="12" width="11.5703125" customWidth="1"/>
    <col min="13" max="13" width="24.42578125" customWidth="1"/>
    <col min="14" max="14" width="16.28515625" bestFit="1" customWidth="1"/>
    <col min="15" max="15" width="29.5703125" customWidth="1"/>
    <col min="16" max="16" width="9.42578125" bestFit="1" customWidth="1"/>
  </cols>
  <sheetData>
    <row r="1" spans="1:16" x14ac:dyDescent="0.25">
      <c r="A1" s="1" t="s">
        <v>0</v>
      </c>
      <c r="B1" s="2"/>
      <c r="C1" s="2"/>
      <c r="D1" s="2"/>
      <c r="E1" s="2"/>
      <c r="F1" s="2"/>
      <c r="G1" s="2"/>
      <c r="H1" s="2"/>
      <c r="I1" s="61"/>
      <c r="J1" s="2"/>
      <c r="K1" s="2"/>
      <c r="L1" s="2"/>
      <c r="M1" s="2"/>
      <c r="N1" s="2"/>
      <c r="O1" s="2"/>
      <c r="P1" s="62"/>
    </row>
    <row r="2" spans="1:16" x14ac:dyDescent="0.25">
      <c r="A2" s="1" t="s">
        <v>1</v>
      </c>
      <c r="B2" s="2"/>
      <c r="C2" s="2"/>
      <c r="D2" s="2"/>
      <c r="E2" s="2"/>
      <c r="F2" s="2"/>
      <c r="G2" s="2"/>
      <c r="H2" s="2"/>
      <c r="I2" s="61"/>
      <c r="J2" s="2"/>
      <c r="K2" s="2"/>
      <c r="L2" s="2"/>
      <c r="M2" s="2"/>
      <c r="N2" s="2"/>
      <c r="O2" s="2"/>
      <c r="P2" s="62"/>
    </row>
    <row r="3" spans="1:16" x14ac:dyDescent="0.25">
      <c r="A3" s="1" t="s">
        <v>2</v>
      </c>
      <c r="B3" s="2"/>
      <c r="C3" s="2"/>
      <c r="D3" s="2"/>
      <c r="E3" s="2"/>
      <c r="F3" s="2"/>
      <c r="G3" s="2"/>
      <c r="H3" s="2"/>
      <c r="I3" s="61"/>
      <c r="J3" s="2"/>
      <c r="K3" s="2"/>
      <c r="L3" s="2"/>
      <c r="M3" s="2"/>
      <c r="N3" s="2"/>
      <c r="O3" s="2"/>
      <c r="P3" s="62"/>
    </row>
    <row r="4" spans="1:16" x14ac:dyDescent="0.25">
      <c r="A4" s="1" t="s">
        <v>3</v>
      </c>
      <c r="B4" s="2"/>
      <c r="C4" s="2"/>
      <c r="D4" s="2"/>
      <c r="E4" s="2"/>
      <c r="F4" s="2"/>
      <c r="G4" s="2"/>
      <c r="H4" s="2"/>
      <c r="I4" s="61"/>
      <c r="J4" s="2"/>
      <c r="K4" s="2"/>
      <c r="L4" s="2"/>
      <c r="M4" s="2"/>
      <c r="N4" s="2"/>
      <c r="O4" s="2"/>
      <c r="P4" s="62"/>
    </row>
    <row r="5" spans="1:16" x14ac:dyDescent="0.25">
      <c r="A5" s="2"/>
      <c r="B5" s="2"/>
      <c r="C5" s="2"/>
      <c r="D5" s="2"/>
      <c r="E5" s="2"/>
      <c r="F5" s="2"/>
      <c r="G5" s="2"/>
      <c r="H5" s="2"/>
      <c r="I5" s="61"/>
      <c r="J5" s="2"/>
      <c r="K5" s="2"/>
      <c r="L5" s="2"/>
      <c r="M5" s="2"/>
      <c r="N5" s="2"/>
      <c r="O5" s="2"/>
      <c r="P5" s="62"/>
    </row>
    <row r="6" spans="1:16" x14ac:dyDescent="0.25">
      <c r="A6" s="1"/>
      <c r="B6" s="1"/>
      <c r="C6" s="1"/>
      <c r="D6" s="1"/>
      <c r="E6" s="2"/>
      <c r="F6" s="2"/>
      <c r="G6" s="2"/>
      <c r="H6" s="64"/>
      <c r="I6" s="61"/>
      <c r="J6" s="64"/>
      <c r="K6" s="2"/>
      <c r="L6" s="2"/>
      <c r="M6" s="2"/>
      <c r="N6" s="65"/>
      <c r="O6" s="65"/>
      <c r="P6" s="65"/>
    </row>
    <row r="7" spans="1:16" ht="15.75" thickBot="1" x14ac:dyDescent="0.3">
      <c r="A7" s="8">
        <v>1</v>
      </c>
      <c r="B7" s="2"/>
      <c r="C7" s="2"/>
      <c r="D7" s="8"/>
      <c r="E7" s="8" t="s">
        <v>4</v>
      </c>
      <c r="F7" s="8" t="s">
        <v>5</v>
      </c>
      <c r="G7" s="8" t="s">
        <v>6</v>
      </c>
      <c r="H7" s="17"/>
      <c r="I7" s="8"/>
      <c r="J7" s="17"/>
      <c r="K7" s="8"/>
      <c r="L7" s="63"/>
      <c r="M7" s="2"/>
      <c r="N7" s="159" t="s">
        <v>7</v>
      </c>
      <c r="O7" s="160"/>
      <c r="P7" s="161"/>
    </row>
    <row r="8" spans="1:16" ht="15.75" thickBot="1" x14ac:dyDescent="0.3">
      <c r="A8" s="8">
        <v>2</v>
      </c>
      <c r="B8" s="2"/>
      <c r="C8" s="2"/>
      <c r="D8" s="8" t="s">
        <v>8</v>
      </c>
      <c r="E8" s="8" t="s">
        <v>9</v>
      </c>
      <c r="F8" s="8" t="s">
        <v>10</v>
      </c>
      <c r="G8" s="8" t="s">
        <v>11</v>
      </c>
      <c r="H8" s="17"/>
      <c r="I8" s="8"/>
      <c r="J8" s="17"/>
      <c r="K8" s="8"/>
      <c r="L8" s="8"/>
      <c r="M8" s="66" t="s">
        <v>12</v>
      </c>
      <c r="N8" s="68">
        <v>1853391.0329522497</v>
      </c>
      <c r="O8" s="59" t="s">
        <v>13</v>
      </c>
      <c r="P8" s="67"/>
    </row>
    <row r="9" spans="1:16" ht="15.75" thickBot="1" x14ac:dyDescent="0.3">
      <c r="A9" s="8">
        <v>3</v>
      </c>
      <c r="B9" s="2"/>
      <c r="C9" s="2"/>
      <c r="D9" s="8" t="s">
        <v>14</v>
      </c>
      <c r="E9" s="8" t="s">
        <v>15</v>
      </c>
      <c r="F9" s="8" t="s">
        <v>15</v>
      </c>
      <c r="G9" s="8" t="s">
        <v>16</v>
      </c>
      <c r="H9" s="17" t="s">
        <v>17</v>
      </c>
      <c r="I9" s="8" t="s">
        <v>18</v>
      </c>
      <c r="J9" s="17" t="s">
        <v>19</v>
      </c>
      <c r="K9" s="8"/>
      <c r="L9" s="17" t="s">
        <v>20</v>
      </c>
      <c r="M9" s="66" t="s">
        <v>21</v>
      </c>
      <c r="N9" s="69">
        <v>4.3568999999999997E-2</v>
      </c>
      <c r="O9" s="70" t="s">
        <v>22</v>
      </c>
      <c r="P9" s="71"/>
    </row>
    <row r="10" spans="1:16" ht="15.75" thickBot="1" x14ac:dyDescent="0.3">
      <c r="A10" s="8">
        <v>4</v>
      </c>
      <c r="B10" s="2"/>
      <c r="C10" s="2"/>
      <c r="D10" s="13" t="s">
        <v>23</v>
      </c>
      <c r="E10" s="13" t="s">
        <v>24</v>
      </c>
      <c r="F10" s="13" t="s">
        <v>25</v>
      </c>
      <c r="G10" s="13" t="s">
        <v>24</v>
      </c>
      <c r="H10" s="15" t="s">
        <v>26</v>
      </c>
      <c r="I10" s="13" t="s">
        <v>27</v>
      </c>
      <c r="J10" s="15" t="s">
        <v>28</v>
      </c>
      <c r="K10" s="13" t="s">
        <v>29</v>
      </c>
      <c r="L10" s="15" t="s">
        <v>27</v>
      </c>
      <c r="M10" s="72" t="s">
        <v>30</v>
      </c>
      <c r="N10" s="73">
        <v>1937820</v>
      </c>
      <c r="O10" s="74" t="s">
        <v>31</v>
      </c>
      <c r="P10" s="75"/>
    </row>
    <row r="11" spans="1:16" x14ac:dyDescent="0.25">
      <c r="A11" s="8">
        <v>5</v>
      </c>
      <c r="B11" s="2"/>
      <c r="C11" s="2"/>
      <c r="D11" s="16"/>
      <c r="E11" s="16"/>
      <c r="F11" s="16"/>
      <c r="G11" s="16"/>
      <c r="H11" s="17" t="s">
        <v>32</v>
      </c>
      <c r="I11" s="16"/>
      <c r="J11" s="17"/>
      <c r="K11" s="16"/>
      <c r="L11" s="157" t="s">
        <v>33</v>
      </c>
      <c r="M11" s="76"/>
      <c r="N11" s="77" t="s">
        <v>34</v>
      </c>
      <c r="O11" s="8" t="s">
        <v>35</v>
      </c>
      <c r="P11" s="78" t="s">
        <v>36</v>
      </c>
    </row>
    <row r="12" spans="1:16" x14ac:dyDescent="0.25">
      <c r="A12" s="8">
        <v>6</v>
      </c>
      <c r="B12" s="20" t="s">
        <v>37</v>
      </c>
      <c r="C12" s="20" t="s">
        <v>38</v>
      </c>
      <c r="D12" s="21" t="s">
        <v>39</v>
      </c>
      <c r="E12" s="21" t="s">
        <v>40</v>
      </c>
      <c r="F12" s="21" t="s">
        <v>41</v>
      </c>
      <c r="G12" s="21" t="s">
        <v>42</v>
      </c>
      <c r="H12" s="21" t="s">
        <v>43</v>
      </c>
      <c r="I12" s="21" t="s">
        <v>44</v>
      </c>
      <c r="J12" s="21" t="s">
        <v>45</v>
      </c>
      <c r="K12" s="21" t="s">
        <v>46</v>
      </c>
      <c r="L12" s="158"/>
      <c r="M12" s="79"/>
      <c r="N12" s="80" t="s">
        <v>47</v>
      </c>
      <c r="O12" s="21" t="s">
        <v>48</v>
      </c>
      <c r="P12" s="81" t="s">
        <v>49</v>
      </c>
    </row>
    <row r="13" spans="1:16" x14ac:dyDescent="0.25">
      <c r="A13" s="8">
        <v>7</v>
      </c>
      <c r="B13" s="23" t="s">
        <v>50</v>
      </c>
      <c r="C13" s="23"/>
      <c r="D13" s="24">
        <v>329987.40000000002</v>
      </c>
      <c r="E13" s="82">
        <v>1.9110700000000005</v>
      </c>
      <c r="F13" s="82">
        <v>0.53610999999999998</v>
      </c>
      <c r="G13" s="82">
        <v>0.54027000000000003</v>
      </c>
      <c r="H13" s="82">
        <v>0.8346900000000006</v>
      </c>
      <c r="I13" s="83">
        <v>275437</v>
      </c>
      <c r="J13" s="27">
        <v>5.5</v>
      </c>
      <c r="K13" s="24">
        <v>1878</v>
      </c>
      <c r="L13" s="84">
        <v>399385</v>
      </c>
      <c r="M13" s="85"/>
      <c r="N13" s="86">
        <v>1</v>
      </c>
      <c r="O13" s="83">
        <v>12523</v>
      </c>
      <c r="P13" s="87">
        <v>3.7949999999999998E-2</v>
      </c>
    </row>
    <row r="14" spans="1:16" x14ac:dyDescent="0.25">
      <c r="A14" s="8">
        <v>8</v>
      </c>
      <c r="B14" s="23" t="s">
        <v>51</v>
      </c>
      <c r="C14" s="23"/>
      <c r="D14" s="24">
        <v>15693.3</v>
      </c>
      <c r="E14" s="82">
        <v>1.9166999999999992</v>
      </c>
      <c r="F14" s="82">
        <v>0.53610999999999998</v>
      </c>
      <c r="G14" s="82">
        <v>0.51751000000000003</v>
      </c>
      <c r="H14" s="82">
        <v>0.86307999999999929</v>
      </c>
      <c r="I14" s="83">
        <v>13545</v>
      </c>
      <c r="J14" s="27">
        <v>7</v>
      </c>
      <c r="K14" s="24">
        <v>35</v>
      </c>
      <c r="L14" s="84">
        <v>16485</v>
      </c>
      <c r="M14" s="85"/>
      <c r="N14" s="86">
        <v>1</v>
      </c>
      <c r="O14" s="83">
        <v>517</v>
      </c>
      <c r="P14" s="87">
        <v>3.2939999999999997E-2</v>
      </c>
    </row>
    <row r="15" spans="1:16" x14ac:dyDescent="0.25">
      <c r="A15" s="8">
        <v>9</v>
      </c>
      <c r="B15" s="23" t="s">
        <v>52</v>
      </c>
      <c r="C15" s="23"/>
      <c r="D15" s="24">
        <v>60818464.700000003</v>
      </c>
      <c r="E15" s="82">
        <v>1.56419</v>
      </c>
      <c r="F15" s="82">
        <v>0.53610999999999998</v>
      </c>
      <c r="G15" s="82">
        <v>0.46987999999999996</v>
      </c>
      <c r="H15" s="82">
        <v>0.55820000000000014</v>
      </c>
      <c r="I15" s="83">
        <v>33948867</v>
      </c>
      <c r="J15" s="27">
        <v>8</v>
      </c>
      <c r="K15" s="24">
        <v>88378</v>
      </c>
      <c r="L15" s="84">
        <v>42433155</v>
      </c>
      <c r="M15" s="85"/>
      <c r="N15" s="86">
        <v>1</v>
      </c>
      <c r="O15" s="83">
        <v>1330567</v>
      </c>
      <c r="P15" s="87">
        <v>2.188E-2</v>
      </c>
    </row>
    <row r="16" spans="1:16" x14ac:dyDescent="0.25">
      <c r="A16" s="8">
        <v>10</v>
      </c>
      <c r="B16" s="23" t="s">
        <v>53</v>
      </c>
      <c r="C16" s="23"/>
      <c r="D16" s="24">
        <v>20700935.800000001</v>
      </c>
      <c r="E16" s="82">
        <v>1.5283599999999995</v>
      </c>
      <c r="F16" s="82">
        <v>0.53610999999999998</v>
      </c>
      <c r="G16" s="82">
        <v>0.45874999999999999</v>
      </c>
      <c r="H16" s="82">
        <v>0.53349999999999953</v>
      </c>
      <c r="I16" s="83">
        <v>11043949</v>
      </c>
      <c r="J16" s="27">
        <v>22</v>
      </c>
      <c r="K16" s="24">
        <v>6785</v>
      </c>
      <c r="L16" s="84">
        <v>12835189</v>
      </c>
      <c r="M16" s="85"/>
      <c r="N16" s="86">
        <v>1</v>
      </c>
      <c r="O16" s="83">
        <v>402470</v>
      </c>
      <c r="P16" s="87">
        <v>1.9439999999999999E-2</v>
      </c>
    </row>
    <row r="17" spans="1:16" x14ac:dyDescent="0.25">
      <c r="A17" s="8">
        <v>11</v>
      </c>
      <c r="B17" s="23" t="s">
        <v>54</v>
      </c>
      <c r="C17" s="23"/>
      <c r="D17" s="24">
        <v>219194.4</v>
      </c>
      <c r="E17" s="82">
        <v>1.4804899999999996</v>
      </c>
      <c r="F17" s="82">
        <v>0.53610999999999998</v>
      </c>
      <c r="G17" s="82">
        <v>0.40053000000000005</v>
      </c>
      <c r="H17" s="82">
        <v>0.54384999999999961</v>
      </c>
      <c r="I17" s="83">
        <v>119209</v>
      </c>
      <c r="J17" s="27">
        <v>22</v>
      </c>
      <c r="K17" s="24">
        <v>21</v>
      </c>
      <c r="L17" s="84">
        <v>124753</v>
      </c>
      <c r="M17" s="85"/>
      <c r="N17" s="86">
        <v>1</v>
      </c>
      <c r="O17" s="83">
        <v>3912</v>
      </c>
      <c r="P17" s="87">
        <v>1.7850000000000001E-2</v>
      </c>
    </row>
    <row r="18" spans="1:16" x14ac:dyDescent="0.25">
      <c r="A18" s="8">
        <v>12</v>
      </c>
      <c r="B18" s="30">
        <v>27</v>
      </c>
      <c r="C18" s="30"/>
      <c r="D18" s="24">
        <v>60523.5</v>
      </c>
      <c r="E18" s="82">
        <v>1.3552499999999998</v>
      </c>
      <c r="F18" s="82">
        <v>0.53610999999999998</v>
      </c>
      <c r="G18" s="82">
        <v>0.50661</v>
      </c>
      <c r="H18" s="82">
        <v>0.31252999999999986</v>
      </c>
      <c r="I18" s="83">
        <v>18915</v>
      </c>
      <c r="J18" s="27">
        <v>9</v>
      </c>
      <c r="K18" s="24">
        <v>390</v>
      </c>
      <c r="L18" s="84">
        <v>61035</v>
      </c>
      <c r="M18" s="85"/>
      <c r="N18" s="86">
        <v>1</v>
      </c>
      <c r="O18" s="83">
        <v>1914</v>
      </c>
      <c r="P18" s="87">
        <v>3.1620000000000002E-2</v>
      </c>
    </row>
    <row r="19" spans="1:16" x14ac:dyDescent="0.25">
      <c r="A19" s="8">
        <v>13</v>
      </c>
      <c r="B19" s="8" t="s">
        <v>55</v>
      </c>
      <c r="C19" s="31" t="s">
        <v>56</v>
      </c>
      <c r="D19" s="32">
        <v>1451662.3</v>
      </c>
      <c r="E19" s="89">
        <v>1.2903799999999999</v>
      </c>
      <c r="F19" s="89">
        <v>0.43274000000000001</v>
      </c>
      <c r="G19" s="89">
        <v>0.44155999999999995</v>
      </c>
      <c r="H19" s="89">
        <v>0.41607999999999989</v>
      </c>
      <c r="I19" s="90">
        <v>1468123</v>
      </c>
      <c r="J19" s="90">
        <v>250</v>
      </c>
      <c r="K19" s="32">
        <v>97</v>
      </c>
      <c r="L19" s="91">
        <v>1759123</v>
      </c>
      <c r="M19" s="92"/>
      <c r="N19" s="93">
        <v>1</v>
      </c>
      <c r="O19" s="94">
        <v>55160</v>
      </c>
      <c r="P19" s="95">
        <v>1.5630000000000002E-2</v>
      </c>
    </row>
    <row r="20" spans="1:16" x14ac:dyDescent="0.25">
      <c r="A20" s="8">
        <v>14</v>
      </c>
      <c r="B20" s="30"/>
      <c r="C20" s="96" t="s">
        <v>57</v>
      </c>
      <c r="D20" s="24">
        <v>2356915.2000000002</v>
      </c>
      <c r="E20" s="82">
        <v>1.2327300000000001</v>
      </c>
      <c r="F20" s="82">
        <v>0.43274000000000001</v>
      </c>
      <c r="G20" s="82">
        <v>0.43335999999999997</v>
      </c>
      <c r="H20" s="82">
        <v>0.36663000000000012</v>
      </c>
      <c r="I20" s="83"/>
      <c r="J20" s="27"/>
      <c r="K20" s="24"/>
      <c r="L20" s="84"/>
      <c r="M20" s="85"/>
      <c r="N20" s="86">
        <v>1</v>
      </c>
      <c r="O20" s="83"/>
      <c r="P20" s="87">
        <v>1.3769999999999999E-2</v>
      </c>
    </row>
    <row r="21" spans="1:16" x14ac:dyDescent="0.25">
      <c r="A21" s="8">
        <v>15</v>
      </c>
      <c r="B21" s="8" t="s">
        <v>58</v>
      </c>
      <c r="C21" s="31" t="s">
        <v>56</v>
      </c>
      <c r="D21" s="32">
        <v>380477.02690481488</v>
      </c>
      <c r="E21" s="89">
        <v>1.1981300000000004</v>
      </c>
      <c r="F21" s="89">
        <v>0.43274000000000001</v>
      </c>
      <c r="G21" s="89">
        <v>0.39392000000000005</v>
      </c>
      <c r="H21" s="89">
        <v>0.3714700000000003</v>
      </c>
      <c r="I21" s="90">
        <v>419001</v>
      </c>
      <c r="J21" s="3">
        <v>250</v>
      </c>
      <c r="K21" s="32">
        <v>21</v>
      </c>
      <c r="L21" s="91">
        <v>482001</v>
      </c>
      <c r="M21" s="92"/>
      <c r="N21" s="93">
        <v>1</v>
      </c>
      <c r="O21" s="94">
        <v>15114</v>
      </c>
      <c r="P21" s="95">
        <v>1.34E-2</v>
      </c>
    </row>
    <row r="22" spans="1:16" x14ac:dyDescent="0.25">
      <c r="A22" s="8">
        <v>16</v>
      </c>
      <c r="B22" s="30"/>
      <c r="C22" s="96" t="s">
        <v>57</v>
      </c>
      <c r="D22" s="24">
        <v>848323.74809518503</v>
      </c>
      <c r="E22" s="82">
        <v>1.1515499999999996</v>
      </c>
      <c r="F22" s="82">
        <v>0.43274000000000001</v>
      </c>
      <c r="G22" s="82">
        <v>0.39149999999999996</v>
      </c>
      <c r="H22" s="82">
        <v>0.32730999999999966</v>
      </c>
      <c r="I22" s="83"/>
      <c r="J22" s="27"/>
      <c r="K22" s="24"/>
      <c r="L22" s="84"/>
      <c r="M22" s="85"/>
      <c r="N22" s="86">
        <v>1</v>
      </c>
      <c r="O22" s="83"/>
      <c r="P22" s="87">
        <v>1.1809999999999999E-2</v>
      </c>
    </row>
    <row r="23" spans="1:16" x14ac:dyDescent="0.25">
      <c r="A23" s="8">
        <v>17</v>
      </c>
      <c r="B23" s="8" t="s">
        <v>59</v>
      </c>
      <c r="C23" s="31" t="s">
        <v>56</v>
      </c>
      <c r="D23" s="32">
        <v>0</v>
      </c>
      <c r="E23" s="89">
        <v>1.21594</v>
      </c>
      <c r="F23" s="89">
        <v>0.43274000000000001</v>
      </c>
      <c r="G23" s="89">
        <v>0.39866999999999997</v>
      </c>
      <c r="H23" s="89">
        <v>0.38453000000000004</v>
      </c>
      <c r="I23" s="90">
        <v>0</v>
      </c>
      <c r="J23" s="3">
        <v>250</v>
      </c>
      <c r="K23" s="32">
        <v>0</v>
      </c>
      <c r="L23" s="91">
        <v>0</v>
      </c>
      <c r="M23" s="92"/>
      <c r="N23" s="93">
        <v>1</v>
      </c>
      <c r="O23" s="94">
        <v>0</v>
      </c>
      <c r="P23" s="95">
        <v>1.4829999999999999E-2</v>
      </c>
    </row>
    <row r="24" spans="1:16" x14ac:dyDescent="0.25">
      <c r="A24" s="8">
        <v>18</v>
      </c>
      <c r="B24" s="30"/>
      <c r="C24" s="96" t="s">
        <v>57</v>
      </c>
      <c r="D24" s="24">
        <v>0</v>
      </c>
      <c r="E24" s="82">
        <v>1.1627200000000002</v>
      </c>
      <c r="F24" s="82">
        <v>0.43274000000000001</v>
      </c>
      <c r="G24" s="82">
        <v>0.39117999999999997</v>
      </c>
      <c r="H24" s="82">
        <v>0.33880000000000021</v>
      </c>
      <c r="I24" s="83"/>
      <c r="J24" s="27"/>
      <c r="K24" s="24"/>
      <c r="L24" s="84"/>
      <c r="M24" s="85"/>
      <c r="N24" s="86">
        <v>1</v>
      </c>
      <c r="O24" s="83"/>
      <c r="P24" s="87">
        <v>1.307E-2</v>
      </c>
    </row>
    <row r="25" spans="1:16" x14ac:dyDescent="0.25">
      <c r="A25" s="8">
        <v>19</v>
      </c>
      <c r="B25" s="8" t="s">
        <v>60</v>
      </c>
      <c r="C25" s="31" t="s">
        <v>56</v>
      </c>
      <c r="D25" s="97">
        <v>0</v>
      </c>
      <c r="E25" s="89">
        <v>1.15405</v>
      </c>
      <c r="F25" s="89">
        <v>0.43274000000000001</v>
      </c>
      <c r="G25" s="89">
        <v>0.3575299999999999</v>
      </c>
      <c r="H25" s="89">
        <v>0.3637800000000001</v>
      </c>
      <c r="I25" s="90">
        <v>0</v>
      </c>
      <c r="J25" s="3">
        <v>250</v>
      </c>
      <c r="K25" s="32">
        <v>0</v>
      </c>
      <c r="L25" s="91">
        <v>0</v>
      </c>
      <c r="M25" s="92"/>
      <c r="N25" s="93">
        <v>1</v>
      </c>
      <c r="O25" s="94">
        <v>0</v>
      </c>
      <c r="P25" s="95">
        <v>1.4030000000000001E-2</v>
      </c>
    </row>
    <row r="26" spans="1:16" x14ac:dyDescent="0.25">
      <c r="A26" s="8">
        <v>20</v>
      </c>
      <c r="B26" s="30"/>
      <c r="C26" s="96" t="s">
        <v>57</v>
      </c>
      <c r="D26" s="24">
        <v>0</v>
      </c>
      <c r="E26" s="82">
        <v>1.1082799999999997</v>
      </c>
      <c r="F26" s="82">
        <v>0.43274000000000001</v>
      </c>
      <c r="G26" s="82">
        <v>0.35503999999999991</v>
      </c>
      <c r="H26" s="82">
        <v>0.32049999999999979</v>
      </c>
      <c r="I26" s="83"/>
      <c r="J26" s="27"/>
      <c r="K26" s="24"/>
      <c r="L26" s="84"/>
      <c r="M26" s="85"/>
      <c r="N26" s="86">
        <v>1</v>
      </c>
      <c r="O26" s="83"/>
      <c r="P26" s="87">
        <v>1.2359999999999999E-2</v>
      </c>
    </row>
    <row r="27" spans="1:16" x14ac:dyDescent="0.25">
      <c r="A27" s="8">
        <v>21</v>
      </c>
      <c r="B27" s="8" t="s">
        <v>61</v>
      </c>
      <c r="C27" s="31" t="s">
        <v>56</v>
      </c>
      <c r="D27" s="32">
        <v>169476.40353781977</v>
      </c>
      <c r="E27" s="89">
        <v>0.89161999999999997</v>
      </c>
      <c r="F27" s="89">
        <v>0</v>
      </c>
      <c r="G27" s="89">
        <v>0.51376999999999995</v>
      </c>
      <c r="H27" s="89">
        <v>0.37785000000000002</v>
      </c>
      <c r="I27" s="90">
        <v>158308</v>
      </c>
      <c r="J27" s="3">
        <v>500</v>
      </c>
      <c r="K27" s="32">
        <v>8</v>
      </c>
      <c r="L27" s="91">
        <v>206308</v>
      </c>
      <c r="M27" s="92"/>
      <c r="N27" s="93">
        <v>1</v>
      </c>
      <c r="O27" s="94">
        <v>6469</v>
      </c>
      <c r="P27" s="95">
        <v>1.5440000000000001E-2</v>
      </c>
    </row>
    <row r="28" spans="1:16" x14ac:dyDescent="0.25">
      <c r="A28" s="8">
        <v>22</v>
      </c>
      <c r="B28" s="30"/>
      <c r="C28" s="96" t="s">
        <v>57</v>
      </c>
      <c r="D28" s="24">
        <v>283173.59646218026</v>
      </c>
      <c r="E28" s="82">
        <v>0.84484000000000015</v>
      </c>
      <c r="F28" s="82">
        <v>0</v>
      </c>
      <c r="G28" s="82">
        <v>0.51193</v>
      </c>
      <c r="H28" s="82">
        <v>0.33291000000000015</v>
      </c>
      <c r="I28" s="83"/>
      <c r="J28" s="27"/>
      <c r="K28" s="24"/>
      <c r="L28" s="84"/>
      <c r="M28" s="85"/>
      <c r="N28" s="86">
        <v>1</v>
      </c>
      <c r="O28" s="83"/>
      <c r="P28" s="87">
        <v>1.3599999999999999E-2</v>
      </c>
    </row>
    <row r="29" spans="1:16" x14ac:dyDescent="0.25">
      <c r="A29" s="8">
        <v>23</v>
      </c>
      <c r="B29" s="20" t="s">
        <v>62</v>
      </c>
      <c r="C29" s="31" t="s">
        <v>56</v>
      </c>
      <c r="D29" s="32">
        <v>0</v>
      </c>
      <c r="E29" s="89">
        <v>0.8801199999999999</v>
      </c>
      <c r="F29" s="89">
        <v>0</v>
      </c>
      <c r="G29" s="89">
        <v>0.51230999999999993</v>
      </c>
      <c r="H29" s="89">
        <v>0.36780999999999997</v>
      </c>
      <c r="I29" s="90">
        <v>0</v>
      </c>
      <c r="J29" s="3">
        <v>500</v>
      </c>
      <c r="K29" s="32">
        <v>0</v>
      </c>
      <c r="L29" s="91">
        <v>0</v>
      </c>
      <c r="M29" s="98"/>
      <c r="N29" s="93">
        <v>1</v>
      </c>
      <c r="O29" s="94">
        <v>0</v>
      </c>
      <c r="P29" s="95">
        <v>1.418E-2</v>
      </c>
    </row>
    <row r="30" spans="1:16" x14ac:dyDescent="0.25">
      <c r="A30" s="8">
        <v>24</v>
      </c>
      <c r="B30" s="30"/>
      <c r="C30" s="96" t="s">
        <v>57</v>
      </c>
      <c r="D30" s="24">
        <v>0</v>
      </c>
      <c r="E30" s="82">
        <v>0.83470000000000011</v>
      </c>
      <c r="F30" s="82">
        <v>0</v>
      </c>
      <c r="G30" s="82">
        <v>0.51063999999999998</v>
      </c>
      <c r="H30" s="82">
        <v>0.32406000000000013</v>
      </c>
      <c r="I30" s="83"/>
      <c r="J30" s="27"/>
      <c r="K30" s="24"/>
      <c r="L30" s="84"/>
      <c r="M30" s="85"/>
      <c r="N30" s="86">
        <v>1</v>
      </c>
      <c r="O30" s="83"/>
      <c r="P30" s="87">
        <v>1.2500000000000001E-2</v>
      </c>
    </row>
    <row r="31" spans="1:16" x14ac:dyDescent="0.25">
      <c r="A31" s="8">
        <v>25</v>
      </c>
      <c r="B31" s="8" t="s">
        <v>63</v>
      </c>
      <c r="C31" s="31" t="s">
        <v>56</v>
      </c>
      <c r="D31" s="32">
        <v>665308.1</v>
      </c>
      <c r="E31" s="89">
        <v>1.0500399999999999</v>
      </c>
      <c r="F31" s="89">
        <v>0.43274000000000001</v>
      </c>
      <c r="G31" s="89">
        <v>0.41120000000000001</v>
      </c>
      <c r="H31" s="89">
        <v>0.20609999999999984</v>
      </c>
      <c r="I31" s="90">
        <v>362313</v>
      </c>
      <c r="J31" s="3">
        <v>1300</v>
      </c>
      <c r="K31" s="32">
        <v>8</v>
      </c>
      <c r="L31" s="91">
        <v>487113</v>
      </c>
      <c r="M31" s="92"/>
      <c r="N31" s="93">
        <v>1</v>
      </c>
      <c r="O31" s="99">
        <v>15274</v>
      </c>
      <c r="P31" s="100">
        <v>8.6899999999999998E-3</v>
      </c>
    </row>
    <row r="32" spans="1:16" x14ac:dyDescent="0.25">
      <c r="A32" s="8">
        <v>26</v>
      </c>
      <c r="B32" s="8"/>
      <c r="C32" s="31" t="s">
        <v>57</v>
      </c>
      <c r="D32" s="32">
        <v>902132.1</v>
      </c>
      <c r="E32" s="89">
        <v>1.0243299999999995</v>
      </c>
      <c r="F32" s="89">
        <v>0.43274000000000001</v>
      </c>
      <c r="G32" s="89">
        <v>0.40710999999999997</v>
      </c>
      <c r="H32" s="89">
        <v>0.18447999999999953</v>
      </c>
      <c r="I32" s="90"/>
      <c r="J32" s="3"/>
      <c r="K32" s="32"/>
      <c r="L32" s="101"/>
      <c r="M32" s="92"/>
      <c r="N32" s="93">
        <v>1</v>
      </c>
      <c r="O32" s="90"/>
      <c r="P32" s="102">
        <v>7.7799999999999996E-3</v>
      </c>
    </row>
    <row r="33" spans="1:16" x14ac:dyDescent="0.25">
      <c r="A33" s="8">
        <v>27</v>
      </c>
      <c r="B33" s="8"/>
      <c r="C33" s="31" t="s">
        <v>64</v>
      </c>
      <c r="D33" s="32">
        <v>353350.5</v>
      </c>
      <c r="E33" s="89">
        <v>0.97326999999999986</v>
      </c>
      <c r="F33" s="89">
        <v>0.43274000000000001</v>
      </c>
      <c r="G33" s="89">
        <v>0.39903</v>
      </c>
      <c r="H33" s="89">
        <v>0.14149999999999985</v>
      </c>
      <c r="I33" s="90"/>
      <c r="J33" s="3"/>
      <c r="K33" s="32"/>
      <c r="L33" s="101"/>
      <c r="M33" s="92"/>
      <c r="N33" s="93">
        <v>1</v>
      </c>
      <c r="O33" s="90"/>
      <c r="P33" s="102">
        <v>5.9699999999999996E-3</v>
      </c>
    </row>
    <row r="34" spans="1:16" x14ac:dyDescent="0.25">
      <c r="A34" s="8">
        <v>28</v>
      </c>
      <c r="B34" s="8"/>
      <c r="C34" s="31" t="s">
        <v>65</v>
      </c>
      <c r="D34" s="32">
        <v>77473</v>
      </c>
      <c r="E34" s="89">
        <v>0.93963000000000019</v>
      </c>
      <c r="F34" s="89">
        <v>0.43274000000000001</v>
      </c>
      <c r="G34" s="89">
        <v>0.39371</v>
      </c>
      <c r="H34" s="89">
        <v>0.11318000000000017</v>
      </c>
      <c r="I34" s="90"/>
      <c r="J34" s="3"/>
      <c r="K34" s="32"/>
      <c r="L34" s="101"/>
      <c r="M34" s="92"/>
      <c r="N34" s="93">
        <v>1</v>
      </c>
      <c r="O34" s="90"/>
      <c r="P34" s="102">
        <v>4.7699999999999999E-3</v>
      </c>
    </row>
    <row r="35" spans="1:16" x14ac:dyDescent="0.25">
      <c r="A35" s="8">
        <v>29</v>
      </c>
      <c r="B35" s="8"/>
      <c r="C35" s="31" t="s">
        <v>66</v>
      </c>
      <c r="D35" s="32">
        <v>0</v>
      </c>
      <c r="E35" s="89">
        <v>0.89478999999999997</v>
      </c>
      <c r="F35" s="89">
        <v>0.43274000000000001</v>
      </c>
      <c r="G35" s="89">
        <v>0.38659999999999994</v>
      </c>
      <c r="H35" s="89">
        <v>7.5450000000000017E-2</v>
      </c>
      <c r="I35" s="90"/>
      <c r="J35" s="3"/>
      <c r="K35" s="32"/>
      <c r="L35" s="101"/>
      <c r="M35" s="92"/>
      <c r="N35" s="93">
        <v>1</v>
      </c>
      <c r="O35" s="90"/>
      <c r="P35" s="102">
        <v>3.1800000000000001E-3</v>
      </c>
    </row>
    <row r="36" spans="1:16" x14ac:dyDescent="0.25">
      <c r="A36" s="8">
        <v>30</v>
      </c>
      <c r="B36" s="30"/>
      <c r="C36" s="96" t="s">
        <v>67</v>
      </c>
      <c r="D36" s="24">
        <v>0</v>
      </c>
      <c r="E36" s="82">
        <v>0.83874000000000004</v>
      </c>
      <c r="F36" s="82">
        <v>0.43274000000000001</v>
      </c>
      <c r="G36" s="82">
        <v>0.37771999999999994</v>
      </c>
      <c r="H36" s="82">
        <v>2.8280000000000083E-2</v>
      </c>
      <c r="I36" s="83"/>
      <c r="J36" s="27"/>
      <c r="K36" s="24"/>
      <c r="L36" s="84"/>
      <c r="M36" s="85"/>
      <c r="N36" s="86">
        <v>1</v>
      </c>
      <c r="O36" s="83"/>
      <c r="P36" s="87">
        <v>1.1900000000000001E-3</v>
      </c>
    </row>
    <row r="37" spans="1:16" x14ac:dyDescent="0.25">
      <c r="A37" s="8">
        <v>31</v>
      </c>
      <c r="B37" s="8" t="s">
        <v>68</v>
      </c>
      <c r="C37" s="31" t="s">
        <v>56</v>
      </c>
      <c r="D37" s="32">
        <v>966969.70958011807</v>
      </c>
      <c r="E37" s="89">
        <v>0.98466000000000009</v>
      </c>
      <c r="F37" s="89">
        <v>0.43274000000000001</v>
      </c>
      <c r="G37" s="89">
        <v>0.38551000000000002</v>
      </c>
      <c r="H37" s="89">
        <v>0.16641000000000006</v>
      </c>
      <c r="I37" s="90">
        <v>279180</v>
      </c>
      <c r="J37" s="3">
        <v>1300</v>
      </c>
      <c r="K37" s="32">
        <v>11</v>
      </c>
      <c r="L37" s="91">
        <v>450780</v>
      </c>
      <c r="M37" s="92"/>
      <c r="N37" s="93">
        <v>1</v>
      </c>
      <c r="O37" s="99">
        <v>14135</v>
      </c>
      <c r="P37" s="100">
        <v>8.43E-3</v>
      </c>
    </row>
    <row r="38" spans="1:16" x14ac:dyDescent="0.25">
      <c r="A38" s="8">
        <v>32</v>
      </c>
      <c r="B38" s="8"/>
      <c r="C38" s="31" t="s">
        <v>57</v>
      </c>
      <c r="D38" s="32">
        <v>708322.68902869173</v>
      </c>
      <c r="E38" s="89">
        <v>0.96592999999999996</v>
      </c>
      <c r="F38" s="89">
        <v>0.43274000000000001</v>
      </c>
      <c r="G38" s="89">
        <v>0.38424000000000003</v>
      </c>
      <c r="H38" s="89">
        <v>0.14894999999999992</v>
      </c>
      <c r="I38" s="90"/>
      <c r="J38" s="3"/>
      <c r="K38" s="32"/>
      <c r="L38" s="101"/>
      <c r="M38" s="92"/>
      <c r="N38" s="93">
        <v>1</v>
      </c>
      <c r="O38" s="90"/>
      <c r="P38" s="102">
        <v>7.5399999999999998E-3</v>
      </c>
    </row>
    <row r="39" spans="1:16" x14ac:dyDescent="0.25">
      <c r="A39" s="8">
        <v>33</v>
      </c>
      <c r="B39" s="8"/>
      <c r="C39" s="31" t="s">
        <v>64</v>
      </c>
      <c r="D39" s="32">
        <v>102041.94634409399</v>
      </c>
      <c r="E39" s="89">
        <v>0.92866999999999966</v>
      </c>
      <c r="F39" s="89">
        <v>0.43274000000000001</v>
      </c>
      <c r="G39" s="89">
        <v>0.38170999999999999</v>
      </c>
      <c r="H39" s="89">
        <v>0.11421999999999966</v>
      </c>
      <c r="I39" s="90"/>
      <c r="J39" s="3"/>
      <c r="K39" s="32"/>
      <c r="L39" s="101"/>
      <c r="M39" s="92"/>
      <c r="N39" s="93">
        <v>1</v>
      </c>
      <c r="O39" s="90"/>
      <c r="P39" s="102">
        <v>5.7800000000000004E-3</v>
      </c>
    </row>
    <row r="40" spans="1:16" x14ac:dyDescent="0.25">
      <c r="A40" s="8">
        <v>34</v>
      </c>
      <c r="B40" s="8"/>
      <c r="C40" s="31" t="s">
        <v>65</v>
      </c>
      <c r="D40" s="32">
        <v>12114.809437096237</v>
      </c>
      <c r="E40" s="89">
        <v>0.90415000000000012</v>
      </c>
      <c r="F40" s="89">
        <v>0.43274000000000001</v>
      </c>
      <c r="G40" s="89">
        <v>0.38002999999999998</v>
      </c>
      <c r="H40" s="89">
        <v>9.1380000000000128E-2</v>
      </c>
      <c r="I40" s="90"/>
      <c r="J40" s="3"/>
      <c r="K40" s="32"/>
      <c r="L40" s="101"/>
      <c r="M40" s="92"/>
      <c r="N40" s="93">
        <v>1</v>
      </c>
      <c r="O40" s="90"/>
      <c r="P40" s="102">
        <v>4.6299999999999996E-3</v>
      </c>
    </row>
    <row r="41" spans="1:16" x14ac:dyDescent="0.25">
      <c r="A41" s="8">
        <v>35</v>
      </c>
      <c r="B41" s="8"/>
      <c r="C41" s="31" t="s">
        <v>66</v>
      </c>
      <c r="D41" s="32">
        <v>0</v>
      </c>
      <c r="E41" s="89">
        <v>0.87148000000000037</v>
      </c>
      <c r="F41" s="89">
        <v>0.43274000000000001</v>
      </c>
      <c r="G41" s="89">
        <v>0.37780000000000002</v>
      </c>
      <c r="H41" s="89">
        <v>6.0940000000000327E-2</v>
      </c>
      <c r="I41" s="90"/>
      <c r="J41" s="3"/>
      <c r="K41" s="32"/>
      <c r="L41" s="101"/>
      <c r="M41" s="92"/>
      <c r="N41" s="93">
        <v>1</v>
      </c>
      <c r="O41" s="90"/>
      <c r="P41" s="102">
        <v>3.0899999999999999E-3</v>
      </c>
    </row>
    <row r="42" spans="1:16" x14ac:dyDescent="0.25">
      <c r="A42" s="8">
        <v>36</v>
      </c>
      <c r="B42" s="30"/>
      <c r="C42" s="96" t="s">
        <v>67</v>
      </c>
      <c r="D42" s="24">
        <v>0</v>
      </c>
      <c r="E42" s="82">
        <v>0.83058999999999994</v>
      </c>
      <c r="F42" s="82">
        <v>0.43274000000000001</v>
      </c>
      <c r="G42" s="82">
        <v>0.37502000000000002</v>
      </c>
      <c r="H42" s="82">
        <v>2.2829999999999906E-2</v>
      </c>
      <c r="I42" s="83"/>
      <c r="J42" s="27"/>
      <c r="K42" s="24"/>
      <c r="L42" s="84"/>
      <c r="M42" s="85"/>
      <c r="N42" s="86">
        <v>1</v>
      </c>
      <c r="O42" s="83"/>
      <c r="P42" s="87">
        <v>1.16E-3</v>
      </c>
    </row>
    <row r="43" spans="1:16" x14ac:dyDescent="0.25">
      <c r="A43" s="8">
        <v>37</v>
      </c>
      <c r="B43" s="8" t="s">
        <v>69</v>
      </c>
      <c r="C43" s="31" t="s">
        <v>56</v>
      </c>
      <c r="D43" s="32">
        <v>251607.57233862346</v>
      </c>
      <c r="E43" s="89">
        <v>0.65835999999999995</v>
      </c>
      <c r="F43" s="89">
        <v>0</v>
      </c>
      <c r="G43" s="89">
        <v>0.50393999999999994</v>
      </c>
      <c r="H43" s="89">
        <v>0.15442</v>
      </c>
      <c r="I43" s="90">
        <v>224401</v>
      </c>
      <c r="J43" s="3">
        <v>1550</v>
      </c>
      <c r="K43" s="32">
        <v>1</v>
      </c>
      <c r="L43" s="91">
        <v>243001</v>
      </c>
      <c r="M43" s="92"/>
      <c r="N43" s="93">
        <v>1</v>
      </c>
      <c r="O43" s="99">
        <v>7620</v>
      </c>
      <c r="P43" s="100">
        <v>5.2399999999999999E-3</v>
      </c>
    </row>
    <row r="44" spans="1:16" x14ac:dyDescent="0.25">
      <c r="A44" s="8">
        <v>38</v>
      </c>
      <c r="B44" s="8"/>
      <c r="C44" s="31" t="s">
        <v>57</v>
      </c>
      <c r="D44" s="32">
        <v>503215.14467724692</v>
      </c>
      <c r="E44" s="89">
        <v>0.64160000000000006</v>
      </c>
      <c r="F44" s="89">
        <v>0</v>
      </c>
      <c r="G44" s="89">
        <v>0.50336000000000003</v>
      </c>
      <c r="H44" s="89">
        <v>0.13824000000000003</v>
      </c>
      <c r="I44" s="90"/>
      <c r="J44" s="3"/>
      <c r="K44" s="32"/>
      <c r="L44" s="101"/>
      <c r="M44" s="92"/>
      <c r="N44" s="93">
        <v>1</v>
      </c>
      <c r="O44" s="90"/>
      <c r="P44" s="102">
        <v>4.6899999999999997E-3</v>
      </c>
    </row>
    <row r="45" spans="1:16" x14ac:dyDescent="0.25">
      <c r="A45" s="8">
        <v>39</v>
      </c>
      <c r="B45" s="8"/>
      <c r="C45" s="31" t="s">
        <v>64</v>
      </c>
      <c r="D45" s="32">
        <v>503215.14467724692</v>
      </c>
      <c r="E45" s="89">
        <v>0.60819999999999996</v>
      </c>
      <c r="F45" s="89">
        <v>0</v>
      </c>
      <c r="G45" s="89">
        <v>0.50219999999999998</v>
      </c>
      <c r="H45" s="89">
        <v>0.10599999999999998</v>
      </c>
      <c r="I45" s="90"/>
      <c r="J45" s="3"/>
      <c r="K45" s="32"/>
      <c r="L45" s="101"/>
      <c r="M45" s="92"/>
      <c r="N45" s="93">
        <v>1</v>
      </c>
      <c r="O45" s="90"/>
      <c r="P45" s="102">
        <v>3.5999999999999999E-3</v>
      </c>
    </row>
    <row r="46" spans="1:16" x14ac:dyDescent="0.25">
      <c r="A46" s="8">
        <v>40</v>
      </c>
      <c r="B46" s="8"/>
      <c r="C46" s="31" t="s">
        <v>65</v>
      </c>
      <c r="D46" s="32">
        <v>738617.86510688229</v>
      </c>
      <c r="E46" s="89">
        <v>0.58625000000000005</v>
      </c>
      <c r="F46" s="89">
        <v>0</v>
      </c>
      <c r="G46" s="89">
        <v>0.50144</v>
      </c>
      <c r="H46" s="89">
        <v>8.4810000000000052E-2</v>
      </c>
      <c r="I46" s="90"/>
      <c r="J46" s="3"/>
      <c r="K46" s="32"/>
      <c r="L46" s="101"/>
      <c r="M46" s="92"/>
      <c r="N46" s="93">
        <v>1</v>
      </c>
      <c r="O46" s="90"/>
      <c r="P46" s="102">
        <v>2.8800000000000002E-3</v>
      </c>
    </row>
    <row r="47" spans="1:16" x14ac:dyDescent="0.25">
      <c r="A47" s="8">
        <v>41</v>
      </c>
      <c r="B47" s="8"/>
      <c r="C47" s="31" t="s">
        <v>66</v>
      </c>
      <c r="D47" s="32">
        <v>0</v>
      </c>
      <c r="E47" s="89">
        <v>0.55695000000000006</v>
      </c>
      <c r="F47" s="89">
        <v>0</v>
      </c>
      <c r="G47" s="89">
        <v>0.50041000000000002</v>
      </c>
      <c r="H47" s="89">
        <v>5.6540000000000035E-2</v>
      </c>
      <c r="I47" s="90"/>
      <c r="J47" s="3"/>
      <c r="K47" s="32"/>
      <c r="L47" s="101"/>
      <c r="M47" s="92"/>
      <c r="N47" s="93">
        <v>1</v>
      </c>
      <c r="O47" s="90"/>
      <c r="P47" s="102">
        <v>1.92E-3</v>
      </c>
    </row>
    <row r="48" spans="1:16" x14ac:dyDescent="0.25">
      <c r="A48" s="8">
        <v>42</v>
      </c>
      <c r="B48" s="30"/>
      <c r="C48" s="96" t="s">
        <v>67</v>
      </c>
      <c r="D48" s="24">
        <v>0</v>
      </c>
      <c r="E48" s="82">
        <v>0.52036000000000004</v>
      </c>
      <c r="F48" s="82">
        <v>0</v>
      </c>
      <c r="G48" s="82">
        <v>0.49915999999999999</v>
      </c>
      <c r="H48" s="82">
        <v>2.1200000000000052E-2</v>
      </c>
      <c r="I48" s="83"/>
      <c r="J48" s="27"/>
      <c r="K48" s="24"/>
      <c r="L48" s="84"/>
      <c r="M48" s="85"/>
      <c r="N48" s="86">
        <v>1</v>
      </c>
      <c r="O48" s="83"/>
      <c r="P48" s="87">
        <v>7.2000000000000005E-4</v>
      </c>
    </row>
    <row r="49" spans="1:16" x14ac:dyDescent="0.25">
      <c r="A49" s="8">
        <v>43</v>
      </c>
      <c r="B49" s="8" t="s">
        <v>70</v>
      </c>
      <c r="C49" s="31" t="s">
        <v>56</v>
      </c>
      <c r="D49" s="97">
        <v>1054569.7185296705</v>
      </c>
      <c r="E49" s="89">
        <v>0.65571000000000002</v>
      </c>
      <c r="F49" s="89">
        <v>0</v>
      </c>
      <c r="G49" s="89">
        <v>0.50409999999999999</v>
      </c>
      <c r="H49" s="89">
        <v>0.15161000000000002</v>
      </c>
      <c r="I49" s="90">
        <v>842181</v>
      </c>
      <c r="J49" s="3">
        <v>1550</v>
      </c>
      <c r="K49" s="32">
        <v>8</v>
      </c>
      <c r="L49" s="91">
        <v>990981</v>
      </c>
      <c r="M49" s="92"/>
      <c r="N49" s="93">
        <v>1</v>
      </c>
      <c r="O49" s="99">
        <v>31074</v>
      </c>
      <c r="P49" s="100">
        <v>5.5900000000000004E-3</v>
      </c>
    </row>
    <row r="50" spans="1:16" x14ac:dyDescent="0.25">
      <c r="A50" s="8">
        <v>44</v>
      </c>
      <c r="B50" s="8"/>
      <c r="C50" s="31" t="s">
        <v>57</v>
      </c>
      <c r="D50" s="32">
        <v>1523772.4326932665</v>
      </c>
      <c r="E50" s="89">
        <v>0.63919999999999988</v>
      </c>
      <c r="F50" s="89">
        <v>0</v>
      </c>
      <c r="G50" s="89">
        <v>0.50348999999999999</v>
      </c>
      <c r="H50" s="89">
        <v>0.13570999999999989</v>
      </c>
      <c r="I50" s="90"/>
      <c r="J50" s="3"/>
      <c r="K50" s="32"/>
      <c r="L50" s="101"/>
      <c r="M50" s="92"/>
      <c r="N50" s="93">
        <v>1</v>
      </c>
      <c r="O50" s="90"/>
      <c r="P50" s="102">
        <v>5.0099999999999997E-3</v>
      </c>
    </row>
    <row r="51" spans="1:16" x14ac:dyDescent="0.25">
      <c r="A51" s="8">
        <v>45</v>
      </c>
      <c r="B51" s="8"/>
      <c r="C51" s="31" t="s">
        <v>64</v>
      </c>
      <c r="D51" s="32">
        <v>1376179.3474656048</v>
      </c>
      <c r="E51" s="89">
        <v>0.60635000000000006</v>
      </c>
      <c r="F51" s="89">
        <v>0</v>
      </c>
      <c r="G51" s="89">
        <v>0.50229000000000001</v>
      </c>
      <c r="H51" s="89">
        <v>0.10406000000000004</v>
      </c>
      <c r="I51" s="90"/>
      <c r="J51" s="3"/>
      <c r="K51" s="32"/>
      <c r="L51" s="101"/>
      <c r="M51" s="92"/>
      <c r="N51" s="93">
        <v>1</v>
      </c>
      <c r="O51" s="90"/>
      <c r="P51" s="102">
        <v>3.8400000000000001E-3</v>
      </c>
    </row>
    <row r="52" spans="1:16" x14ac:dyDescent="0.25">
      <c r="A52" s="8">
        <v>46</v>
      </c>
      <c r="B52" s="8"/>
      <c r="C52" s="31" t="s">
        <v>65</v>
      </c>
      <c r="D52" s="32">
        <v>3236160.5307624359</v>
      </c>
      <c r="E52" s="89">
        <v>0.58477000000000012</v>
      </c>
      <c r="F52" s="89">
        <v>0</v>
      </c>
      <c r="G52" s="89">
        <v>0.50151000000000001</v>
      </c>
      <c r="H52" s="89">
        <v>8.3260000000000112E-2</v>
      </c>
      <c r="I52" s="90"/>
      <c r="J52" s="3"/>
      <c r="K52" s="32"/>
      <c r="L52" s="101"/>
      <c r="M52" s="92"/>
      <c r="N52" s="93">
        <v>1</v>
      </c>
      <c r="O52" s="90"/>
      <c r="P52" s="102">
        <v>3.0699999999999998E-3</v>
      </c>
    </row>
    <row r="53" spans="1:16" x14ac:dyDescent="0.25">
      <c r="A53" s="8">
        <v>47</v>
      </c>
      <c r="B53" s="8"/>
      <c r="C53" s="31" t="s">
        <v>66</v>
      </c>
      <c r="D53" s="32">
        <v>1132590.7705490233</v>
      </c>
      <c r="E53" s="89">
        <v>0.55596000000000001</v>
      </c>
      <c r="F53" s="89">
        <v>0</v>
      </c>
      <c r="G53" s="89">
        <v>0.50046000000000002</v>
      </c>
      <c r="H53" s="89">
        <v>5.5499999999999994E-2</v>
      </c>
      <c r="I53" s="90"/>
      <c r="J53" s="3"/>
      <c r="K53" s="32"/>
      <c r="L53" s="101"/>
      <c r="M53" s="92"/>
      <c r="N53" s="93">
        <v>1</v>
      </c>
      <c r="O53" s="90"/>
      <c r="P53" s="102">
        <v>2.0500000000000002E-3</v>
      </c>
    </row>
    <row r="54" spans="1:16" x14ac:dyDescent="0.25">
      <c r="A54" s="8">
        <v>48</v>
      </c>
      <c r="B54" s="30"/>
      <c r="C54" s="96" t="s">
        <v>67</v>
      </c>
      <c r="D54" s="24">
        <v>0</v>
      </c>
      <c r="E54" s="82">
        <v>0.51997000000000004</v>
      </c>
      <c r="F54" s="82">
        <v>0</v>
      </c>
      <c r="G54" s="82">
        <v>0.49914999999999998</v>
      </c>
      <c r="H54" s="82">
        <v>2.0820000000000061E-2</v>
      </c>
      <c r="I54" s="83"/>
      <c r="J54" s="27"/>
      <c r="K54" s="24"/>
      <c r="L54" s="84"/>
      <c r="M54" s="85"/>
      <c r="N54" s="86">
        <v>1</v>
      </c>
      <c r="O54" s="83"/>
      <c r="P54" s="87">
        <v>7.6999999999999996E-4</v>
      </c>
    </row>
    <row r="55" spans="1:16" x14ac:dyDescent="0.25">
      <c r="A55" s="8">
        <v>49</v>
      </c>
      <c r="B55" s="8" t="s">
        <v>71</v>
      </c>
      <c r="C55" s="31" t="s">
        <v>56</v>
      </c>
      <c r="D55" s="32">
        <v>256616.18146824426</v>
      </c>
      <c r="E55" s="89">
        <v>0.9657</v>
      </c>
      <c r="F55" s="89">
        <v>0.43274000000000001</v>
      </c>
      <c r="G55" s="89">
        <v>0.3642399999999999</v>
      </c>
      <c r="H55" s="89">
        <v>0.16872000000000009</v>
      </c>
      <c r="I55" s="90">
        <v>145599</v>
      </c>
      <c r="J55" s="3">
        <v>1300</v>
      </c>
      <c r="K55" s="32">
        <v>2</v>
      </c>
      <c r="L55" s="91">
        <v>176799</v>
      </c>
      <c r="M55" s="92"/>
      <c r="N55" s="93">
        <v>1</v>
      </c>
      <c r="O55" s="99">
        <v>5544</v>
      </c>
      <c r="P55" s="100">
        <v>6.4200000000000004E-3</v>
      </c>
    </row>
    <row r="56" spans="1:16" x14ac:dyDescent="0.25">
      <c r="A56" s="8">
        <v>50</v>
      </c>
      <c r="B56" s="8"/>
      <c r="C56" s="31" t="s">
        <v>57</v>
      </c>
      <c r="D56" s="32">
        <v>488107.50030256849</v>
      </c>
      <c r="E56" s="89">
        <v>0.94502999999999959</v>
      </c>
      <c r="F56" s="89">
        <v>0.43274000000000001</v>
      </c>
      <c r="G56" s="89">
        <v>0.36125999999999991</v>
      </c>
      <c r="H56" s="89">
        <v>0.15102999999999966</v>
      </c>
      <c r="I56" s="90"/>
      <c r="J56" s="3"/>
      <c r="K56" s="32"/>
      <c r="L56" s="101"/>
      <c r="M56" s="92"/>
      <c r="N56" s="93">
        <v>1</v>
      </c>
      <c r="O56" s="90"/>
      <c r="P56" s="102">
        <v>5.7499999999999999E-3</v>
      </c>
    </row>
    <row r="57" spans="1:16" x14ac:dyDescent="0.25">
      <c r="A57" s="8">
        <v>51</v>
      </c>
      <c r="B57" s="8"/>
      <c r="C57" s="31" t="s">
        <v>64</v>
      </c>
      <c r="D57" s="32">
        <v>219844.15189793429</v>
      </c>
      <c r="E57" s="89">
        <v>0.90383000000000013</v>
      </c>
      <c r="F57" s="89">
        <v>0.43274000000000001</v>
      </c>
      <c r="G57" s="89">
        <v>0.35528999999999999</v>
      </c>
      <c r="H57" s="89">
        <v>0.11580000000000013</v>
      </c>
      <c r="I57" s="90"/>
      <c r="J57" s="3"/>
      <c r="K57" s="32"/>
      <c r="L57" s="101"/>
      <c r="M57" s="92"/>
      <c r="N57" s="93">
        <v>1</v>
      </c>
      <c r="O57" s="90"/>
      <c r="P57" s="102">
        <v>4.4099999999999999E-3</v>
      </c>
    </row>
    <row r="58" spans="1:16" x14ac:dyDescent="0.25">
      <c r="A58" s="8">
        <v>52</v>
      </c>
      <c r="B58" s="8"/>
      <c r="C58" s="31" t="s">
        <v>65</v>
      </c>
      <c r="D58" s="32">
        <v>33747.166331253015</v>
      </c>
      <c r="E58" s="89">
        <v>0.87674999999999992</v>
      </c>
      <c r="F58" s="89">
        <v>0.43274000000000001</v>
      </c>
      <c r="G58" s="89">
        <v>0.35136999999999996</v>
      </c>
      <c r="H58" s="89">
        <v>9.2639999999999945E-2</v>
      </c>
      <c r="I58" s="90"/>
      <c r="J58" s="3"/>
      <c r="K58" s="32"/>
      <c r="L58" s="101"/>
      <c r="M58" s="92"/>
      <c r="N58" s="93">
        <v>1</v>
      </c>
      <c r="O58" s="90"/>
      <c r="P58" s="102">
        <v>3.5300000000000002E-3</v>
      </c>
    </row>
    <row r="59" spans="1:16" x14ac:dyDescent="0.25">
      <c r="A59" s="8">
        <v>53</v>
      </c>
      <c r="B59" s="8"/>
      <c r="C59" s="31" t="s">
        <v>66</v>
      </c>
      <c r="D59" s="32">
        <v>0</v>
      </c>
      <c r="E59" s="89">
        <v>0.84066999999999981</v>
      </c>
      <c r="F59" s="89">
        <v>0.43274000000000001</v>
      </c>
      <c r="G59" s="89">
        <v>0.34614999999999996</v>
      </c>
      <c r="H59" s="89">
        <v>6.1779999999999835E-2</v>
      </c>
      <c r="I59" s="90"/>
      <c r="J59" s="3"/>
      <c r="K59" s="32"/>
      <c r="L59" s="101"/>
      <c r="M59" s="92"/>
      <c r="N59" s="93">
        <v>1</v>
      </c>
      <c r="O59" s="90"/>
      <c r="P59" s="102">
        <v>2.3500000000000001E-3</v>
      </c>
    </row>
    <row r="60" spans="1:16" x14ac:dyDescent="0.25">
      <c r="A60" s="8">
        <v>54</v>
      </c>
      <c r="B60" s="30"/>
      <c r="C60" s="96" t="s">
        <v>67</v>
      </c>
      <c r="D60" s="24">
        <v>0</v>
      </c>
      <c r="E60" s="82">
        <v>0.79549999999999998</v>
      </c>
      <c r="F60" s="82">
        <v>0.43274000000000001</v>
      </c>
      <c r="G60" s="82">
        <v>0.33958999999999995</v>
      </c>
      <c r="H60" s="82">
        <v>2.3170000000000024E-2</v>
      </c>
      <c r="I60" s="83"/>
      <c r="J60" s="27"/>
      <c r="K60" s="24"/>
      <c r="L60" s="84"/>
      <c r="M60" s="85"/>
      <c r="N60" s="86">
        <v>1</v>
      </c>
      <c r="O60" s="83"/>
      <c r="P60" s="87">
        <v>8.8000000000000003E-4</v>
      </c>
    </row>
    <row r="61" spans="1:16" x14ac:dyDescent="0.25">
      <c r="A61" s="8">
        <v>55</v>
      </c>
      <c r="B61" s="8" t="s">
        <v>72</v>
      </c>
      <c r="C61" s="31" t="s">
        <v>56</v>
      </c>
      <c r="D61" s="32">
        <v>124246.17218057367</v>
      </c>
      <c r="E61" s="89">
        <v>0.94437999999999989</v>
      </c>
      <c r="F61" s="89">
        <v>0.43274000000000001</v>
      </c>
      <c r="G61" s="89">
        <v>0.34810999999999992</v>
      </c>
      <c r="H61" s="89">
        <v>0.16352999999999995</v>
      </c>
      <c r="I61" s="90">
        <v>31890</v>
      </c>
      <c r="J61" s="3">
        <v>1300</v>
      </c>
      <c r="K61" s="32">
        <v>1</v>
      </c>
      <c r="L61" s="91">
        <v>47490</v>
      </c>
      <c r="M61" s="92"/>
      <c r="N61" s="93">
        <v>1</v>
      </c>
      <c r="O61" s="99">
        <v>1489</v>
      </c>
      <c r="P61" s="100">
        <v>7.6400000000000001E-3</v>
      </c>
    </row>
    <row r="62" spans="1:16" x14ac:dyDescent="0.25">
      <c r="A62" s="8">
        <v>56</v>
      </c>
      <c r="B62" s="8"/>
      <c r="C62" s="31" t="s">
        <v>57</v>
      </c>
      <c r="D62" s="32">
        <v>79053.697819426336</v>
      </c>
      <c r="E62" s="89">
        <v>0.92602999999999991</v>
      </c>
      <c r="F62" s="89">
        <v>0.43274000000000001</v>
      </c>
      <c r="G62" s="89">
        <v>0.34690999999999994</v>
      </c>
      <c r="H62" s="89">
        <v>0.14637999999999995</v>
      </c>
      <c r="I62" s="90"/>
      <c r="J62" s="3"/>
      <c r="K62" s="32"/>
      <c r="L62" s="101"/>
      <c r="M62" s="92"/>
      <c r="N62" s="93">
        <v>1</v>
      </c>
      <c r="O62" s="90"/>
      <c r="P62" s="102">
        <v>6.8300000000000001E-3</v>
      </c>
    </row>
    <row r="63" spans="1:16" x14ac:dyDescent="0.25">
      <c r="A63" s="8">
        <v>57</v>
      </c>
      <c r="B63" s="8"/>
      <c r="C63" s="31" t="s">
        <v>64</v>
      </c>
      <c r="D63" s="32">
        <v>0</v>
      </c>
      <c r="E63" s="89">
        <v>0.88950999999999991</v>
      </c>
      <c r="F63" s="89">
        <v>0.43274000000000001</v>
      </c>
      <c r="G63" s="89">
        <v>0.34451999999999994</v>
      </c>
      <c r="H63" s="89">
        <v>0.11224999999999996</v>
      </c>
      <c r="I63" s="90"/>
      <c r="J63" s="3"/>
      <c r="K63" s="32"/>
      <c r="L63" s="101"/>
      <c r="M63" s="92"/>
      <c r="N63" s="93">
        <v>1</v>
      </c>
      <c r="O63" s="90"/>
      <c r="P63" s="102">
        <v>5.2399999999999999E-3</v>
      </c>
    </row>
    <row r="64" spans="1:16" x14ac:dyDescent="0.25">
      <c r="A64" s="8">
        <v>58</v>
      </c>
      <c r="B64" s="8"/>
      <c r="C64" s="31" t="s">
        <v>65</v>
      </c>
      <c r="D64" s="32">
        <v>0</v>
      </c>
      <c r="E64" s="89">
        <v>0.86547999999999969</v>
      </c>
      <c r="F64" s="89">
        <v>0.43274000000000001</v>
      </c>
      <c r="G64" s="89">
        <v>0.34292999999999996</v>
      </c>
      <c r="H64" s="89">
        <v>8.9809999999999723E-2</v>
      </c>
      <c r="I64" s="90"/>
      <c r="J64" s="3"/>
      <c r="K64" s="32"/>
      <c r="L64" s="101"/>
      <c r="M64" s="92"/>
      <c r="N64" s="93">
        <v>1</v>
      </c>
      <c r="O64" s="90"/>
      <c r="P64" s="102">
        <v>4.1900000000000001E-3</v>
      </c>
    </row>
    <row r="65" spans="1:16" x14ac:dyDescent="0.25">
      <c r="A65" s="8">
        <v>59</v>
      </c>
      <c r="B65" s="8"/>
      <c r="C65" s="31" t="s">
        <v>66</v>
      </c>
      <c r="D65" s="32">
        <v>0</v>
      </c>
      <c r="E65" s="89">
        <v>0.83341999999999994</v>
      </c>
      <c r="F65" s="89">
        <v>0.43274000000000001</v>
      </c>
      <c r="G65" s="89">
        <v>0.3408199999999999</v>
      </c>
      <c r="H65" s="89">
        <v>5.9860000000000024E-2</v>
      </c>
      <c r="I65" s="90"/>
      <c r="J65" s="3"/>
      <c r="K65" s="32"/>
      <c r="L65" s="101"/>
      <c r="M65" s="92"/>
      <c r="N65" s="93">
        <v>1</v>
      </c>
      <c r="O65" s="90"/>
      <c r="P65" s="102">
        <v>2.7899999999999999E-3</v>
      </c>
    </row>
    <row r="66" spans="1:16" x14ac:dyDescent="0.25">
      <c r="A66" s="8">
        <v>60</v>
      </c>
      <c r="B66" s="30"/>
      <c r="C66" s="96" t="s">
        <v>67</v>
      </c>
      <c r="D66" s="24">
        <v>0</v>
      </c>
      <c r="E66" s="82">
        <v>0.79338999999999982</v>
      </c>
      <c r="F66" s="82">
        <v>0.43274000000000001</v>
      </c>
      <c r="G66" s="82">
        <v>0.33821000000000001</v>
      </c>
      <c r="H66" s="82">
        <v>2.2439999999999793E-2</v>
      </c>
      <c r="I66" s="83"/>
      <c r="J66" s="27"/>
      <c r="K66" s="24"/>
      <c r="L66" s="84"/>
      <c r="M66" s="85"/>
      <c r="N66" s="86">
        <v>1</v>
      </c>
      <c r="O66" s="83"/>
      <c r="P66" s="87">
        <v>1.0499999999999999E-3</v>
      </c>
    </row>
    <row r="67" spans="1:16" x14ac:dyDescent="0.25">
      <c r="A67" s="8">
        <v>61</v>
      </c>
      <c r="B67" s="8" t="s">
        <v>73</v>
      </c>
      <c r="C67" s="31" t="s">
        <v>56</v>
      </c>
      <c r="D67" s="32">
        <v>0</v>
      </c>
      <c r="E67" s="89">
        <v>0.64537999999999995</v>
      </c>
      <c r="F67" s="89">
        <v>0</v>
      </c>
      <c r="G67" s="89">
        <v>0.50368999999999997</v>
      </c>
      <c r="H67" s="89">
        <v>0.14168999999999998</v>
      </c>
      <c r="I67" s="90">
        <v>0</v>
      </c>
      <c r="J67" s="3">
        <v>1550</v>
      </c>
      <c r="K67" s="32">
        <v>0</v>
      </c>
      <c r="L67" s="91">
        <v>0</v>
      </c>
      <c r="M67" s="92"/>
      <c r="N67" s="93">
        <v>1</v>
      </c>
      <c r="O67" s="99">
        <v>0</v>
      </c>
      <c r="P67" s="100">
        <v>5.4599999999999996E-3</v>
      </c>
    </row>
    <row r="68" spans="1:16" x14ac:dyDescent="0.25">
      <c r="A68" s="8">
        <v>62</v>
      </c>
      <c r="B68" s="8"/>
      <c r="C68" s="31" t="s">
        <v>57</v>
      </c>
      <c r="D68" s="32">
        <v>0</v>
      </c>
      <c r="E68" s="89">
        <v>0.62997999999999998</v>
      </c>
      <c r="F68" s="89">
        <v>0</v>
      </c>
      <c r="G68" s="89">
        <v>0.50312999999999997</v>
      </c>
      <c r="H68" s="89">
        <v>0.12685000000000002</v>
      </c>
      <c r="I68" s="90"/>
      <c r="J68" s="3"/>
      <c r="K68" s="32"/>
      <c r="L68" s="101"/>
      <c r="M68" s="92"/>
      <c r="N68" s="93">
        <v>1</v>
      </c>
      <c r="O68" s="90"/>
      <c r="P68" s="102">
        <v>4.8900000000000002E-3</v>
      </c>
    </row>
    <row r="69" spans="1:16" x14ac:dyDescent="0.25">
      <c r="A69" s="8">
        <v>63</v>
      </c>
      <c r="B69" s="8"/>
      <c r="C69" s="31" t="s">
        <v>64</v>
      </c>
      <c r="D69" s="32">
        <v>0</v>
      </c>
      <c r="E69" s="89">
        <v>0.59926999999999997</v>
      </c>
      <c r="F69" s="89">
        <v>0</v>
      </c>
      <c r="G69" s="89">
        <v>0.502</v>
      </c>
      <c r="H69" s="89">
        <v>9.7269999999999968E-2</v>
      </c>
      <c r="I69" s="90"/>
      <c r="J69" s="3"/>
      <c r="K69" s="32"/>
      <c r="L69" s="101"/>
      <c r="M69" s="92"/>
      <c r="N69" s="93">
        <v>1</v>
      </c>
      <c r="O69" s="90"/>
      <c r="P69" s="102">
        <v>3.7499999999999999E-3</v>
      </c>
    </row>
    <row r="70" spans="1:16" x14ac:dyDescent="0.25">
      <c r="A70" s="8">
        <v>64</v>
      </c>
      <c r="B70" s="8"/>
      <c r="C70" s="31" t="s">
        <v>65</v>
      </c>
      <c r="D70" s="32">
        <v>0</v>
      </c>
      <c r="E70" s="89">
        <v>0.57907999999999993</v>
      </c>
      <c r="F70" s="89">
        <v>0</v>
      </c>
      <c r="G70" s="89">
        <v>0.50125999999999993</v>
      </c>
      <c r="H70" s="89">
        <v>7.782E-2</v>
      </c>
      <c r="I70" s="90"/>
      <c r="J70" s="3"/>
      <c r="K70" s="32"/>
      <c r="L70" s="101"/>
      <c r="M70" s="92"/>
      <c r="N70" s="93">
        <v>1</v>
      </c>
      <c r="O70" s="90"/>
      <c r="P70" s="102">
        <v>3.0000000000000001E-3</v>
      </c>
    </row>
    <row r="71" spans="1:16" x14ac:dyDescent="0.25">
      <c r="A71" s="8">
        <v>65</v>
      </c>
      <c r="B71" s="8"/>
      <c r="C71" s="31" t="s">
        <v>66</v>
      </c>
      <c r="D71" s="32">
        <v>0</v>
      </c>
      <c r="E71" s="89">
        <v>0.55215999999999998</v>
      </c>
      <c r="F71" s="89">
        <v>0</v>
      </c>
      <c r="G71" s="89">
        <v>0.50026999999999999</v>
      </c>
      <c r="H71" s="89">
        <v>5.1889999999999992E-2</v>
      </c>
      <c r="I71" s="90"/>
      <c r="J71" s="3"/>
      <c r="K71" s="32"/>
      <c r="L71" s="101"/>
      <c r="M71" s="92"/>
      <c r="N71" s="93">
        <v>1</v>
      </c>
      <c r="O71" s="90"/>
      <c r="P71" s="102">
        <v>2E-3</v>
      </c>
    </row>
    <row r="72" spans="1:16" x14ac:dyDescent="0.25">
      <c r="A72" s="8">
        <v>66</v>
      </c>
      <c r="B72" s="30"/>
      <c r="C72" s="96" t="s">
        <v>67</v>
      </c>
      <c r="D72" s="24">
        <v>0</v>
      </c>
      <c r="E72" s="82">
        <v>0.51848000000000005</v>
      </c>
      <c r="F72" s="82">
        <v>0</v>
      </c>
      <c r="G72" s="82">
        <v>0.49903999999999998</v>
      </c>
      <c r="H72" s="82">
        <v>1.9440000000000068E-2</v>
      </c>
      <c r="I72" s="83"/>
      <c r="J72" s="27"/>
      <c r="K72" s="24"/>
      <c r="L72" s="84"/>
      <c r="M72" s="85"/>
      <c r="N72" s="86">
        <v>1</v>
      </c>
      <c r="O72" s="83"/>
      <c r="P72" s="87">
        <v>7.5000000000000002E-4</v>
      </c>
    </row>
    <row r="73" spans="1:16" x14ac:dyDescent="0.25">
      <c r="A73" s="8">
        <v>67</v>
      </c>
      <c r="B73" s="8" t="s">
        <v>74</v>
      </c>
      <c r="C73" s="31" t="s">
        <v>56</v>
      </c>
      <c r="D73" s="32">
        <v>978825.72034397838</v>
      </c>
      <c r="E73" s="89">
        <v>0.64822999999999997</v>
      </c>
      <c r="F73" s="89">
        <v>0</v>
      </c>
      <c r="G73" s="89">
        <v>0.50392999999999999</v>
      </c>
      <c r="H73" s="89">
        <v>0.14429999999999998</v>
      </c>
      <c r="I73" s="90">
        <v>899467</v>
      </c>
      <c r="J73" s="3">
        <v>1550</v>
      </c>
      <c r="K73" s="32">
        <v>10</v>
      </c>
      <c r="L73" s="91">
        <v>1085467</v>
      </c>
      <c r="M73" s="92"/>
      <c r="N73" s="93">
        <v>1</v>
      </c>
      <c r="O73" s="99">
        <v>34037</v>
      </c>
      <c r="P73" s="100">
        <v>5.4599999999999996E-3</v>
      </c>
    </row>
    <row r="74" spans="1:16" x14ac:dyDescent="0.25">
      <c r="A74" s="8">
        <v>68</v>
      </c>
      <c r="B74" s="8"/>
      <c r="C74" s="31" t="s">
        <v>57</v>
      </c>
      <c r="D74" s="32">
        <v>1713725.0201433029</v>
      </c>
      <c r="E74" s="89">
        <v>0.63251999999999997</v>
      </c>
      <c r="F74" s="89">
        <v>0</v>
      </c>
      <c r="G74" s="89">
        <v>0.50334999999999996</v>
      </c>
      <c r="H74" s="89">
        <v>0.12917000000000001</v>
      </c>
      <c r="I74" s="90"/>
      <c r="J74" s="3"/>
      <c r="K74" s="32"/>
      <c r="L74" s="101"/>
      <c r="M74" s="92"/>
      <c r="N74" s="93">
        <v>1</v>
      </c>
      <c r="O74" s="90"/>
      <c r="P74" s="102">
        <v>4.8900000000000002E-3</v>
      </c>
    </row>
    <row r="75" spans="1:16" x14ac:dyDescent="0.25">
      <c r="A75" s="8">
        <v>69</v>
      </c>
      <c r="B75" s="8"/>
      <c r="C75" s="31" t="s">
        <v>64</v>
      </c>
      <c r="D75" s="32">
        <v>1330899.8122362138</v>
      </c>
      <c r="E75" s="89">
        <v>0.60122999999999993</v>
      </c>
      <c r="F75" s="89">
        <v>0</v>
      </c>
      <c r="G75" s="89">
        <v>0.50217999999999996</v>
      </c>
      <c r="H75" s="89">
        <v>9.9049999999999971E-2</v>
      </c>
      <c r="I75" s="90"/>
      <c r="J75" s="3"/>
      <c r="K75" s="32"/>
      <c r="L75" s="101"/>
      <c r="M75" s="92"/>
      <c r="N75" s="93">
        <v>1</v>
      </c>
      <c r="O75" s="90"/>
      <c r="P75" s="102">
        <v>3.7499999999999999E-3</v>
      </c>
    </row>
    <row r="76" spans="1:16" x14ac:dyDescent="0.25">
      <c r="A76" s="8">
        <v>70</v>
      </c>
      <c r="B76" s="8"/>
      <c r="C76" s="31" t="s">
        <v>65</v>
      </c>
      <c r="D76" s="32">
        <v>3813649.7047456517</v>
      </c>
      <c r="E76" s="89">
        <v>0.58067000000000002</v>
      </c>
      <c r="F76" s="89">
        <v>0</v>
      </c>
      <c r="G76" s="89">
        <v>0.50141999999999998</v>
      </c>
      <c r="H76" s="89">
        <v>7.9250000000000043E-2</v>
      </c>
      <c r="I76" s="90"/>
      <c r="J76" s="3"/>
      <c r="K76" s="32"/>
      <c r="L76" s="101"/>
      <c r="M76" s="92"/>
      <c r="N76" s="93">
        <v>1</v>
      </c>
      <c r="O76" s="90"/>
      <c r="P76" s="102">
        <v>3.0000000000000001E-3</v>
      </c>
    </row>
    <row r="77" spans="1:16" x14ac:dyDescent="0.25">
      <c r="A77" s="8">
        <v>71</v>
      </c>
      <c r="B77" s="8"/>
      <c r="C77" s="31" t="s">
        <v>66</v>
      </c>
      <c r="D77" s="32">
        <v>1945560.9825308537</v>
      </c>
      <c r="E77" s="89">
        <v>0.55323999999999995</v>
      </c>
      <c r="F77" s="89">
        <v>0</v>
      </c>
      <c r="G77" s="89">
        <v>0.50039999999999996</v>
      </c>
      <c r="H77" s="89">
        <v>5.2839999999999998E-2</v>
      </c>
      <c r="I77" s="90"/>
      <c r="J77" s="3"/>
      <c r="K77" s="32"/>
      <c r="L77" s="101"/>
      <c r="M77" s="92"/>
      <c r="N77" s="93">
        <v>1</v>
      </c>
      <c r="O77" s="90"/>
      <c r="P77" s="102">
        <v>2E-3</v>
      </c>
    </row>
    <row r="78" spans="1:16" x14ac:dyDescent="0.25">
      <c r="A78" s="8">
        <v>72</v>
      </c>
      <c r="B78" s="30"/>
      <c r="C78" s="96" t="s">
        <v>67</v>
      </c>
      <c r="D78" s="24">
        <v>0</v>
      </c>
      <c r="E78" s="82">
        <v>0.51895000000000002</v>
      </c>
      <c r="F78" s="82">
        <v>0</v>
      </c>
      <c r="G78" s="82">
        <v>0.49913999999999997</v>
      </c>
      <c r="H78" s="82">
        <v>1.981000000000005E-2</v>
      </c>
      <c r="I78" s="83"/>
      <c r="J78" s="27"/>
      <c r="K78" s="24"/>
      <c r="L78" s="84"/>
      <c r="M78" s="85"/>
      <c r="N78" s="86">
        <v>1</v>
      </c>
      <c r="O78" s="83"/>
      <c r="P78" s="87">
        <v>7.5000000000000002E-4</v>
      </c>
    </row>
    <row r="79" spans="1:16" x14ac:dyDescent="0.25">
      <c r="A79" s="8">
        <v>73</v>
      </c>
      <c r="B79" s="30" t="s">
        <v>75</v>
      </c>
      <c r="C79" s="30"/>
      <c r="D79" s="24">
        <v>0</v>
      </c>
      <c r="E79" s="104">
        <v>0.50330999999999992</v>
      </c>
      <c r="F79" s="104">
        <v>0</v>
      </c>
      <c r="G79" s="104">
        <v>0.49839999999999995</v>
      </c>
      <c r="H79" s="104">
        <v>4.9099999999999699E-3</v>
      </c>
      <c r="I79" s="105">
        <v>0</v>
      </c>
      <c r="J79" s="51">
        <v>38000</v>
      </c>
      <c r="K79" s="24">
        <v>0</v>
      </c>
      <c r="L79" s="84">
        <v>0</v>
      </c>
      <c r="M79" s="106"/>
      <c r="N79" s="107">
        <v>1</v>
      </c>
      <c r="O79" s="83">
        <v>0</v>
      </c>
      <c r="P79" s="87">
        <v>1.9000000000000001E-4</v>
      </c>
    </row>
    <row r="80" spans="1:16" x14ac:dyDescent="0.25">
      <c r="A80" s="8">
        <v>74</v>
      </c>
      <c r="B80" s="23" t="s">
        <v>76</v>
      </c>
      <c r="C80" s="23"/>
      <c r="D80" s="24">
        <v>0</v>
      </c>
      <c r="E80" s="82">
        <v>0.50330999999999992</v>
      </c>
      <c r="F80" s="82">
        <v>0</v>
      </c>
      <c r="G80" s="82">
        <v>0.49839999999999995</v>
      </c>
      <c r="H80" s="82">
        <v>4.9099999999999699E-3</v>
      </c>
      <c r="I80" s="83">
        <v>0</v>
      </c>
      <c r="J80" s="27">
        <v>38000</v>
      </c>
      <c r="K80" s="24">
        <v>0</v>
      </c>
      <c r="L80" s="84">
        <v>0</v>
      </c>
      <c r="M80" s="85"/>
      <c r="N80" s="86">
        <v>1</v>
      </c>
      <c r="O80" s="83">
        <v>0</v>
      </c>
      <c r="P80" s="87">
        <v>1.9000000000000001E-4</v>
      </c>
    </row>
    <row r="81" spans="1:16" x14ac:dyDescent="0.25">
      <c r="A81" s="8">
        <v>75</v>
      </c>
      <c r="B81" s="23" t="s">
        <v>77</v>
      </c>
      <c r="C81" s="23"/>
      <c r="D81" s="24"/>
      <c r="E81" s="82"/>
      <c r="F81" s="82"/>
      <c r="G81" s="82"/>
      <c r="H81" s="82"/>
      <c r="I81" s="83"/>
      <c r="J81" s="27"/>
      <c r="K81" s="24"/>
      <c r="L81" s="108"/>
      <c r="M81" s="85"/>
      <c r="N81" s="86"/>
      <c r="O81" s="24"/>
      <c r="P81" s="88"/>
    </row>
    <row r="82" spans="1:16" x14ac:dyDescent="0.25">
      <c r="A82" s="8">
        <v>76</v>
      </c>
      <c r="B82" s="2"/>
      <c r="C82" s="2"/>
      <c r="D82" s="2"/>
      <c r="E82" s="89"/>
      <c r="F82" s="89"/>
      <c r="G82" s="89"/>
      <c r="H82" s="89"/>
      <c r="I82" s="61"/>
      <c r="J82" s="2"/>
      <c r="K82" s="2"/>
      <c r="L82" s="61"/>
      <c r="M82" s="2"/>
      <c r="N82" s="109"/>
      <c r="O82" s="2"/>
      <c r="P82" s="62"/>
    </row>
    <row r="83" spans="1:16" x14ac:dyDescent="0.25">
      <c r="A83" s="8">
        <v>77</v>
      </c>
      <c r="B83" s="2" t="s">
        <v>78</v>
      </c>
      <c r="C83" s="2"/>
      <c r="D83" s="32">
        <v>112726744.86619003</v>
      </c>
      <c r="E83" s="89"/>
      <c r="F83" s="89"/>
      <c r="G83" s="89"/>
      <c r="H83" s="89"/>
      <c r="I83" s="101">
        <v>50250385</v>
      </c>
      <c r="J83" s="32"/>
      <c r="K83" s="32"/>
      <c r="L83" s="101">
        <v>61799065</v>
      </c>
      <c r="M83" s="2"/>
      <c r="N83" s="110">
        <v>61799065</v>
      </c>
      <c r="O83" s="32">
        <v>1937819</v>
      </c>
      <c r="P83" s="62"/>
    </row>
    <row r="84" spans="1:16" x14ac:dyDescent="0.25">
      <c r="A84" s="8">
        <v>78</v>
      </c>
      <c r="B84" s="2"/>
      <c r="C84" s="2"/>
      <c r="D84" s="2"/>
      <c r="E84" s="2"/>
      <c r="F84" s="2"/>
      <c r="G84" s="2"/>
      <c r="H84" s="2"/>
      <c r="I84" s="2"/>
      <c r="J84" s="2"/>
      <c r="K84" s="2"/>
      <c r="L84" s="2"/>
      <c r="M84" s="32"/>
      <c r="N84" s="111"/>
      <c r="O84" s="2"/>
      <c r="P84" s="62"/>
    </row>
    <row r="85" spans="1:16" ht="15.75" thickBot="1" x14ac:dyDescent="0.3">
      <c r="A85" s="8">
        <v>79</v>
      </c>
      <c r="B85" s="57" t="s">
        <v>79</v>
      </c>
      <c r="C85" s="2"/>
      <c r="D85" s="2"/>
      <c r="E85" s="2"/>
      <c r="F85" s="2"/>
      <c r="G85" s="2"/>
      <c r="H85" s="2"/>
      <c r="I85" s="2"/>
      <c r="J85" s="2"/>
      <c r="K85" s="2"/>
      <c r="L85" s="2"/>
      <c r="M85" s="2"/>
      <c r="N85" s="2"/>
      <c r="O85" s="2"/>
      <c r="P85" s="2"/>
    </row>
    <row r="86" spans="1:16" ht="15.75" thickBot="1" x14ac:dyDescent="0.3">
      <c r="A86" s="8">
        <v>80</v>
      </c>
      <c r="B86" s="112" t="s">
        <v>80</v>
      </c>
      <c r="C86" s="59"/>
      <c r="D86" s="59"/>
      <c r="E86" s="59"/>
      <c r="F86" s="59"/>
      <c r="G86" s="59"/>
      <c r="H86" s="59"/>
      <c r="I86" s="59"/>
      <c r="J86" s="59"/>
      <c r="K86" s="60" t="s">
        <v>81</v>
      </c>
      <c r="L86" s="59"/>
      <c r="M86" s="59"/>
      <c r="N86" s="60" t="s">
        <v>82</v>
      </c>
      <c r="O86" s="59"/>
      <c r="P86" s="67"/>
    </row>
    <row r="87" spans="1:16" ht="15.75" thickBot="1" x14ac:dyDescent="0.3">
      <c r="A87" s="8">
        <v>81</v>
      </c>
      <c r="B87" s="57" t="s">
        <v>83</v>
      </c>
      <c r="C87" s="2"/>
      <c r="D87" s="2"/>
      <c r="E87" s="2"/>
      <c r="F87" s="2"/>
      <c r="G87" s="2"/>
      <c r="H87" s="2"/>
      <c r="I87" s="2"/>
      <c r="J87" s="2"/>
      <c r="K87" s="2"/>
      <c r="L87" s="2"/>
      <c r="M87" s="2"/>
      <c r="N87" s="2"/>
      <c r="O87" s="2"/>
      <c r="P87" s="103"/>
    </row>
    <row r="88" spans="1:16" ht="15.75" thickBot="1" x14ac:dyDescent="0.3">
      <c r="A88" s="8">
        <v>82</v>
      </c>
      <c r="B88" s="112" t="s">
        <v>84</v>
      </c>
      <c r="C88" s="59"/>
      <c r="D88" s="59"/>
      <c r="E88" s="59"/>
      <c r="F88" s="59"/>
      <c r="G88" s="59"/>
      <c r="H88" s="59"/>
      <c r="I88" s="59"/>
      <c r="J88" s="59"/>
      <c r="K88" s="59"/>
      <c r="L88" s="59"/>
      <c r="M88" s="59"/>
      <c r="N88" s="60" t="s">
        <v>85</v>
      </c>
      <c r="O88" s="59"/>
      <c r="P88" s="67"/>
    </row>
    <row r="89" spans="1:16" x14ac:dyDescent="0.25">
      <c r="A89" s="8">
        <v>83</v>
      </c>
      <c r="B89" s="2"/>
      <c r="C89" s="2"/>
      <c r="D89" s="2"/>
      <c r="E89" s="2"/>
      <c r="F89" s="2"/>
      <c r="G89" s="2"/>
      <c r="H89" s="2"/>
      <c r="I89" s="2"/>
      <c r="J89" s="2"/>
      <c r="K89" s="2"/>
      <c r="L89" s="2"/>
      <c r="M89" s="2"/>
      <c r="N89" s="109"/>
      <c r="O89" s="2"/>
      <c r="P89" s="62"/>
    </row>
    <row r="90" spans="1:16" x14ac:dyDescent="0.25">
      <c r="A90" s="8">
        <v>84</v>
      </c>
      <c r="B90" s="2" t="s">
        <v>86</v>
      </c>
      <c r="C90" s="2"/>
      <c r="D90" s="2"/>
      <c r="E90" s="2"/>
      <c r="F90" s="2"/>
      <c r="G90" s="2"/>
      <c r="H90" s="2"/>
      <c r="I90" s="2"/>
      <c r="J90" s="2"/>
      <c r="K90" s="2"/>
      <c r="L90" s="2"/>
      <c r="M90" s="2"/>
      <c r="N90" s="109"/>
      <c r="O90" s="2"/>
      <c r="P90" s="62"/>
    </row>
  </sheetData>
  <mergeCells count="2">
    <mergeCell ref="L11:L12"/>
    <mergeCell ref="N7:P7"/>
  </mergeCells>
  <pageMargins left="0.7" right="0.7" top="0.75" bottom="0.75" header="0.3" footer="0.3"/>
  <pageSetup scale="36" orientation="landscape" r:id="rId1"/>
  <headerFooter>
    <oddHeader>&amp;RNWN WUTC Advice No. 24-15
Exhibit A - Supporting Materials
Page &amp;P of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44837-6A7A-41E7-BDD5-9ED9541FD858}">
  <sheetPr>
    <pageSetUpPr fitToPage="1"/>
  </sheetPr>
  <dimension ref="A1:P105"/>
  <sheetViews>
    <sheetView view="pageLayout" topLeftCell="F1" zoomScaleNormal="85" workbookViewId="0">
      <selection activeCell="X34" sqref="X34"/>
    </sheetView>
  </sheetViews>
  <sheetFormatPr defaultRowHeight="15" x14ac:dyDescent="0.25"/>
  <cols>
    <col min="1" max="1" width="4.7109375" customWidth="1"/>
    <col min="2" max="2" width="16.85546875" bestFit="1" customWidth="1"/>
    <col min="3" max="3" width="6.85546875" bestFit="1" customWidth="1"/>
    <col min="4" max="4" width="14.7109375" bestFit="1" customWidth="1"/>
    <col min="5" max="5" width="12.28515625" bestFit="1" customWidth="1"/>
    <col min="6" max="6" width="10.85546875" bestFit="1" customWidth="1"/>
    <col min="7" max="8" width="10.5703125" bestFit="1" customWidth="1"/>
    <col min="9" max="9" width="11.140625" bestFit="1" customWidth="1"/>
    <col min="10" max="11" width="10.140625" bestFit="1" customWidth="1"/>
    <col min="12" max="12" width="9.140625" bestFit="1" customWidth="1"/>
    <col min="13" max="13" width="12.85546875" bestFit="1" customWidth="1"/>
    <col min="14" max="14" width="9" bestFit="1" customWidth="1"/>
    <col min="15" max="15" width="10.7109375" bestFit="1" customWidth="1"/>
    <col min="16" max="16" width="12.5703125" bestFit="1" customWidth="1"/>
  </cols>
  <sheetData>
    <row r="1" spans="1:16" x14ac:dyDescent="0.25">
      <c r="A1" s="1" t="s">
        <v>0</v>
      </c>
      <c r="B1" s="2"/>
      <c r="C1" s="2"/>
      <c r="D1" s="2"/>
      <c r="E1" s="2"/>
      <c r="F1" s="2"/>
      <c r="G1" s="2"/>
      <c r="H1" s="2"/>
      <c r="I1" s="2"/>
      <c r="J1" s="2"/>
      <c r="K1" s="2"/>
      <c r="L1" s="2"/>
      <c r="M1" s="2"/>
      <c r="N1" s="2"/>
      <c r="O1" s="2"/>
      <c r="P1" s="2"/>
    </row>
    <row r="2" spans="1:16" x14ac:dyDescent="0.25">
      <c r="A2" s="1" t="s">
        <v>1</v>
      </c>
      <c r="B2" s="2"/>
      <c r="C2" s="2"/>
      <c r="D2" s="2"/>
      <c r="E2" s="2"/>
      <c r="F2" s="2"/>
      <c r="G2" s="2"/>
      <c r="H2" s="2"/>
      <c r="I2" s="2"/>
      <c r="J2" s="2"/>
      <c r="K2" s="2"/>
      <c r="L2" s="2"/>
      <c r="M2" s="2"/>
      <c r="N2" s="2"/>
      <c r="O2" s="2"/>
      <c r="P2" s="2"/>
    </row>
    <row r="3" spans="1:16" x14ac:dyDescent="0.25">
      <c r="A3" s="1" t="s">
        <v>2</v>
      </c>
      <c r="B3" s="2"/>
      <c r="C3" s="2"/>
      <c r="D3" s="2"/>
      <c r="E3" s="2"/>
      <c r="F3" s="2"/>
      <c r="G3" s="2"/>
      <c r="H3" s="2"/>
      <c r="I3" s="2"/>
      <c r="J3" s="2"/>
      <c r="K3" s="2"/>
      <c r="L3" s="2"/>
      <c r="M3" s="4"/>
      <c r="N3" s="3"/>
      <c r="O3" s="3"/>
      <c r="P3" s="3"/>
    </row>
    <row r="4" spans="1:16" x14ac:dyDescent="0.25">
      <c r="A4" s="1" t="s">
        <v>87</v>
      </c>
      <c r="B4" s="2"/>
      <c r="C4" s="2"/>
      <c r="D4" s="2"/>
      <c r="E4" s="2"/>
      <c r="F4" s="2"/>
      <c r="G4" s="2"/>
      <c r="H4" s="2"/>
      <c r="I4" s="2"/>
      <c r="J4" s="2"/>
      <c r="K4" s="2"/>
      <c r="L4" s="2"/>
      <c r="M4" s="2"/>
      <c r="N4" s="2"/>
      <c r="O4" s="2"/>
      <c r="P4" s="2"/>
    </row>
    <row r="5" spans="1:16" x14ac:dyDescent="0.25">
      <c r="A5" s="5" t="s">
        <v>88</v>
      </c>
      <c r="B5" s="2"/>
      <c r="C5" s="2"/>
      <c r="D5" s="2"/>
      <c r="E5" s="2"/>
      <c r="F5" s="2"/>
      <c r="G5" s="2"/>
      <c r="H5" s="2"/>
      <c r="I5" s="2"/>
      <c r="J5" s="6"/>
      <c r="K5" s="6"/>
      <c r="L5" s="6"/>
      <c r="M5" s="6"/>
      <c r="N5" s="7"/>
      <c r="O5" s="7"/>
      <c r="P5" s="7"/>
    </row>
    <row r="6" spans="1:16" ht="15.75" thickBot="1" x14ac:dyDescent="0.3">
      <c r="A6" s="2"/>
      <c r="B6" s="2"/>
      <c r="C6" s="2"/>
      <c r="D6" s="2"/>
      <c r="E6" s="2"/>
      <c r="F6" s="2"/>
      <c r="G6" s="2"/>
      <c r="H6" s="2"/>
      <c r="I6" s="8" t="s">
        <v>89</v>
      </c>
      <c r="J6" s="2"/>
      <c r="K6" s="8" t="s">
        <v>90</v>
      </c>
      <c r="L6" s="2"/>
      <c r="M6" s="2"/>
      <c r="N6" s="7"/>
      <c r="O6" s="7"/>
      <c r="P6" s="7"/>
    </row>
    <row r="7" spans="1:16" x14ac:dyDescent="0.25">
      <c r="A7" s="8">
        <v>1</v>
      </c>
      <c r="B7" s="2"/>
      <c r="C7" s="2"/>
      <c r="D7" s="8" t="s">
        <v>91</v>
      </c>
      <c r="E7" s="2"/>
      <c r="F7" s="9" t="s">
        <v>92</v>
      </c>
      <c r="G7" s="2"/>
      <c r="H7" s="9" t="s">
        <v>89</v>
      </c>
      <c r="I7" s="8" t="s">
        <v>93</v>
      </c>
      <c r="J7" s="9" t="s">
        <v>90</v>
      </c>
      <c r="K7" s="8" t="s">
        <v>93</v>
      </c>
      <c r="L7" s="8" t="s">
        <v>89</v>
      </c>
      <c r="M7" s="9"/>
      <c r="N7" s="9" t="s">
        <v>90</v>
      </c>
      <c r="O7" s="9" t="s">
        <v>90</v>
      </c>
      <c r="P7" s="10" t="s">
        <v>90</v>
      </c>
    </row>
    <row r="8" spans="1:16" ht="15.75" thickBot="1" x14ac:dyDescent="0.3">
      <c r="A8" s="8">
        <v>2</v>
      </c>
      <c r="B8" s="2"/>
      <c r="C8" s="2"/>
      <c r="D8" s="8" t="s">
        <v>94</v>
      </c>
      <c r="E8" s="9"/>
      <c r="F8" s="9" t="s">
        <v>95</v>
      </c>
      <c r="G8" s="8" t="s">
        <v>96</v>
      </c>
      <c r="H8" s="9" t="s">
        <v>97</v>
      </c>
      <c r="I8" s="8" t="s">
        <v>96</v>
      </c>
      <c r="J8" s="9" t="s">
        <v>97</v>
      </c>
      <c r="K8" s="8" t="s">
        <v>96</v>
      </c>
      <c r="L8" s="9">
        <v>45597</v>
      </c>
      <c r="M8" s="9">
        <v>45597</v>
      </c>
      <c r="N8" s="9">
        <v>45658</v>
      </c>
      <c r="O8" s="9">
        <v>45658</v>
      </c>
      <c r="P8" s="11">
        <v>45658</v>
      </c>
    </row>
    <row r="9" spans="1:16" x14ac:dyDescent="0.25">
      <c r="A9" s="8">
        <v>3</v>
      </c>
      <c r="B9" s="2"/>
      <c r="C9" s="2"/>
      <c r="D9" s="8" t="s">
        <v>14</v>
      </c>
      <c r="E9" s="8" t="s">
        <v>98</v>
      </c>
      <c r="F9" s="8" t="s">
        <v>99</v>
      </c>
      <c r="G9" s="8" t="s">
        <v>99</v>
      </c>
      <c r="H9" s="8" t="s">
        <v>100</v>
      </c>
      <c r="I9" s="8" t="s">
        <v>99</v>
      </c>
      <c r="J9" s="8" t="s">
        <v>100</v>
      </c>
      <c r="K9" s="8" t="s">
        <v>99</v>
      </c>
      <c r="L9" s="8" t="s">
        <v>4</v>
      </c>
      <c r="M9" s="8" t="s">
        <v>89</v>
      </c>
      <c r="N9" s="12" t="s">
        <v>101</v>
      </c>
      <c r="O9" s="12" t="s">
        <v>101</v>
      </c>
      <c r="P9" s="18" t="s">
        <v>101</v>
      </c>
    </row>
    <row r="10" spans="1:16" ht="15.75" thickBot="1" x14ac:dyDescent="0.3">
      <c r="A10" s="8">
        <v>4</v>
      </c>
      <c r="B10" s="2"/>
      <c r="C10" s="2"/>
      <c r="D10" s="13" t="s">
        <v>23</v>
      </c>
      <c r="E10" s="13" t="s">
        <v>38</v>
      </c>
      <c r="F10" s="13" t="s">
        <v>102</v>
      </c>
      <c r="G10" s="13" t="s">
        <v>28</v>
      </c>
      <c r="H10" s="13" t="s">
        <v>103</v>
      </c>
      <c r="I10" s="13" t="s">
        <v>28</v>
      </c>
      <c r="J10" s="13" t="s">
        <v>103</v>
      </c>
      <c r="K10" s="13" t="s">
        <v>28</v>
      </c>
      <c r="L10" s="13" t="s">
        <v>104</v>
      </c>
      <c r="M10" s="13" t="s">
        <v>105</v>
      </c>
      <c r="N10" s="15" t="s">
        <v>104</v>
      </c>
      <c r="O10" s="13" t="s">
        <v>106</v>
      </c>
      <c r="P10" s="14" t="s">
        <v>107</v>
      </c>
    </row>
    <row r="11" spans="1:16" x14ac:dyDescent="0.25">
      <c r="A11" s="8">
        <v>5</v>
      </c>
      <c r="B11" s="2"/>
      <c r="C11" s="2"/>
      <c r="D11" s="16"/>
      <c r="E11" s="16"/>
      <c r="F11" s="16"/>
      <c r="G11" s="16"/>
      <c r="H11" s="16"/>
      <c r="I11" s="16"/>
      <c r="J11" s="16"/>
      <c r="K11" s="16"/>
      <c r="L11" s="16"/>
      <c r="M11" s="17" t="s">
        <v>108</v>
      </c>
      <c r="N11" s="17"/>
      <c r="O11" s="17" t="s">
        <v>109</v>
      </c>
      <c r="P11" s="19"/>
    </row>
    <row r="12" spans="1:16" x14ac:dyDescent="0.25">
      <c r="A12" s="8">
        <v>6</v>
      </c>
      <c r="B12" s="20" t="s">
        <v>37</v>
      </c>
      <c r="C12" s="20" t="s">
        <v>38</v>
      </c>
      <c r="D12" s="21" t="s">
        <v>39</v>
      </c>
      <c r="E12" s="21" t="s">
        <v>40</v>
      </c>
      <c r="F12" s="21" t="s">
        <v>41</v>
      </c>
      <c r="G12" s="21"/>
      <c r="H12" s="21"/>
      <c r="I12" s="21" t="s">
        <v>42</v>
      </c>
      <c r="J12" s="21"/>
      <c r="K12" s="21"/>
      <c r="L12" s="21" t="s">
        <v>43</v>
      </c>
      <c r="M12" s="21" t="s">
        <v>110</v>
      </c>
      <c r="N12" s="21" t="s">
        <v>111</v>
      </c>
      <c r="O12" s="21" t="s">
        <v>112</v>
      </c>
      <c r="P12" s="22" t="s">
        <v>113</v>
      </c>
    </row>
    <row r="13" spans="1:16" x14ac:dyDescent="0.25">
      <c r="A13" s="8">
        <v>7</v>
      </c>
      <c r="B13" s="23" t="s">
        <v>50</v>
      </c>
      <c r="C13" s="23"/>
      <c r="D13" s="24">
        <v>329987.40000000002</v>
      </c>
      <c r="E13" s="25" t="s">
        <v>114</v>
      </c>
      <c r="F13" s="26">
        <v>15</v>
      </c>
      <c r="G13" s="27">
        <v>5.5</v>
      </c>
      <c r="H13" s="27">
        <v>5.0999999999999996</v>
      </c>
      <c r="I13" s="27">
        <v>0.40000000000000036</v>
      </c>
      <c r="J13" s="27">
        <v>2.4711298636064467</v>
      </c>
      <c r="K13" s="27">
        <v>3.0288701363935533</v>
      </c>
      <c r="L13" s="28">
        <v>1.9110700000000005</v>
      </c>
      <c r="M13" s="27">
        <v>29.07</v>
      </c>
      <c r="N13" s="28">
        <v>1.9248300000000005</v>
      </c>
      <c r="O13" s="27">
        <v>29.272450000000006</v>
      </c>
      <c r="P13" s="29">
        <v>6.9642242862059172E-3</v>
      </c>
    </row>
    <row r="14" spans="1:16" x14ac:dyDescent="0.25">
      <c r="A14" s="8">
        <v>8</v>
      </c>
      <c r="B14" s="23" t="s">
        <v>51</v>
      </c>
      <c r="C14" s="23"/>
      <c r="D14" s="24">
        <v>15693.3</v>
      </c>
      <c r="E14" s="25" t="s">
        <v>114</v>
      </c>
      <c r="F14" s="26">
        <v>37</v>
      </c>
      <c r="G14" s="27">
        <v>7</v>
      </c>
      <c r="H14" s="27">
        <v>16.670000000000002</v>
      </c>
      <c r="I14" s="27">
        <v>-9.6700000000000017</v>
      </c>
      <c r="J14" s="27">
        <v>7.2674843192038265</v>
      </c>
      <c r="K14" s="27">
        <v>-0.26748431920382654</v>
      </c>
      <c r="L14" s="28">
        <v>1.9166999999999992</v>
      </c>
      <c r="M14" s="27">
        <v>61.25</v>
      </c>
      <c r="N14" s="28">
        <v>1.9291699999999992</v>
      </c>
      <c r="O14" s="27">
        <v>61.709289999999967</v>
      </c>
      <c r="P14" s="29">
        <v>7.4986122448974261E-3</v>
      </c>
    </row>
    <row r="15" spans="1:16" x14ac:dyDescent="0.25">
      <c r="A15" s="8">
        <v>9</v>
      </c>
      <c r="B15" s="23" t="s">
        <v>52</v>
      </c>
      <c r="C15" s="23"/>
      <c r="D15" s="24">
        <v>60818464.700000003</v>
      </c>
      <c r="E15" s="25" t="s">
        <v>114</v>
      </c>
      <c r="F15" s="26">
        <v>57</v>
      </c>
      <c r="G15" s="27">
        <v>8</v>
      </c>
      <c r="H15" s="27">
        <v>19.36</v>
      </c>
      <c r="I15" s="27">
        <v>-11.36</v>
      </c>
      <c r="J15" s="27">
        <v>14.15539841068847</v>
      </c>
      <c r="K15" s="27">
        <v>-6.1553984106884698</v>
      </c>
      <c r="L15" s="28">
        <v>1.56419</v>
      </c>
      <c r="M15" s="27">
        <v>77.8</v>
      </c>
      <c r="N15" s="28">
        <v>1.5717999999999999</v>
      </c>
      <c r="O15" s="27">
        <v>78.232599999999991</v>
      </c>
      <c r="P15" s="29">
        <v>5.5604113110539035E-3</v>
      </c>
    </row>
    <row r="16" spans="1:16" x14ac:dyDescent="0.25">
      <c r="A16" s="8">
        <v>10</v>
      </c>
      <c r="B16" s="23" t="s">
        <v>53</v>
      </c>
      <c r="C16" s="23"/>
      <c r="D16" s="24">
        <v>20700935.800000001</v>
      </c>
      <c r="E16" s="25" t="s">
        <v>114</v>
      </c>
      <c r="F16" s="26">
        <v>254</v>
      </c>
      <c r="G16" s="27">
        <v>22</v>
      </c>
      <c r="H16" s="27">
        <v>81.5</v>
      </c>
      <c r="I16" s="27">
        <v>-59.5</v>
      </c>
      <c r="J16" s="27">
        <v>59.637685121565006</v>
      </c>
      <c r="K16" s="27">
        <v>-37.637685121565006</v>
      </c>
      <c r="L16" s="28">
        <v>1.5283599999999995</v>
      </c>
      <c r="M16" s="27">
        <v>328.7</v>
      </c>
      <c r="N16" s="28">
        <v>1.5350699999999995</v>
      </c>
      <c r="O16" s="27">
        <v>330.40777999999989</v>
      </c>
      <c r="P16" s="29">
        <v>5.1955582598110749E-3</v>
      </c>
    </row>
    <row r="17" spans="1:16" x14ac:dyDescent="0.25">
      <c r="A17" s="8">
        <v>11</v>
      </c>
      <c r="B17" s="23" t="s">
        <v>54</v>
      </c>
      <c r="C17" s="23"/>
      <c r="D17" s="24">
        <v>219194.4</v>
      </c>
      <c r="E17" s="25" t="s">
        <v>114</v>
      </c>
      <c r="F17" s="26">
        <v>870</v>
      </c>
      <c r="G17" s="27">
        <v>22</v>
      </c>
      <c r="H17" s="27">
        <v>396.95</v>
      </c>
      <c r="I17" s="27">
        <v>-374.95</v>
      </c>
      <c r="J17" s="27">
        <v>175.69910267777593</v>
      </c>
      <c r="K17" s="27">
        <v>-153.69910267777593</v>
      </c>
      <c r="L17" s="28">
        <v>1.4804899999999996</v>
      </c>
      <c r="M17" s="27">
        <v>913.08</v>
      </c>
      <c r="N17" s="28">
        <v>1.4868399999999995</v>
      </c>
      <c r="O17" s="27">
        <v>918.60079999999948</v>
      </c>
      <c r="P17" s="29">
        <v>6.0463486222449726E-3</v>
      </c>
    </row>
    <row r="18" spans="1:16" x14ac:dyDescent="0.25">
      <c r="A18" s="8">
        <v>12</v>
      </c>
      <c r="B18" s="30">
        <v>27</v>
      </c>
      <c r="C18" s="30"/>
      <c r="D18" s="24">
        <v>60523.5</v>
      </c>
      <c r="E18" s="25" t="s">
        <v>114</v>
      </c>
      <c r="F18" s="26">
        <v>13</v>
      </c>
      <c r="G18" s="27">
        <v>9</v>
      </c>
      <c r="H18" s="27">
        <v>0</v>
      </c>
      <c r="I18" s="27">
        <v>9</v>
      </c>
      <c r="J18" s="27">
        <v>0</v>
      </c>
      <c r="K18" s="27">
        <v>9</v>
      </c>
      <c r="L18" s="28">
        <v>1.3552499999999998</v>
      </c>
      <c r="M18" s="27">
        <v>26.62</v>
      </c>
      <c r="N18" s="28">
        <v>1.3724399999999999</v>
      </c>
      <c r="O18" s="27">
        <v>26.841719999999999</v>
      </c>
      <c r="P18" s="29">
        <v>8.3290758827948043E-3</v>
      </c>
    </row>
    <row r="19" spans="1:16" x14ac:dyDescent="0.25">
      <c r="A19" s="8">
        <v>13</v>
      </c>
      <c r="B19" s="8" t="s">
        <v>55</v>
      </c>
      <c r="C19" s="31" t="s">
        <v>56</v>
      </c>
      <c r="D19" s="32">
        <v>1451662.3</v>
      </c>
      <c r="E19" s="33">
        <v>2000</v>
      </c>
      <c r="F19" s="34">
        <v>3272</v>
      </c>
      <c r="G19" s="3">
        <v>250</v>
      </c>
      <c r="H19" s="3">
        <v>1244.55</v>
      </c>
      <c r="I19" s="3">
        <v>-994.55</v>
      </c>
      <c r="J19" s="3">
        <v>700.67104558924518</v>
      </c>
      <c r="K19" s="3">
        <v>-450.67104558924518</v>
      </c>
      <c r="L19" s="35">
        <v>1.2903799999999999</v>
      </c>
      <c r="M19" s="3"/>
      <c r="N19" s="35">
        <v>1.2960099999999999</v>
      </c>
      <c r="O19" s="3"/>
      <c r="P19" s="36"/>
    </row>
    <row r="20" spans="1:16" x14ac:dyDescent="0.25">
      <c r="A20" s="8">
        <v>14</v>
      </c>
      <c r="B20" s="8"/>
      <c r="C20" s="31" t="s">
        <v>57</v>
      </c>
      <c r="D20" s="32">
        <v>2356915.2000000002</v>
      </c>
      <c r="E20" s="33" t="s">
        <v>115</v>
      </c>
      <c r="F20" s="34"/>
      <c r="G20" s="3"/>
      <c r="H20" s="34"/>
      <c r="I20" s="3"/>
      <c r="J20" s="34"/>
      <c r="K20" s="3"/>
      <c r="L20" s="35">
        <v>1.2327300000000001</v>
      </c>
      <c r="M20" s="3"/>
      <c r="N20" s="35">
        <v>1.2376900000000002</v>
      </c>
      <c r="O20" s="3"/>
      <c r="P20" s="36"/>
    </row>
    <row r="21" spans="1:16" x14ac:dyDescent="0.25">
      <c r="A21" s="8">
        <v>15</v>
      </c>
      <c r="B21" s="30"/>
      <c r="C21" s="37" t="s">
        <v>116</v>
      </c>
      <c r="D21" s="38"/>
      <c r="E21" s="39"/>
      <c r="F21" s="40"/>
      <c r="G21" s="41"/>
      <c r="H21" s="40"/>
      <c r="I21" s="41"/>
      <c r="J21" s="40"/>
      <c r="K21" s="41"/>
      <c r="L21" s="42"/>
      <c r="M21" s="41">
        <v>3154.24</v>
      </c>
      <c r="N21" s="42"/>
      <c r="O21" s="41">
        <v>3171.8099999999995</v>
      </c>
      <c r="P21" s="43">
        <v>5.5702800040579375E-3</v>
      </c>
    </row>
    <row r="22" spans="1:16" x14ac:dyDescent="0.25">
      <c r="A22" s="8">
        <v>16</v>
      </c>
      <c r="B22" s="8" t="s">
        <v>58</v>
      </c>
      <c r="C22" s="31" t="s">
        <v>56</v>
      </c>
      <c r="D22" s="32">
        <v>380477.02690481488</v>
      </c>
      <c r="E22" s="33">
        <v>2000</v>
      </c>
      <c r="F22" s="34">
        <v>4876</v>
      </c>
      <c r="G22" s="3">
        <v>250</v>
      </c>
      <c r="H22" s="3">
        <v>1492.26</v>
      </c>
      <c r="I22" s="3">
        <v>-1242.26</v>
      </c>
      <c r="J22" s="3">
        <v>847.08623028939974</v>
      </c>
      <c r="K22" s="3">
        <v>-597.08623028939974</v>
      </c>
      <c r="L22" s="35">
        <v>1.1981300000000004</v>
      </c>
      <c r="M22" s="3"/>
      <c r="N22" s="35">
        <v>1.2027500000000004</v>
      </c>
      <c r="O22" s="3"/>
      <c r="P22" s="36"/>
    </row>
    <row r="23" spans="1:16" x14ac:dyDescent="0.25">
      <c r="A23" s="8">
        <v>17</v>
      </c>
      <c r="B23" s="8"/>
      <c r="C23" s="31" t="s">
        <v>57</v>
      </c>
      <c r="D23" s="32">
        <v>848323.74809518503</v>
      </c>
      <c r="E23" s="33" t="s">
        <v>115</v>
      </c>
      <c r="F23" s="44"/>
      <c r="G23" s="45"/>
      <c r="H23" s="44"/>
      <c r="I23" s="45"/>
      <c r="J23" s="44"/>
      <c r="K23" s="45"/>
      <c r="L23" s="35">
        <v>1.1515499999999996</v>
      </c>
      <c r="M23" s="3"/>
      <c r="N23" s="35">
        <v>1.1556199999999996</v>
      </c>
      <c r="O23" s="3"/>
      <c r="P23" s="36"/>
    </row>
    <row r="24" spans="1:16" x14ac:dyDescent="0.25">
      <c r="A24" s="8">
        <v>18</v>
      </c>
      <c r="B24" s="30"/>
      <c r="C24" s="37" t="s">
        <v>116</v>
      </c>
      <c r="D24" s="38"/>
      <c r="E24" s="39"/>
      <c r="F24" s="40"/>
      <c r="G24" s="41"/>
      <c r="H24" s="40"/>
      <c r="I24" s="41"/>
      <c r="J24" s="40"/>
      <c r="K24" s="41"/>
      <c r="L24" s="42"/>
      <c r="M24" s="41">
        <v>4465.8599999999997</v>
      </c>
      <c r="N24" s="42"/>
      <c r="O24" s="41">
        <v>4486.8</v>
      </c>
      <c r="P24" s="43">
        <v>4.6889065040105404E-3</v>
      </c>
    </row>
    <row r="25" spans="1:16" x14ac:dyDescent="0.25">
      <c r="A25" s="8">
        <v>19</v>
      </c>
      <c r="B25" s="8" t="s">
        <v>59</v>
      </c>
      <c r="C25" s="31" t="s">
        <v>56</v>
      </c>
      <c r="D25" s="32">
        <v>0</v>
      </c>
      <c r="E25" s="33">
        <v>2000</v>
      </c>
      <c r="F25" s="34">
        <v>0</v>
      </c>
      <c r="G25" s="3">
        <v>250</v>
      </c>
      <c r="H25" s="3">
        <v>1244.55</v>
      </c>
      <c r="I25" s="3">
        <v>-994.55</v>
      </c>
      <c r="J25" s="3">
        <v>700.67104558924518</v>
      </c>
      <c r="K25" s="3">
        <v>-450.67104558924518</v>
      </c>
      <c r="L25" s="35">
        <v>1.21594</v>
      </c>
      <c r="M25" s="3"/>
      <c r="N25" s="35">
        <v>1.2207999999999999</v>
      </c>
      <c r="O25" s="3"/>
      <c r="P25" s="36"/>
    </row>
    <row r="26" spans="1:16" x14ac:dyDescent="0.25">
      <c r="A26" s="8">
        <v>20</v>
      </c>
      <c r="B26" s="8"/>
      <c r="C26" s="31" t="s">
        <v>57</v>
      </c>
      <c r="D26" s="32">
        <v>0</v>
      </c>
      <c r="E26" s="33" t="s">
        <v>115</v>
      </c>
      <c r="F26" s="44"/>
      <c r="G26" s="45"/>
      <c r="H26" s="44"/>
      <c r="I26" s="45"/>
      <c r="J26" s="44"/>
      <c r="K26" s="45"/>
      <c r="L26" s="35">
        <v>1.1627200000000002</v>
      </c>
      <c r="M26" s="3"/>
      <c r="N26" s="35">
        <v>1.167</v>
      </c>
      <c r="O26" s="3"/>
      <c r="P26" s="36"/>
    </row>
    <row r="27" spans="1:16" x14ac:dyDescent="0.25">
      <c r="A27" s="8">
        <v>21</v>
      </c>
      <c r="B27" s="30"/>
      <c r="C27" s="37" t="s">
        <v>116</v>
      </c>
      <c r="D27" s="38"/>
      <c r="E27" s="39"/>
      <c r="F27" s="40"/>
      <c r="G27" s="41"/>
      <c r="H27" s="40"/>
      <c r="I27" s="41"/>
      <c r="J27" s="40"/>
      <c r="K27" s="41"/>
      <c r="L27" s="42"/>
      <c r="M27" s="41">
        <v>-994.55</v>
      </c>
      <c r="N27" s="42"/>
      <c r="O27" s="41">
        <v>-994.55</v>
      </c>
      <c r="P27" s="43">
        <v>0</v>
      </c>
    </row>
    <row r="28" spans="1:16" x14ac:dyDescent="0.25">
      <c r="A28" s="8">
        <v>22</v>
      </c>
      <c r="B28" s="8" t="s">
        <v>60</v>
      </c>
      <c r="C28" s="31" t="s">
        <v>56</v>
      </c>
      <c r="D28" s="32">
        <v>0</v>
      </c>
      <c r="E28" s="33">
        <v>2000</v>
      </c>
      <c r="F28" s="34">
        <v>0</v>
      </c>
      <c r="G28" s="3">
        <v>250</v>
      </c>
      <c r="H28" s="3">
        <v>1492.26</v>
      </c>
      <c r="I28" s="3">
        <v>-1242.26</v>
      </c>
      <c r="J28" s="3">
        <v>847.08623028939974</v>
      </c>
      <c r="K28" s="3">
        <v>-597.08623028939974</v>
      </c>
      <c r="L28" s="35">
        <v>1.15405</v>
      </c>
      <c r="M28" s="3"/>
      <c r="N28" s="35">
        <v>1.1589799999999999</v>
      </c>
      <c r="O28" s="3"/>
      <c r="P28" s="36"/>
    </row>
    <row r="29" spans="1:16" x14ac:dyDescent="0.25">
      <c r="A29" s="8">
        <v>23</v>
      </c>
      <c r="B29" s="8"/>
      <c r="C29" s="31" t="s">
        <v>57</v>
      </c>
      <c r="D29" s="32">
        <v>0</v>
      </c>
      <c r="E29" s="33" t="s">
        <v>115</v>
      </c>
      <c r="F29" s="34"/>
      <c r="G29" s="3"/>
      <c r="H29" s="34"/>
      <c r="I29" s="3"/>
      <c r="J29" s="34"/>
      <c r="K29" s="3"/>
      <c r="L29" s="35">
        <v>1.1082799999999997</v>
      </c>
      <c r="M29" s="3"/>
      <c r="N29" s="35">
        <v>1.1126199999999997</v>
      </c>
      <c r="O29" s="3"/>
      <c r="P29" s="36"/>
    </row>
    <row r="30" spans="1:16" x14ac:dyDescent="0.25">
      <c r="A30" s="8">
        <v>24</v>
      </c>
      <c r="B30" s="30"/>
      <c r="C30" s="37" t="s">
        <v>116</v>
      </c>
      <c r="D30" s="38"/>
      <c r="E30" s="39"/>
      <c r="F30" s="40"/>
      <c r="G30" s="41"/>
      <c r="H30" s="40"/>
      <c r="I30" s="41"/>
      <c r="J30" s="40"/>
      <c r="K30" s="41"/>
      <c r="L30" s="42"/>
      <c r="M30" s="41">
        <v>-1242.26</v>
      </c>
      <c r="N30" s="42"/>
      <c r="O30" s="41">
        <v>-1242.26</v>
      </c>
      <c r="P30" s="43">
        <v>0</v>
      </c>
    </row>
    <row r="31" spans="1:16" x14ac:dyDescent="0.25">
      <c r="A31" s="8">
        <v>25</v>
      </c>
      <c r="B31" s="8" t="s">
        <v>61</v>
      </c>
      <c r="C31" s="31" t="s">
        <v>56</v>
      </c>
      <c r="D31" s="32">
        <v>169476.40353781977</v>
      </c>
      <c r="E31" s="33">
        <v>2000</v>
      </c>
      <c r="F31" s="34">
        <v>4715</v>
      </c>
      <c r="G31" s="3">
        <v>500</v>
      </c>
      <c r="H31" s="3">
        <v>1244.55</v>
      </c>
      <c r="I31" s="3">
        <v>-744.55</v>
      </c>
      <c r="J31" s="3">
        <v>700.67104558924518</v>
      </c>
      <c r="K31" s="3">
        <v>-200.67104558924518</v>
      </c>
      <c r="L31" s="35">
        <v>0.89161999999999997</v>
      </c>
      <c r="M31" s="3"/>
      <c r="N31" s="35">
        <v>0.89696999999999993</v>
      </c>
      <c r="O31" s="3"/>
      <c r="P31" s="36"/>
    </row>
    <row r="32" spans="1:16" x14ac:dyDescent="0.25">
      <c r="A32" s="8">
        <v>26</v>
      </c>
      <c r="B32" s="8"/>
      <c r="C32" s="31" t="s">
        <v>57</v>
      </c>
      <c r="D32" s="32">
        <v>283173.59646218026</v>
      </c>
      <c r="E32" s="33" t="s">
        <v>115</v>
      </c>
      <c r="F32" s="34"/>
      <c r="G32" s="3"/>
      <c r="H32" s="34"/>
      <c r="I32" s="3"/>
      <c r="J32" s="34"/>
      <c r="K32" s="3"/>
      <c r="L32" s="35">
        <v>0.84484000000000015</v>
      </c>
      <c r="M32" s="3"/>
      <c r="N32" s="35">
        <v>0.84955000000000014</v>
      </c>
      <c r="O32" s="3"/>
      <c r="P32" s="36"/>
    </row>
    <row r="33" spans="1:16" x14ac:dyDescent="0.25">
      <c r="A33" s="8">
        <v>27</v>
      </c>
      <c r="B33" s="30"/>
      <c r="C33" s="37" t="s">
        <v>116</v>
      </c>
      <c r="D33" s="38"/>
      <c r="E33" s="39"/>
      <c r="F33" s="40"/>
      <c r="G33" s="41"/>
      <c r="H33" s="40"/>
      <c r="I33" s="41"/>
      <c r="J33" s="40"/>
      <c r="K33" s="41"/>
      <c r="L33" s="42"/>
      <c r="M33" s="41">
        <v>3332.4300000000003</v>
      </c>
      <c r="N33" s="42"/>
      <c r="O33" s="41">
        <v>3355.92</v>
      </c>
      <c r="P33" s="43">
        <v>7.0489102546789518E-3</v>
      </c>
    </row>
    <row r="34" spans="1:16" x14ac:dyDescent="0.25">
      <c r="A34" s="8">
        <v>28</v>
      </c>
      <c r="B34" s="8" t="s">
        <v>62</v>
      </c>
      <c r="C34" s="31" t="s">
        <v>56</v>
      </c>
      <c r="D34" s="32">
        <v>0</v>
      </c>
      <c r="E34" s="33">
        <v>2000</v>
      </c>
      <c r="F34" s="34">
        <v>0</v>
      </c>
      <c r="G34" s="3">
        <v>500</v>
      </c>
      <c r="H34" s="3">
        <v>1492.26</v>
      </c>
      <c r="I34" s="3">
        <v>-992.26</v>
      </c>
      <c r="J34" s="3">
        <v>847.08623028939974</v>
      </c>
      <c r="K34" s="3">
        <v>-347.08623028939974</v>
      </c>
      <c r="L34" s="35">
        <v>0.8801199999999999</v>
      </c>
      <c r="M34" s="3"/>
      <c r="N34" s="35">
        <v>0.88508999999999982</v>
      </c>
      <c r="O34" s="3"/>
      <c r="P34" s="36"/>
    </row>
    <row r="35" spans="1:16" x14ac:dyDescent="0.25">
      <c r="A35" s="8">
        <v>29</v>
      </c>
      <c r="B35" s="8"/>
      <c r="C35" s="31" t="s">
        <v>57</v>
      </c>
      <c r="D35" s="32">
        <v>0</v>
      </c>
      <c r="E35" s="33" t="s">
        <v>115</v>
      </c>
      <c r="F35" s="34"/>
      <c r="G35" s="3"/>
      <c r="H35" s="34"/>
      <c r="I35" s="3"/>
      <c r="J35" s="34"/>
      <c r="K35" s="3"/>
      <c r="L35" s="35">
        <v>0.83470000000000011</v>
      </c>
      <c r="M35" s="3"/>
      <c r="N35" s="35">
        <v>0.83908000000000005</v>
      </c>
      <c r="O35" s="3"/>
      <c r="P35" s="36"/>
    </row>
    <row r="36" spans="1:16" x14ac:dyDescent="0.25">
      <c r="A36" s="8">
        <v>30</v>
      </c>
      <c r="B36" s="30"/>
      <c r="C36" s="37" t="s">
        <v>116</v>
      </c>
      <c r="D36" s="38"/>
      <c r="E36" s="39"/>
      <c r="F36" s="40"/>
      <c r="G36" s="41"/>
      <c r="H36" s="40"/>
      <c r="I36" s="41"/>
      <c r="J36" s="40"/>
      <c r="K36" s="41"/>
      <c r="L36" s="42"/>
      <c r="M36" s="41">
        <v>-992.26</v>
      </c>
      <c r="N36" s="42"/>
      <c r="O36" s="41">
        <v>-992.26</v>
      </c>
      <c r="P36" s="43">
        <v>0</v>
      </c>
    </row>
    <row r="37" spans="1:16" x14ac:dyDescent="0.25">
      <c r="A37" s="8">
        <v>31</v>
      </c>
      <c r="B37" s="8" t="s">
        <v>63</v>
      </c>
      <c r="C37" s="31" t="s">
        <v>56</v>
      </c>
      <c r="D37" s="32">
        <v>665308.1</v>
      </c>
      <c r="E37" s="32">
        <v>10000</v>
      </c>
      <c r="F37" s="34">
        <v>20815</v>
      </c>
      <c r="G37" s="3">
        <v>1300</v>
      </c>
      <c r="H37" s="3">
        <v>10512.74</v>
      </c>
      <c r="I37" s="3">
        <v>-9212.74</v>
      </c>
      <c r="J37" s="3">
        <v>6994.999416882888</v>
      </c>
      <c r="K37" s="3">
        <v>-5694.999416882888</v>
      </c>
      <c r="L37" s="35">
        <v>1.0500399999999999</v>
      </c>
      <c r="M37" s="3"/>
      <c r="N37" s="35">
        <v>1.0527899999999999</v>
      </c>
      <c r="O37" s="3"/>
      <c r="P37" s="36"/>
    </row>
    <row r="38" spans="1:16" x14ac:dyDescent="0.25">
      <c r="A38" s="8">
        <v>32</v>
      </c>
      <c r="B38" s="8"/>
      <c r="C38" s="31" t="s">
        <v>57</v>
      </c>
      <c r="D38" s="32">
        <v>902132.1</v>
      </c>
      <c r="E38" s="32">
        <v>20000</v>
      </c>
      <c r="F38" s="34"/>
      <c r="G38" s="3"/>
      <c r="H38" s="34"/>
      <c r="I38" s="3"/>
      <c r="J38" s="34"/>
      <c r="K38" s="3"/>
      <c r="L38" s="35">
        <v>1.0243299999999995</v>
      </c>
      <c r="M38" s="3"/>
      <c r="N38" s="35">
        <v>1.0267999999999995</v>
      </c>
      <c r="O38" s="3"/>
      <c r="P38" s="36"/>
    </row>
    <row r="39" spans="1:16" x14ac:dyDescent="0.25">
      <c r="A39" s="8">
        <v>33</v>
      </c>
      <c r="B39" s="8"/>
      <c r="C39" s="31" t="s">
        <v>64</v>
      </c>
      <c r="D39" s="32">
        <v>353350.5</v>
      </c>
      <c r="E39" s="32">
        <v>20000</v>
      </c>
      <c r="F39" s="34"/>
      <c r="G39" s="3"/>
      <c r="H39" s="34"/>
      <c r="I39" s="3"/>
      <c r="J39" s="34"/>
      <c r="K39" s="3"/>
      <c r="L39" s="35">
        <v>0.97326999999999986</v>
      </c>
      <c r="M39" s="3"/>
      <c r="N39" s="35">
        <v>0.97515999999999992</v>
      </c>
      <c r="O39" s="3"/>
      <c r="P39" s="36"/>
    </row>
    <row r="40" spans="1:16" x14ac:dyDescent="0.25">
      <c r="A40" s="8">
        <v>34</v>
      </c>
      <c r="B40" s="8"/>
      <c r="C40" s="31" t="s">
        <v>65</v>
      </c>
      <c r="D40" s="32">
        <v>77473</v>
      </c>
      <c r="E40" s="32">
        <v>100000</v>
      </c>
      <c r="F40" s="34"/>
      <c r="G40" s="3"/>
      <c r="H40" s="34"/>
      <c r="I40" s="3"/>
      <c r="J40" s="34"/>
      <c r="K40" s="3"/>
      <c r="L40" s="35">
        <v>0.93963000000000019</v>
      </c>
      <c r="M40" s="3"/>
      <c r="N40" s="35">
        <v>0.9411400000000002</v>
      </c>
      <c r="O40" s="3"/>
      <c r="P40" s="36"/>
    </row>
    <row r="41" spans="1:16" x14ac:dyDescent="0.25">
      <c r="A41" s="8">
        <v>35</v>
      </c>
      <c r="B41" s="8"/>
      <c r="C41" s="31" t="s">
        <v>66</v>
      </c>
      <c r="D41" s="32">
        <v>0</v>
      </c>
      <c r="E41" s="32">
        <v>600000</v>
      </c>
      <c r="F41" s="34"/>
      <c r="G41" s="3"/>
      <c r="H41" s="34"/>
      <c r="I41" s="3"/>
      <c r="J41" s="34"/>
      <c r="K41" s="3"/>
      <c r="L41" s="35">
        <v>0.89478999999999997</v>
      </c>
      <c r="M41" s="3"/>
      <c r="N41" s="35">
        <v>0.89579999999999993</v>
      </c>
      <c r="O41" s="3"/>
      <c r="P41" s="36"/>
    </row>
    <row r="42" spans="1:16" x14ac:dyDescent="0.25">
      <c r="A42" s="8">
        <v>36</v>
      </c>
      <c r="B42" s="8"/>
      <c r="C42" s="31" t="s">
        <v>67</v>
      </c>
      <c r="D42" s="32">
        <v>0</v>
      </c>
      <c r="E42" s="33" t="s">
        <v>115</v>
      </c>
      <c r="F42" s="34"/>
      <c r="G42" s="3"/>
      <c r="H42" s="34"/>
      <c r="I42" s="3"/>
      <c r="J42" s="34"/>
      <c r="K42" s="3"/>
      <c r="L42" s="35">
        <v>0.83874000000000004</v>
      </c>
      <c r="M42" s="3"/>
      <c r="N42" s="35">
        <v>0.83912000000000009</v>
      </c>
      <c r="O42" s="3"/>
      <c r="P42" s="36"/>
    </row>
    <row r="43" spans="1:16" x14ac:dyDescent="0.25">
      <c r="A43" s="8">
        <v>37</v>
      </c>
      <c r="B43" s="30"/>
      <c r="C43" s="37" t="s">
        <v>116</v>
      </c>
      <c r="D43" s="38"/>
      <c r="E43" s="39"/>
      <c r="F43" s="40"/>
      <c r="G43" s="41"/>
      <c r="H43" s="40"/>
      <c r="I43" s="41"/>
      <c r="J43" s="40"/>
      <c r="K43" s="41"/>
      <c r="L43" s="42"/>
      <c r="M43" s="41">
        <v>12365.789999999999</v>
      </c>
      <c r="N43" s="42"/>
      <c r="O43" s="41">
        <v>12420.000000000002</v>
      </c>
      <c r="P43" s="43">
        <v>4.3838687216912762E-3</v>
      </c>
    </row>
    <row r="44" spans="1:16" x14ac:dyDescent="0.25">
      <c r="A44" s="8">
        <v>38</v>
      </c>
      <c r="B44" s="8" t="s">
        <v>68</v>
      </c>
      <c r="C44" s="31" t="s">
        <v>56</v>
      </c>
      <c r="D44" s="32">
        <v>966969.70958011807</v>
      </c>
      <c r="E44" s="32">
        <v>10000</v>
      </c>
      <c r="F44" s="34">
        <v>13556</v>
      </c>
      <c r="G44" s="3">
        <v>1300</v>
      </c>
      <c r="H44" s="3">
        <v>13852.77</v>
      </c>
      <c r="I44" s="3">
        <v>-12552.77</v>
      </c>
      <c r="J44" s="3">
        <v>5367.4070300787916</v>
      </c>
      <c r="K44" s="3">
        <v>-4067.4070300787916</v>
      </c>
      <c r="L44" s="35">
        <v>0.98466000000000009</v>
      </c>
      <c r="M44" s="3"/>
      <c r="N44" s="35">
        <v>0.9882200000000001</v>
      </c>
      <c r="O44" s="3"/>
      <c r="P44" s="36"/>
    </row>
    <row r="45" spans="1:16" x14ac:dyDescent="0.25">
      <c r="A45" s="8">
        <v>39</v>
      </c>
      <c r="B45" s="8"/>
      <c r="C45" s="31" t="s">
        <v>57</v>
      </c>
      <c r="D45" s="32">
        <v>708322.68902869173</v>
      </c>
      <c r="E45" s="32">
        <v>20000</v>
      </c>
      <c r="F45" s="34"/>
      <c r="G45" s="3"/>
      <c r="H45" s="34"/>
      <c r="I45" s="3"/>
      <c r="J45" s="34"/>
      <c r="K45" s="3"/>
      <c r="L45" s="35">
        <v>0.96592999999999996</v>
      </c>
      <c r="M45" s="3"/>
      <c r="N45" s="35">
        <v>0.96910999999999992</v>
      </c>
      <c r="O45" s="3"/>
      <c r="P45" s="36"/>
    </row>
    <row r="46" spans="1:16" x14ac:dyDescent="0.25">
      <c r="A46" s="8">
        <v>40</v>
      </c>
      <c r="B46" s="8"/>
      <c r="C46" s="31" t="s">
        <v>64</v>
      </c>
      <c r="D46" s="32">
        <v>102041.94634409399</v>
      </c>
      <c r="E46" s="32">
        <v>20000</v>
      </c>
      <c r="F46" s="34"/>
      <c r="G46" s="3"/>
      <c r="H46" s="34"/>
      <c r="I46" s="3"/>
      <c r="J46" s="34"/>
      <c r="K46" s="3"/>
      <c r="L46" s="35">
        <v>0.92866999999999966</v>
      </c>
      <c r="M46" s="3"/>
      <c r="N46" s="35">
        <v>0.93109999999999971</v>
      </c>
      <c r="O46" s="3"/>
      <c r="P46" s="36"/>
    </row>
    <row r="47" spans="1:16" x14ac:dyDescent="0.25">
      <c r="A47" s="8">
        <v>41</v>
      </c>
      <c r="B47" s="8"/>
      <c r="C47" s="31" t="s">
        <v>65</v>
      </c>
      <c r="D47" s="32">
        <v>12114.809437096237</v>
      </c>
      <c r="E47" s="32">
        <v>100000</v>
      </c>
      <c r="F47" s="34"/>
      <c r="G47" s="3"/>
      <c r="H47" s="34"/>
      <c r="I47" s="3"/>
      <c r="J47" s="34"/>
      <c r="K47" s="3"/>
      <c r="L47" s="35">
        <v>0.90415000000000012</v>
      </c>
      <c r="M47" s="3"/>
      <c r="N47" s="35">
        <v>0.90610000000000013</v>
      </c>
      <c r="O47" s="3"/>
      <c r="P47" s="36"/>
    </row>
    <row r="48" spans="1:16" x14ac:dyDescent="0.25">
      <c r="A48" s="8">
        <v>42</v>
      </c>
      <c r="B48" s="8"/>
      <c r="C48" s="31" t="s">
        <v>66</v>
      </c>
      <c r="D48" s="32">
        <v>0</v>
      </c>
      <c r="E48" s="32">
        <v>600000</v>
      </c>
      <c r="F48" s="34"/>
      <c r="G48" s="3"/>
      <c r="H48" s="34"/>
      <c r="I48" s="3"/>
      <c r="J48" s="34"/>
      <c r="K48" s="3"/>
      <c r="L48" s="35">
        <v>0.87148000000000037</v>
      </c>
      <c r="M48" s="3"/>
      <c r="N48" s="35">
        <v>0.8727900000000004</v>
      </c>
      <c r="O48" s="3"/>
      <c r="P48" s="36"/>
    </row>
    <row r="49" spans="1:16" x14ac:dyDescent="0.25">
      <c r="A49" s="8">
        <v>43</v>
      </c>
      <c r="B49" s="8"/>
      <c r="C49" s="31" t="s">
        <v>67</v>
      </c>
      <c r="D49" s="32">
        <v>0</v>
      </c>
      <c r="E49" s="33" t="s">
        <v>115</v>
      </c>
      <c r="F49" s="34"/>
      <c r="G49" s="3"/>
      <c r="H49" s="34"/>
      <c r="I49" s="3"/>
      <c r="J49" s="34"/>
      <c r="K49" s="3"/>
      <c r="L49" s="35">
        <v>0.83058999999999994</v>
      </c>
      <c r="M49" s="3"/>
      <c r="N49" s="35">
        <v>0.83108000000000004</v>
      </c>
      <c r="O49" s="3"/>
      <c r="P49" s="36"/>
    </row>
    <row r="50" spans="1:16" x14ac:dyDescent="0.25">
      <c r="A50" s="8">
        <v>44</v>
      </c>
      <c r="B50" s="30"/>
      <c r="C50" s="37" t="s">
        <v>116</v>
      </c>
      <c r="D50" s="38"/>
      <c r="E50" s="39"/>
      <c r="F50" s="40"/>
      <c r="G50" s="41"/>
      <c r="H50" s="40"/>
      <c r="I50" s="41"/>
      <c r="J50" s="40"/>
      <c r="K50" s="41"/>
      <c r="L50" s="42"/>
      <c r="M50" s="41">
        <v>728.68000000000029</v>
      </c>
      <c r="N50" s="42"/>
      <c r="O50" s="41">
        <v>775.59000000000015</v>
      </c>
      <c r="P50" s="43">
        <v>6.4376681122028642E-2</v>
      </c>
    </row>
    <row r="51" spans="1:16" x14ac:dyDescent="0.25">
      <c r="A51" s="8">
        <v>45</v>
      </c>
      <c r="B51" s="8" t="s">
        <v>69</v>
      </c>
      <c r="C51" s="31" t="s">
        <v>56</v>
      </c>
      <c r="D51" s="32">
        <v>251607.57233862346</v>
      </c>
      <c r="E51" s="32">
        <v>10000</v>
      </c>
      <c r="F51" s="34">
        <v>166388</v>
      </c>
      <c r="G51" s="3">
        <v>1550</v>
      </c>
      <c r="H51" s="3">
        <v>10512.74</v>
      </c>
      <c r="I51" s="3">
        <v>-8962.74</v>
      </c>
      <c r="J51" s="3">
        <v>6994.999416882888</v>
      </c>
      <c r="K51" s="3">
        <v>-5444.999416882888</v>
      </c>
      <c r="L51" s="35">
        <v>0.65835999999999995</v>
      </c>
      <c r="M51" s="3"/>
      <c r="N51" s="35">
        <v>0.65984999999999994</v>
      </c>
      <c r="O51" s="3"/>
      <c r="P51" s="36"/>
    </row>
    <row r="52" spans="1:16" x14ac:dyDescent="0.25">
      <c r="A52" s="8">
        <v>46</v>
      </c>
      <c r="B52" s="8"/>
      <c r="C52" s="31" t="s">
        <v>57</v>
      </c>
      <c r="D52" s="32">
        <v>503215.14467724692</v>
      </c>
      <c r="E52" s="32">
        <v>20000</v>
      </c>
      <c r="F52" s="34"/>
      <c r="G52" s="3"/>
      <c r="H52" s="34"/>
      <c r="I52" s="3"/>
      <c r="J52" s="34"/>
      <c r="K52" s="3"/>
      <c r="L52" s="35">
        <v>0.64160000000000006</v>
      </c>
      <c r="M52" s="3"/>
      <c r="N52" s="35">
        <v>0.64293</v>
      </c>
      <c r="O52" s="3"/>
      <c r="P52" s="36"/>
    </row>
    <row r="53" spans="1:16" x14ac:dyDescent="0.25">
      <c r="A53" s="8">
        <v>47</v>
      </c>
      <c r="B53" s="8"/>
      <c r="C53" s="31" t="s">
        <v>64</v>
      </c>
      <c r="D53" s="32">
        <v>503215.14467724692</v>
      </c>
      <c r="E53" s="32">
        <v>20000</v>
      </c>
      <c r="F53" s="34"/>
      <c r="G53" s="3"/>
      <c r="H53" s="34"/>
      <c r="I53" s="3"/>
      <c r="J53" s="34"/>
      <c r="K53" s="3"/>
      <c r="L53" s="35">
        <v>0.60819999999999996</v>
      </c>
      <c r="M53" s="3"/>
      <c r="N53" s="35">
        <v>0.60921999999999998</v>
      </c>
      <c r="O53" s="3"/>
      <c r="P53" s="36"/>
    </row>
    <row r="54" spans="1:16" x14ac:dyDescent="0.25">
      <c r="A54" s="8">
        <v>48</v>
      </c>
      <c r="B54" s="8"/>
      <c r="C54" s="31" t="s">
        <v>65</v>
      </c>
      <c r="D54" s="32">
        <v>738617.86510688229</v>
      </c>
      <c r="E54" s="32">
        <v>100000</v>
      </c>
      <c r="F54" s="34"/>
      <c r="G54" s="3"/>
      <c r="H54" s="34"/>
      <c r="I54" s="3"/>
      <c r="J54" s="34"/>
      <c r="K54" s="3"/>
      <c r="L54" s="35">
        <v>0.58625000000000005</v>
      </c>
      <c r="M54" s="3"/>
      <c r="N54" s="35">
        <v>0.58707000000000009</v>
      </c>
      <c r="O54" s="3"/>
      <c r="P54" s="36"/>
    </row>
    <row r="55" spans="1:16" x14ac:dyDescent="0.25">
      <c r="A55" s="8">
        <v>49</v>
      </c>
      <c r="B55" s="8"/>
      <c r="C55" s="31" t="s">
        <v>66</v>
      </c>
      <c r="D55" s="32">
        <v>0</v>
      </c>
      <c r="E55" s="32">
        <v>600000</v>
      </c>
      <c r="F55" s="34"/>
      <c r="G55" s="3"/>
      <c r="H55" s="34"/>
      <c r="I55" s="3"/>
      <c r="J55" s="34"/>
      <c r="K55" s="3"/>
      <c r="L55" s="35">
        <v>0.55695000000000006</v>
      </c>
      <c r="M55" s="3"/>
      <c r="N55" s="35">
        <v>0.55750000000000011</v>
      </c>
      <c r="O55" s="3"/>
      <c r="P55" s="36"/>
    </row>
    <row r="56" spans="1:16" x14ac:dyDescent="0.25">
      <c r="A56" s="8">
        <v>50</v>
      </c>
      <c r="B56" s="8"/>
      <c r="C56" s="31" t="s">
        <v>67</v>
      </c>
      <c r="D56" s="32">
        <v>0</v>
      </c>
      <c r="E56" s="33" t="s">
        <v>115</v>
      </c>
      <c r="F56" s="34"/>
      <c r="G56" s="3"/>
      <c r="H56" s="34"/>
      <c r="I56" s="3"/>
      <c r="J56" s="34"/>
      <c r="K56" s="3"/>
      <c r="L56" s="35">
        <v>0.52036000000000004</v>
      </c>
      <c r="M56" s="3"/>
      <c r="N56" s="35">
        <v>0.52056000000000013</v>
      </c>
      <c r="O56" s="3"/>
      <c r="P56" s="36"/>
    </row>
    <row r="57" spans="1:16" x14ac:dyDescent="0.25">
      <c r="A57" s="8">
        <v>51</v>
      </c>
      <c r="B57" s="30"/>
      <c r="C57" s="37" t="s">
        <v>116</v>
      </c>
      <c r="D57" s="38"/>
      <c r="E57" s="39"/>
      <c r="F57" s="40"/>
      <c r="G57" s="41"/>
      <c r="H57" s="40"/>
      <c r="I57" s="41"/>
      <c r="J57" s="40"/>
      <c r="K57" s="41"/>
      <c r="L57" s="42"/>
      <c r="M57" s="41">
        <v>90369.159999999989</v>
      </c>
      <c r="N57" s="42"/>
      <c r="O57" s="41">
        <v>90522.069999999992</v>
      </c>
      <c r="P57" s="43">
        <v>1.6920595477484079E-3</v>
      </c>
    </row>
    <row r="58" spans="1:16" x14ac:dyDescent="0.25">
      <c r="A58" s="8">
        <v>52</v>
      </c>
      <c r="B58" s="8" t="s">
        <v>70</v>
      </c>
      <c r="C58" s="31" t="s">
        <v>56</v>
      </c>
      <c r="D58" s="32">
        <v>1054569.7185296705</v>
      </c>
      <c r="E58" s="32">
        <v>10000</v>
      </c>
      <c r="F58" s="34">
        <v>86701</v>
      </c>
      <c r="G58" s="3">
        <v>1550</v>
      </c>
      <c r="H58" s="3">
        <v>13852.77</v>
      </c>
      <c r="I58" s="3">
        <v>-12302.77</v>
      </c>
      <c r="J58" s="3">
        <v>5367.4070300787916</v>
      </c>
      <c r="K58" s="3">
        <v>-3817.4070300787916</v>
      </c>
      <c r="L58" s="35">
        <v>0.65571000000000002</v>
      </c>
      <c r="M58" s="3"/>
      <c r="N58" s="35">
        <v>0.65749000000000002</v>
      </c>
      <c r="O58" s="3"/>
      <c r="P58" s="36"/>
    </row>
    <row r="59" spans="1:16" x14ac:dyDescent="0.25">
      <c r="A59" s="8">
        <v>53</v>
      </c>
      <c r="B59" s="8"/>
      <c r="C59" s="31" t="s">
        <v>57</v>
      </c>
      <c r="D59" s="32">
        <v>1523772.4326932665</v>
      </c>
      <c r="E59" s="32">
        <v>20000</v>
      </c>
      <c r="F59" s="34"/>
      <c r="G59" s="3"/>
      <c r="H59" s="34"/>
      <c r="I59" s="3"/>
      <c r="J59" s="34"/>
      <c r="K59" s="3"/>
      <c r="L59" s="35">
        <v>0.63919999999999988</v>
      </c>
      <c r="M59" s="3"/>
      <c r="N59" s="35">
        <v>0.64079999999999981</v>
      </c>
      <c r="O59" s="3"/>
      <c r="P59" s="36"/>
    </row>
    <row r="60" spans="1:16" x14ac:dyDescent="0.25">
      <c r="A60" s="8">
        <v>54</v>
      </c>
      <c r="B60" s="8"/>
      <c r="C60" s="31" t="s">
        <v>64</v>
      </c>
      <c r="D60" s="32">
        <v>1376179.3474656048</v>
      </c>
      <c r="E60" s="32">
        <v>20000</v>
      </c>
      <c r="F60" s="34"/>
      <c r="G60" s="3"/>
      <c r="H60" s="34"/>
      <c r="I60" s="3"/>
      <c r="J60" s="34"/>
      <c r="K60" s="3"/>
      <c r="L60" s="35">
        <v>0.60635000000000006</v>
      </c>
      <c r="M60" s="3"/>
      <c r="N60" s="35">
        <v>0.60758000000000001</v>
      </c>
      <c r="O60" s="3"/>
      <c r="P60" s="36"/>
    </row>
    <row r="61" spans="1:16" x14ac:dyDescent="0.25">
      <c r="A61" s="8">
        <v>55</v>
      </c>
      <c r="B61" s="8"/>
      <c r="C61" s="31" t="s">
        <v>65</v>
      </c>
      <c r="D61" s="32">
        <v>3236160.5307624359</v>
      </c>
      <c r="E61" s="32">
        <v>100000</v>
      </c>
      <c r="F61" s="34"/>
      <c r="G61" s="3"/>
      <c r="H61" s="34"/>
      <c r="I61" s="3"/>
      <c r="J61" s="34"/>
      <c r="K61" s="3"/>
      <c r="L61" s="35">
        <v>0.58477000000000012</v>
      </c>
      <c r="M61" s="3"/>
      <c r="N61" s="35">
        <v>0.5857500000000001</v>
      </c>
      <c r="O61" s="3"/>
      <c r="P61" s="36"/>
    </row>
    <row r="62" spans="1:16" x14ac:dyDescent="0.25">
      <c r="A62" s="8">
        <v>56</v>
      </c>
      <c r="B62" s="8"/>
      <c r="C62" s="31" t="s">
        <v>66</v>
      </c>
      <c r="D62" s="32">
        <v>1132590.7705490233</v>
      </c>
      <c r="E62" s="32">
        <v>600000</v>
      </c>
      <c r="F62" s="34"/>
      <c r="G62" s="3"/>
      <c r="H62" s="34"/>
      <c r="I62" s="3"/>
      <c r="J62" s="34"/>
      <c r="K62" s="3"/>
      <c r="L62" s="35">
        <v>0.55596000000000001</v>
      </c>
      <c r="M62" s="3"/>
      <c r="N62" s="35">
        <v>0.55662</v>
      </c>
      <c r="O62" s="3"/>
      <c r="P62" s="36"/>
    </row>
    <row r="63" spans="1:16" x14ac:dyDescent="0.25">
      <c r="A63" s="8">
        <v>57</v>
      </c>
      <c r="B63" s="8"/>
      <c r="C63" s="31" t="s">
        <v>67</v>
      </c>
      <c r="D63" s="32">
        <v>0</v>
      </c>
      <c r="E63" s="33" t="s">
        <v>115</v>
      </c>
      <c r="F63" s="34"/>
      <c r="G63" s="3"/>
      <c r="H63" s="34"/>
      <c r="I63" s="3"/>
      <c r="J63" s="34"/>
      <c r="K63" s="3"/>
      <c r="L63" s="35">
        <v>0.51997000000000004</v>
      </c>
      <c r="M63" s="3"/>
      <c r="N63" s="35">
        <v>0.52022000000000013</v>
      </c>
      <c r="O63" s="3"/>
      <c r="P63" s="36"/>
    </row>
    <row r="64" spans="1:16" x14ac:dyDescent="0.25">
      <c r="A64" s="8">
        <v>58</v>
      </c>
      <c r="B64" s="30"/>
      <c r="C64" s="37" t="s">
        <v>116</v>
      </c>
      <c r="D64" s="38"/>
      <c r="E64" s="39"/>
      <c r="F64" s="40"/>
      <c r="G64" s="41"/>
      <c r="H64" s="40"/>
      <c r="I64" s="41"/>
      <c r="J64" s="40"/>
      <c r="K64" s="41"/>
      <c r="L64" s="42"/>
      <c r="M64" s="41">
        <v>40626.97</v>
      </c>
      <c r="N64" s="42"/>
      <c r="O64" s="41">
        <v>40737.339999999997</v>
      </c>
      <c r="P64" s="43">
        <v>2.716668262486603E-3</v>
      </c>
    </row>
    <row r="65" spans="1:16" x14ac:dyDescent="0.25">
      <c r="A65" s="8">
        <v>59</v>
      </c>
      <c r="B65" s="8" t="s">
        <v>71</v>
      </c>
      <c r="C65" s="31" t="s">
        <v>56</v>
      </c>
      <c r="D65" s="32">
        <v>256616.18146824426</v>
      </c>
      <c r="E65" s="32">
        <v>10000</v>
      </c>
      <c r="F65" s="34">
        <v>41596</v>
      </c>
      <c r="G65" s="3">
        <v>1300</v>
      </c>
      <c r="H65" s="3">
        <v>10512.74</v>
      </c>
      <c r="I65" s="3">
        <v>-9212.74</v>
      </c>
      <c r="J65" s="3">
        <v>6994.999416882888</v>
      </c>
      <c r="K65" s="3">
        <v>-5694.999416882888</v>
      </c>
      <c r="L65" s="35">
        <v>0.9657</v>
      </c>
      <c r="M65" s="3"/>
      <c r="N65" s="35">
        <v>0.96785999999999994</v>
      </c>
      <c r="O65" s="3"/>
      <c r="P65" s="36"/>
    </row>
    <row r="66" spans="1:16" x14ac:dyDescent="0.25">
      <c r="A66" s="8">
        <v>60</v>
      </c>
      <c r="B66" s="8"/>
      <c r="C66" s="31" t="s">
        <v>57</v>
      </c>
      <c r="D66" s="32">
        <v>488107.50030256849</v>
      </c>
      <c r="E66" s="32">
        <v>20000</v>
      </c>
      <c r="F66" s="44"/>
      <c r="G66" s="45"/>
      <c r="H66" s="44"/>
      <c r="I66" s="45"/>
      <c r="J66" s="44"/>
      <c r="K66" s="45"/>
      <c r="L66" s="35">
        <v>0.94502999999999959</v>
      </c>
      <c r="M66" s="3"/>
      <c r="N66" s="35">
        <v>0.94695999999999958</v>
      </c>
      <c r="O66" s="3"/>
      <c r="P66" s="36"/>
    </row>
    <row r="67" spans="1:16" x14ac:dyDescent="0.25">
      <c r="A67" s="8">
        <v>61</v>
      </c>
      <c r="B67" s="8"/>
      <c r="C67" s="31" t="s">
        <v>64</v>
      </c>
      <c r="D67" s="32">
        <v>219844.15189793429</v>
      </c>
      <c r="E67" s="32">
        <v>20000</v>
      </c>
      <c r="F67" s="44"/>
      <c r="G67" s="45"/>
      <c r="H67" s="44"/>
      <c r="I67" s="45"/>
      <c r="J67" s="44"/>
      <c r="K67" s="45"/>
      <c r="L67" s="35">
        <v>0.90383000000000013</v>
      </c>
      <c r="M67" s="3"/>
      <c r="N67" s="35">
        <v>0.90531000000000017</v>
      </c>
      <c r="O67" s="3"/>
      <c r="P67" s="36"/>
    </row>
    <row r="68" spans="1:16" x14ac:dyDescent="0.25">
      <c r="A68" s="8">
        <v>62</v>
      </c>
      <c r="B68" s="8"/>
      <c r="C68" s="31" t="s">
        <v>65</v>
      </c>
      <c r="D68" s="32">
        <v>33747.166331253015</v>
      </c>
      <c r="E68" s="32">
        <v>100000</v>
      </c>
      <c r="F68" s="44"/>
      <c r="G68" s="45"/>
      <c r="H68" s="44"/>
      <c r="I68" s="45"/>
      <c r="J68" s="44"/>
      <c r="K68" s="45"/>
      <c r="L68" s="35">
        <v>0.87674999999999992</v>
      </c>
      <c r="M68" s="3"/>
      <c r="N68" s="35">
        <v>0.87793999999999994</v>
      </c>
      <c r="O68" s="3"/>
      <c r="P68" s="36"/>
    </row>
    <row r="69" spans="1:16" x14ac:dyDescent="0.25">
      <c r="A69" s="8">
        <v>63</v>
      </c>
      <c r="B69" s="8"/>
      <c r="C69" s="31" t="s">
        <v>66</v>
      </c>
      <c r="D69" s="32">
        <v>0</v>
      </c>
      <c r="E69" s="32">
        <v>600000</v>
      </c>
      <c r="F69" s="44"/>
      <c r="G69" s="45"/>
      <c r="H69" s="44"/>
      <c r="I69" s="45"/>
      <c r="J69" s="44"/>
      <c r="K69" s="45"/>
      <c r="L69" s="35">
        <v>0.84066999999999981</v>
      </c>
      <c r="M69" s="3"/>
      <c r="N69" s="35">
        <v>0.84145999999999976</v>
      </c>
      <c r="O69" s="3"/>
      <c r="P69" s="36"/>
    </row>
    <row r="70" spans="1:16" x14ac:dyDescent="0.25">
      <c r="A70" s="8">
        <v>64</v>
      </c>
      <c r="B70" s="8"/>
      <c r="C70" s="31" t="s">
        <v>67</v>
      </c>
      <c r="D70" s="32">
        <v>0</v>
      </c>
      <c r="E70" s="33" t="s">
        <v>115</v>
      </c>
      <c r="F70" s="44"/>
      <c r="G70" s="45"/>
      <c r="H70" s="44"/>
      <c r="I70" s="45"/>
      <c r="J70" s="44"/>
      <c r="K70" s="45"/>
      <c r="L70" s="35">
        <v>0.79549999999999998</v>
      </c>
      <c r="M70" s="3"/>
      <c r="N70" s="35">
        <v>0.79579</v>
      </c>
      <c r="O70" s="3"/>
      <c r="P70" s="36"/>
    </row>
    <row r="71" spans="1:16" x14ac:dyDescent="0.25">
      <c r="A71" s="8">
        <v>65</v>
      </c>
      <c r="B71" s="30"/>
      <c r="C71" s="37" t="s">
        <v>116</v>
      </c>
      <c r="D71" s="38"/>
      <c r="E71" s="39"/>
      <c r="F71" s="40"/>
      <c r="G71" s="41"/>
      <c r="H71" s="40"/>
      <c r="I71" s="41"/>
      <c r="J71" s="40"/>
      <c r="K71" s="41"/>
      <c r="L71" s="42"/>
      <c r="M71" s="41">
        <v>29825.670000000006</v>
      </c>
      <c r="N71" s="42"/>
      <c r="O71" s="41">
        <v>29903.03</v>
      </c>
      <c r="P71" s="43">
        <v>2.5937388833174005E-3</v>
      </c>
    </row>
    <row r="72" spans="1:16" x14ac:dyDescent="0.25">
      <c r="A72" s="8">
        <v>66</v>
      </c>
      <c r="B72" s="8" t="s">
        <v>72</v>
      </c>
      <c r="C72" s="31" t="s">
        <v>56</v>
      </c>
      <c r="D72" s="32">
        <v>124246.17218057367</v>
      </c>
      <c r="E72" s="32">
        <v>10000</v>
      </c>
      <c r="F72" s="34">
        <v>16942</v>
      </c>
      <c r="G72" s="3">
        <v>1300</v>
      </c>
      <c r="H72" s="3">
        <v>13852.77</v>
      </c>
      <c r="I72" s="3">
        <v>-12552.77</v>
      </c>
      <c r="J72" s="3">
        <v>5367.4070300787916</v>
      </c>
      <c r="K72" s="3">
        <v>-4067.4070300787916</v>
      </c>
      <c r="L72" s="35">
        <v>0.94437999999999989</v>
      </c>
      <c r="M72" s="3"/>
      <c r="N72" s="35">
        <v>0.94716999999999985</v>
      </c>
      <c r="O72" s="3"/>
      <c r="P72" s="36"/>
    </row>
    <row r="73" spans="1:16" x14ac:dyDescent="0.25">
      <c r="A73" s="8">
        <v>67</v>
      </c>
      <c r="B73" s="8"/>
      <c r="C73" s="31" t="s">
        <v>57</v>
      </c>
      <c r="D73" s="32">
        <v>79053.697819426336</v>
      </c>
      <c r="E73" s="32">
        <v>20000</v>
      </c>
      <c r="F73" s="34"/>
      <c r="G73" s="3"/>
      <c r="H73" s="34"/>
      <c r="I73" s="3"/>
      <c r="J73" s="34"/>
      <c r="K73" s="3"/>
      <c r="L73" s="35">
        <v>0.92602999999999991</v>
      </c>
      <c r="M73" s="3"/>
      <c r="N73" s="35">
        <v>0.9285199999999999</v>
      </c>
      <c r="O73" s="3"/>
      <c r="P73" s="36"/>
    </row>
    <row r="74" spans="1:16" x14ac:dyDescent="0.25">
      <c r="A74" s="8">
        <v>68</v>
      </c>
      <c r="B74" s="8"/>
      <c r="C74" s="31" t="s">
        <v>64</v>
      </c>
      <c r="D74" s="32">
        <v>0</v>
      </c>
      <c r="E74" s="32">
        <v>20000</v>
      </c>
      <c r="F74" s="34"/>
      <c r="G74" s="3"/>
      <c r="H74" s="34"/>
      <c r="I74" s="3"/>
      <c r="J74" s="34"/>
      <c r="K74" s="3"/>
      <c r="L74" s="35">
        <v>0.88950999999999991</v>
      </c>
      <c r="M74" s="3"/>
      <c r="N74" s="35">
        <v>0.89141999999999988</v>
      </c>
      <c r="O74" s="3"/>
      <c r="P74" s="36"/>
    </row>
    <row r="75" spans="1:16" x14ac:dyDescent="0.25">
      <c r="A75" s="8">
        <v>69</v>
      </c>
      <c r="B75" s="8"/>
      <c r="C75" s="31" t="s">
        <v>65</v>
      </c>
      <c r="D75" s="32">
        <v>0</v>
      </c>
      <c r="E75" s="32">
        <v>100000</v>
      </c>
      <c r="F75" s="34"/>
      <c r="G75" s="3"/>
      <c r="H75" s="34"/>
      <c r="I75" s="3"/>
      <c r="J75" s="34"/>
      <c r="K75" s="3"/>
      <c r="L75" s="35">
        <v>0.86547999999999969</v>
      </c>
      <c r="M75" s="3"/>
      <c r="N75" s="35">
        <v>0.86700999999999973</v>
      </c>
      <c r="O75" s="3"/>
      <c r="P75" s="36"/>
    </row>
    <row r="76" spans="1:16" x14ac:dyDescent="0.25">
      <c r="A76" s="8">
        <v>70</v>
      </c>
      <c r="B76" s="8"/>
      <c r="C76" s="31" t="s">
        <v>66</v>
      </c>
      <c r="D76" s="32">
        <v>0</v>
      </c>
      <c r="E76" s="32">
        <v>600000</v>
      </c>
      <c r="F76" s="34"/>
      <c r="G76" s="3"/>
      <c r="H76" s="34"/>
      <c r="I76" s="3"/>
      <c r="J76" s="34"/>
      <c r="K76" s="3"/>
      <c r="L76" s="35">
        <v>0.83341999999999994</v>
      </c>
      <c r="M76" s="3"/>
      <c r="N76" s="35">
        <v>0.83443999999999985</v>
      </c>
      <c r="O76" s="3"/>
      <c r="P76" s="36"/>
    </row>
    <row r="77" spans="1:16" x14ac:dyDescent="0.25">
      <c r="A77" s="8">
        <v>71</v>
      </c>
      <c r="B77" s="8"/>
      <c r="C77" s="31" t="s">
        <v>67</v>
      </c>
      <c r="D77" s="32">
        <v>0</v>
      </c>
      <c r="E77" s="33" t="s">
        <v>115</v>
      </c>
      <c r="F77" s="34"/>
      <c r="G77" s="3"/>
      <c r="H77" s="34"/>
      <c r="I77" s="3"/>
      <c r="J77" s="34"/>
      <c r="K77" s="3"/>
      <c r="L77" s="35">
        <v>0.79338999999999982</v>
      </c>
      <c r="M77" s="3"/>
      <c r="N77" s="35">
        <v>0.79376999999999986</v>
      </c>
      <c r="O77" s="3"/>
      <c r="P77" s="36"/>
    </row>
    <row r="78" spans="1:16" x14ac:dyDescent="0.25">
      <c r="A78" s="8">
        <v>72</v>
      </c>
      <c r="B78" s="30"/>
      <c r="C78" s="37" t="s">
        <v>116</v>
      </c>
      <c r="D78" s="38"/>
      <c r="E78" s="39"/>
      <c r="F78" s="40"/>
      <c r="G78" s="41"/>
      <c r="H78" s="40"/>
      <c r="I78" s="41"/>
      <c r="J78" s="40"/>
      <c r="K78" s="41"/>
      <c r="L78" s="42"/>
      <c r="M78" s="41">
        <v>3319.5299999999988</v>
      </c>
      <c r="N78" s="42"/>
      <c r="O78" s="41">
        <v>3364.7199999999993</v>
      </c>
      <c r="P78" s="43">
        <v>1.3613372977499986E-2</v>
      </c>
    </row>
    <row r="79" spans="1:16" x14ac:dyDescent="0.25">
      <c r="A79" s="8">
        <v>73</v>
      </c>
      <c r="B79" s="8" t="s">
        <v>73</v>
      </c>
      <c r="C79" s="31" t="s">
        <v>56</v>
      </c>
      <c r="D79" s="32">
        <v>0</v>
      </c>
      <c r="E79" s="32">
        <v>10000</v>
      </c>
      <c r="F79" s="34">
        <v>0</v>
      </c>
      <c r="G79" s="3">
        <v>1550</v>
      </c>
      <c r="H79" s="3">
        <v>10512.74</v>
      </c>
      <c r="I79" s="3">
        <v>-8962.74</v>
      </c>
      <c r="J79" s="3">
        <v>6994.999416882888</v>
      </c>
      <c r="K79" s="3">
        <v>-5444.999416882888</v>
      </c>
      <c r="L79" s="35">
        <v>0.64537999999999995</v>
      </c>
      <c r="M79" s="3"/>
      <c r="N79" s="35">
        <v>0.64728999999999992</v>
      </c>
      <c r="O79" s="3"/>
      <c r="P79" s="36"/>
    </row>
    <row r="80" spans="1:16" x14ac:dyDescent="0.25">
      <c r="A80" s="8">
        <v>74</v>
      </c>
      <c r="B80" s="8"/>
      <c r="C80" s="31" t="s">
        <v>57</v>
      </c>
      <c r="D80" s="32">
        <v>0</v>
      </c>
      <c r="E80" s="32">
        <v>20000</v>
      </c>
      <c r="F80" s="34"/>
      <c r="G80" s="3"/>
      <c r="H80" s="34"/>
      <c r="I80" s="3"/>
      <c r="J80" s="34"/>
      <c r="K80" s="3"/>
      <c r="L80" s="35">
        <v>0.62997999999999998</v>
      </c>
      <c r="M80" s="3"/>
      <c r="N80" s="35">
        <v>0.63168999999999997</v>
      </c>
      <c r="O80" s="3"/>
      <c r="P80" s="36"/>
    </row>
    <row r="81" spans="1:16" x14ac:dyDescent="0.25">
      <c r="A81" s="8">
        <v>75</v>
      </c>
      <c r="B81" s="8"/>
      <c r="C81" s="31" t="s">
        <v>64</v>
      </c>
      <c r="D81" s="32">
        <v>0</v>
      </c>
      <c r="E81" s="32">
        <v>20000</v>
      </c>
      <c r="F81" s="34"/>
      <c r="G81" s="3"/>
      <c r="H81" s="34"/>
      <c r="I81" s="3"/>
      <c r="J81" s="34"/>
      <c r="K81" s="3"/>
      <c r="L81" s="35">
        <v>0.59926999999999997</v>
      </c>
      <c r="M81" s="3"/>
      <c r="N81" s="35">
        <v>0.60058</v>
      </c>
      <c r="O81" s="3"/>
      <c r="P81" s="36"/>
    </row>
    <row r="82" spans="1:16" x14ac:dyDescent="0.25">
      <c r="A82" s="8">
        <v>76</v>
      </c>
      <c r="B82" s="8"/>
      <c r="C82" s="31" t="s">
        <v>65</v>
      </c>
      <c r="D82" s="32">
        <v>0</v>
      </c>
      <c r="E82" s="32">
        <v>100000</v>
      </c>
      <c r="F82" s="34"/>
      <c r="G82" s="3"/>
      <c r="H82" s="34"/>
      <c r="I82" s="3"/>
      <c r="J82" s="34"/>
      <c r="K82" s="3"/>
      <c r="L82" s="35">
        <v>0.57907999999999993</v>
      </c>
      <c r="M82" s="3"/>
      <c r="N82" s="35">
        <v>0.58012999999999992</v>
      </c>
      <c r="O82" s="3"/>
      <c r="P82" s="36"/>
    </row>
    <row r="83" spans="1:16" x14ac:dyDescent="0.25">
      <c r="A83" s="8">
        <v>77</v>
      </c>
      <c r="B83" s="8"/>
      <c r="C83" s="31" t="s">
        <v>66</v>
      </c>
      <c r="D83" s="32">
        <v>0</v>
      </c>
      <c r="E83" s="32">
        <v>600000</v>
      </c>
      <c r="F83" s="34"/>
      <c r="G83" s="3"/>
      <c r="H83" s="34"/>
      <c r="I83" s="3"/>
      <c r="J83" s="34"/>
      <c r="K83" s="3"/>
      <c r="L83" s="35">
        <v>0.55215999999999998</v>
      </c>
      <c r="M83" s="3"/>
      <c r="N83" s="35">
        <v>0.55286000000000002</v>
      </c>
      <c r="O83" s="3"/>
      <c r="P83" s="36"/>
    </row>
    <row r="84" spans="1:16" x14ac:dyDescent="0.25">
      <c r="A84" s="8">
        <v>78</v>
      </c>
      <c r="B84" s="8"/>
      <c r="C84" s="31" t="s">
        <v>67</v>
      </c>
      <c r="D84" s="32">
        <v>0</v>
      </c>
      <c r="E84" s="33" t="s">
        <v>115</v>
      </c>
      <c r="F84" s="34"/>
      <c r="G84" s="3"/>
      <c r="H84" s="34"/>
      <c r="I84" s="3"/>
      <c r="J84" s="34"/>
      <c r="K84" s="3"/>
      <c r="L84" s="35">
        <v>0.51848000000000005</v>
      </c>
      <c r="M84" s="3"/>
      <c r="N84" s="35">
        <v>0.51874000000000009</v>
      </c>
      <c r="O84" s="3"/>
      <c r="P84" s="36"/>
    </row>
    <row r="85" spans="1:16" x14ac:dyDescent="0.25">
      <c r="A85" s="8">
        <v>79</v>
      </c>
      <c r="B85" s="30"/>
      <c r="C85" s="37" t="s">
        <v>116</v>
      </c>
      <c r="D85" s="38"/>
      <c r="E85" s="39"/>
      <c r="F85" s="40"/>
      <c r="G85" s="41"/>
      <c r="H85" s="40"/>
      <c r="I85" s="41"/>
      <c r="J85" s="40"/>
      <c r="K85" s="41"/>
      <c r="L85" s="42"/>
      <c r="M85" s="41">
        <v>-8962.74</v>
      </c>
      <c r="N85" s="46"/>
      <c r="O85" s="41">
        <v>-8962.74</v>
      </c>
      <c r="P85" s="43">
        <v>0</v>
      </c>
    </row>
    <row r="86" spans="1:16" x14ac:dyDescent="0.25">
      <c r="A86" s="8">
        <v>80</v>
      </c>
      <c r="B86" s="8" t="s">
        <v>74</v>
      </c>
      <c r="C86" s="31" t="s">
        <v>56</v>
      </c>
      <c r="D86" s="32">
        <v>978825.72034397838</v>
      </c>
      <c r="E86" s="32">
        <v>10000</v>
      </c>
      <c r="F86" s="34">
        <v>81522</v>
      </c>
      <c r="G86" s="3">
        <v>1550</v>
      </c>
      <c r="H86" s="3">
        <v>13852.77</v>
      </c>
      <c r="I86" s="3">
        <v>-12302.77</v>
      </c>
      <c r="J86" s="3">
        <v>5367.4070300787916</v>
      </c>
      <c r="K86" s="3">
        <v>-3817.4070300787916</v>
      </c>
      <c r="L86" s="35">
        <v>0.64822999999999997</v>
      </c>
      <c r="M86" s="3"/>
      <c r="N86" s="35">
        <v>0.65</v>
      </c>
      <c r="O86" s="3"/>
      <c r="P86" s="36"/>
    </row>
    <row r="87" spans="1:16" x14ac:dyDescent="0.25">
      <c r="A87" s="8">
        <v>81</v>
      </c>
      <c r="B87" s="8"/>
      <c r="C87" s="31" t="s">
        <v>57</v>
      </c>
      <c r="D87" s="32">
        <v>1713725.0201433029</v>
      </c>
      <c r="E87" s="32">
        <v>20000</v>
      </c>
      <c r="F87" s="34"/>
      <c r="G87" s="3"/>
      <c r="H87" s="34"/>
      <c r="I87" s="3"/>
      <c r="J87" s="34"/>
      <c r="K87" s="3"/>
      <c r="L87" s="35">
        <v>0.63251999999999997</v>
      </c>
      <c r="M87" s="3"/>
      <c r="N87" s="35">
        <v>0.63410999999999995</v>
      </c>
      <c r="O87" s="3"/>
      <c r="P87" s="36"/>
    </row>
    <row r="88" spans="1:16" x14ac:dyDescent="0.25">
      <c r="A88" s="8">
        <v>82</v>
      </c>
      <c r="B88" s="8"/>
      <c r="C88" s="31" t="s">
        <v>64</v>
      </c>
      <c r="D88" s="32">
        <v>1330899.8122362138</v>
      </c>
      <c r="E88" s="32">
        <v>20000</v>
      </c>
      <c r="F88" s="34"/>
      <c r="G88" s="3"/>
      <c r="H88" s="34"/>
      <c r="I88" s="3"/>
      <c r="J88" s="34"/>
      <c r="K88" s="3"/>
      <c r="L88" s="35">
        <v>0.60122999999999993</v>
      </c>
      <c r="M88" s="3"/>
      <c r="N88" s="35">
        <v>0.60244999999999993</v>
      </c>
      <c r="O88" s="3"/>
      <c r="P88" s="36"/>
    </row>
    <row r="89" spans="1:16" x14ac:dyDescent="0.25">
      <c r="A89" s="8">
        <v>83</v>
      </c>
      <c r="B89" s="8"/>
      <c r="C89" s="31" t="s">
        <v>65</v>
      </c>
      <c r="D89" s="32">
        <v>3813649.7047456517</v>
      </c>
      <c r="E89" s="32">
        <v>100000</v>
      </c>
      <c r="F89" s="34"/>
      <c r="G89" s="3"/>
      <c r="H89" s="34"/>
      <c r="I89" s="3"/>
      <c r="J89" s="34"/>
      <c r="K89" s="3"/>
      <c r="L89" s="35">
        <v>0.58067000000000002</v>
      </c>
      <c r="M89" s="3"/>
      <c r="N89" s="35">
        <v>0.58164000000000005</v>
      </c>
      <c r="O89" s="3"/>
      <c r="P89" s="36"/>
    </row>
    <row r="90" spans="1:16" x14ac:dyDescent="0.25">
      <c r="A90" s="8">
        <v>84</v>
      </c>
      <c r="B90" s="8"/>
      <c r="C90" s="31" t="s">
        <v>66</v>
      </c>
      <c r="D90" s="32">
        <v>1945560.9825308537</v>
      </c>
      <c r="E90" s="32">
        <v>600000</v>
      </c>
      <c r="F90" s="34"/>
      <c r="G90" s="3"/>
      <c r="H90" s="34"/>
      <c r="I90" s="3"/>
      <c r="J90" s="34"/>
      <c r="K90" s="3"/>
      <c r="L90" s="35">
        <v>0.55323999999999995</v>
      </c>
      <c r="M90" s="3"/>
      <c r="N90" s="35">
        <v>0.55388999999999999</v>
      </c>
      <c r="O90" s="3"/>
      <c r="P90" s="36"/>
    </row>
    <row r="91" spans="1:16" x14ac:dyDescent="0.25">
      <c r="A91" s="8">
        <v>85</v>
      </c>
      <c r="B91" s="8"/>
      <c r="C91" s="31" t="s">
        <v>67</v>
      </c>
      <c r="D91" s="32">
        <v>0</v>
      </c>
      <c r="E91" s="33" t="s">
        <v>115</v>
      </c>
      <c r="F91" s="34"/>
      <c r="G91" s="3"/>
      <c r="H91" s="34"/>
      <c r="I91" s="3"/>
      <c r="J91" s="34"/>
      <c r="K91" s="3"/>
      <c r="L91" s="35">
        <v>0.51895000000000002</v>
      </c>
      <c r="M91" s="3"/>
      <c r="N91" s="35">
        <v>0.51919000000000004</v>
      </c>
      <c r="O91" s="3"/>
      <c r="P91" s="36"/>
    </row>
    <row r="92" spans="1:16" x14ac:dyDescent="0.25">
      <c r="A92" s="8">
        <v>86</v>
      </c>
      <c r="B92" s="30"/>
      <c r="C92" s="37" t="s">
        <v>116</v>
      </c>
      <c r="D92" s="38"/>
      <c r="E92" s="39"/>
      <c r="F92" s="40"/>
      <c r="G92" s="41"/>
      <c r="H92" s="40"/>
      <c r="I92" s="41"/>
      <c r="J92" s="40"/>
      <c r="K92" s="41"/>
      <c r="L92" s="42"/>
      <c r="M92" s="41">
        <v>37158.410000000003</v>
      </c>
      <c r="N92" s="47"/>
      <c r="O92" s="41">
        <v>37262.89</v>
      </c>
      <c r="P92" s="43">
        <v>2.8117457124778996E-3</v>
      </c>
    </row>
    <row r="93" spans="1:16" x14ac:dyDescent="0.25">
      <c r="A93" s="8">
        <v>87</v>
      </c>
      <c r="B93" s="30" t="s">
        <v>75</v>
      </c>
      <c r="C93" s="30"/>
      <c r="D93" s="48">
        <v>0</v>
      </c>
      <c r="E93" s="49" t="s">
        <v>114</v>
      </c>
      <c r="F93" s="50">
        <v>0</v>
      </c>
      <c r="G93" s="51">
        <v>38000</v>
      </c>
      <c r="H93" s="50"/>
      <c r="I93" s="51">
        <v>38000</v>
      </c>
      <c r="J93" s="50">
        <v>0</v>
      </c>
      <c r="K93" s="27"/>
      <c r="L93" s="52">
        <v>0.50330999999999992</v>
      </c>
      <c r="M93" s="27">
        <v>38000</v>
      </c>
      <c r="N93" s="52">
        <v>0.50337999999999994</v>
      </c>
      <c r="O93" s="27">
        <v>38000</v>
      </c>
      <c r="P93" s="43">
        <v>0</v>
      </c>
    </row>
    <row r="94" spans="1:16" x14ac:dyDescent="0.25">
      <c r="A94" s="8">
        <v>88</v>
      </c>
      <c r="B94" s="23" t="s">
        <v>76</v>
      </c>
      <c r="C94" s="23"/>
      <c r="D94" s="24">
        <v>0</v>
      </c>
      <c r="E94" s="49" t="s">
        <v>114</v>
      </c>
      <c r="F94" s="26">
        <v>0</v>
      </c>
      <c r="G94" s="51">
        <v>38000</v>
      </c>
      <c r="H94" s="26"/>
      <c r="I94" s="51">
        <v>38000</v>
      </c>
      <c r="J94" s="26">
        <v>0</v>
      </c>
      <c r="K94" s="27"/>
      <c r="L94" s="28">
        <v>0.50330999999999992</v>
      </c>
      <c r="M94" s="27">
        <v>38000</v>
      </c>
      <c r="N94" s="52">
        <v>0.50337999999999994</v>
      </c>
      <c r="O94" s="27">
        <v>38000</v>
      </c>
      <c r="P94" s="43">
        <v>0</v>
      </c>
    </row>
    <row r="95" spans="1:16" ht="15.75" thickBot="1" x14ac:dyDescent="0.3">
      <c r="A95" s="8">
        <v>89</v>
      </c>
      <c r="B95" s="23" t="s">
        <v>77</v>
      </c>
      <c r="C95" s="23"/>
      <c r="D95" s="24"/>
      <c r="E95" s="49"/>
      <c r="F95" s="26"/>
      <c r="G95" s="53"/>
      <c r="H95" s="26"/>
      <c r="I95" s="53"/>
      <c r="J95" s="26"/>
      <c r="K95" s="26"/>
      <c r="L95" s="54"/>
      <c r="M95" s="53"/>
      <c r="N95" s="56"/>
      <c r="O95" s="53"/>
      <c r="P95" s="55"/>
    </row>
    <row r="96" spans="1:16" x14ac:dyDescent="0.25">
      <c r="A96" s="8">
        <v>90</v>
      </c>
      <c r="B96" s="162" t="s">
        <v>117</v>
      </c>
      <c r="C96" s="163"/>
      <c r="D96" s="163"/>
      <c r="E96" s="163"/>
      <c r="F96" s="163"/>
      <c r="G96" s="163"/>
      <c r="H96" s="163"/>
      <c r="I96" s="163"/>
      <c r="J96" s="163"/>
      <c r="K96" s="163"/>
      <c r="L96" s="163"/>
      <c r="M96" s="163"/>
      <c r="N96" s="2"/>
      <c r="O96" s="2"/>
      <c r="P96" s="2"/>
    </row>
    <row r="97" spans="1:16" x14ac:dyDescent="0.25">
      <c r="A97" s="8">
        <v>91</v>
      </c>
      <c r="B97" s="163"/>
      <c r="C97" s="163"/>
      <c r="D97" s="163"/>
      <c r="E97" s="163"/>
      <c r="F97" s="163"/>
      <c r="G97" s="163"/>
      <c r="H97" s="163"/>
      <c r="I97" s="163"/>
      <c r="J97" s="163"/>
      <c r="K97" s="163"/>
      <c r="L97" s="163"/>
      <c r="M97" s="163"/>
      <c r="N97" s="2"/>
      <c r="O97" s="2"/>
      <c r="P97" s="2"/>
    </row>
    <row r="98" spans="1:16" x14ac:dyDescent="0.25">
      <c r="A98" s="8">
        <v>92</v>
      </c>
      <c r="B98" s="164" t="s">
        <v>118</v>
      </c>
      <c r="C98" s="164"/>
      <c r="D98" s="164"/>
      <c r="E98" s="164"/>
      <c r="F98" s="164"/>
      <c r="G98" s="164"/>
      <c r="H98" s="164"/>
      <c r="I98" s="164"/>
      <c r="J98" s="164"/>
      <c r="K98" s="164"/>
      <c r="L98" s="164"/>
      <c r="M98" s="164"/>
      <c r="N98" s="2"/>
      <c r="O98" s="2"/>
      <c r="P98" s="2"/>
    </row>
    <row r="99" spans="1:16" x14ac:dyDescent="0.25">
      <c r="A99" s="8">
        <v>93</v>
      </c>
      <c r="B99" s="165" t="s">
        <v>119</v>
      </c>
      <c r="C99" s="163"/>
      <c r="D99" s="163"/>
      <c r="E99" s="163"/>
      <c r="F99" s="163"/>
      <c r="G99" s="163"/>
      <c r="H99" s="163"/>
      <c r="I99" s="163"/>
      <c r="J99" s="163"/>
      <c r="K99" s="163"/>
      <c r="L99" s="163"/>
      <c r="M99" s="163"/>
      <c r="N99" s="4"/>
      <c r="O99" s="4"/>
      <c r="P99" s="4"/>
    </row>
    <row r="100" spans="1:16" x14ac:dyDescent="0.25">
      <c r="A100" s="8">
        <v>94</v>
      </c>
      <c r="B100" s="163"/>
      <c r="C100" s="163"/>
      <c r="D100" s="163"/>
      <c r="E100" s="163"/>
      <c r="F100" s="163"/>
      <c r="G100" s="163"/>
      <c r="H100" s="163"/>
      <c r="I100" s="163"/>
      <c r="J100" s="163"/>
      <c r="K100" s="163"/>
      <c r="L100" s="163"/>
      <c r="M100" s="163"/>
      <c r="N100" s="2"/>
      <c r="O100" s="2"/>
      <c r="P100" s="2"/>
    </row>
    <row r="101" spans="1:16" x14ac:dyDescent="0.25">
      <c r="A101" s="8">
        <v>95</v>
      </c>
      <c r="B101" s="163"/>
      <c r="C101" s="163"/>
      <c r="D101" s="163"/>
      <c r="E101" s="163"/>
      <c r="F101" s="163"/>
      <c r="G101" s="163"/>
      <c r="H101" s="163"/>
      <c r="I101" s="163"/>
      <c r="J101" s="163"/>
      <c r="K101" s="163"/>
      <c r="L101" s="163"/>
      <c r="M101" s="163"/>
      <c r="N101" s="2"/>
      <c r="O101" s="2"/>
      <c r="P101" s="2"/>
    </row>
    <row r="102" spans="1:16" ht="15.75" thickBot="1" x14ac:dyDescent="0.3">
      <c r="A102" s="8">
        <v>96</v>
      </c>
      <c r="B102" s="57" t="s">
        <v>120</v>
      </c>
      <c r="C102" s="2"/>
      <c r="D102" s="2"/>
      <c r="E102" s="2"/>
      <c r="F102" s="2"/>
      <c r="G102" s="2"/>
      <c r="H102" s="2"/>
      <c r="I102" s="2"/>
      <c r="J102" s="2"/>
      <c r="K102" s="2"/>
      <c r="L102" s="2"/>
      <c r="M102" s="2"/>
      <c r="N102" s="2"/>
      <c r="O102" s="2"/>
      <c r="P102" s="2"/>
    </row>
    <row r="103" spans="1:16" ht="15.75" thickBot="1" x14ac:dyDescent="0.3">
      <c r="A103" s="8">
        <v>97</v>
      </c>
      <c r="B103" s="58" t="s">
        <v>121</v>
      </c>
      <c r="C103" s="59"/>
      <c r="D103" s="60"/>
      <c r="E103" s="60" t="s">
        <v>122</v>
      </c>
      <c r="F103" s="60"/>
      <c r="G103" s="60"/>
      <c r="H103" s="60"/>
      <c r="I103" s="60"/>
      <c r="J103" s="60" t="s">
        <v>122</v>
      </c>
      <c r="K103" s="60"/>
      <c r="L103" s="60"/>
      <c r="M103" s="60"/>
      <c r="N103" s="60"/>
      <c r="O103" s="60"/>
      <c r="P103" s="60"/>
    </row>
    <row r="104" spans="1:16" ht="15.75" thickBot="1" x14ac:dyDescent="0.3">
      <c r="A104" s="8">
        <v>98</v>
      </c>
      <c r="B104" s="2"/>
      <c r="C104" s="2"/>
      <c r="D104" s="2"/>
      <c r="E104" s="2"/>
      <c r="F104" s="2"/>
      <c r="G104" s="2"/>
      <c r="H104" s="2"/>
      <c r="I104" s="2"/>
      <c r="J104" s="2"/>
      <c r="K104" s="2"/>
      <c r="L104" s="2"/>
      <c r="M104" s="2"/>
      <c r="N104" s="2"/>
      <c r="O104" s="2"/>
      <c r="P104" s="2"/>
    </row>
    <row r="105" spans="1:16" ht="15.75" thickBot="1" x14ac:dyDescent="0.3">
      <c r="A105" s="8">
        <v>99</v>
      </c>
      <c r="B105" s="58" t="s">
        <v>123</v>
      </c>
      <c r="C105" s="59"/>
      <c r="D105" s="59"/>
      <c r="E105" s="60"/>
      <c r="F105" s="60"/>
      <c r="G105" s="60"/>
      <c r="H105" s="60"/>
      <c r="I105" s="60"/>
      <c r="J105" s="59"/>
      <c r="K105" s="59"/>
      <c r="L105" s="60" t="s">
        <v>24</v>
      </c>
      <c r="M105" s="59"/>
      <c r="N105" s="59"/>
      <c r="O105" s="59"/>
      <c r="P105" s="59"/>
    </row>
  </sheetData>
  <mergeCells count="3">
    <mergeCell ref="B96:M97"/>
    <mergeCell ref="B98:M98"/>
    <mergeCell ref="B99:M101"/>
  </mergeCells>
  <pageMargins left="0.7" right="0.7" top="0.75" bottom="0.75" header="0.3" footer="0.3"/>
  <pageSetup scale="42" orientation="portrait" r:id="rId1"/>
  <headerFooter>
    <oddHeader>&amp;RNWN WUTC Advice No. 24-15
Exhibit A - Supporting Materials
Page &amp;P of &amp;N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BB720-7DB3-4DAA-89E0-7A0DA65FD3C7}">
  <sheetPr>
    <pageSetUpPr fitToPage="1"/>
  </sheetPr>
  <dimension ref="B1:L39"/>
  <sheetViews>
    <sheetView view="pageLayout" zoomScaleNormal="100" workbookViewId="0">
      <selection activeCell="F2" sqref="F2"/>
    </sheetView>
  </sheetViews>
  <sheetFormatPr defaultColWidth="14.7109375" defaultRowHeight="15" x14ac:dyDescent="0.25"/>
  <cols>
    <col min="1" max="1" width="14.7109375" style="113"/>
    <col min="2" max="2" width="14.7109375" style="132"/>
    <col min="3" max="3" width="10.7109375" style="132" customWidth="1"/>
    <col min="4" max="7" width="14.7109375" style="132"/>
    <col min="8" max="8" width="16.42578125" style="132" customWidth="1"/>
    <col min="9" max="9" width="20.42578125" style="132" customWidth="1"/>
    <col min="10" max="11" width="14.7109375" style="132"/>
    <col min="12" max="12" width="21.7109375" style="132" customWidth="1"/>
    <col min="13" max="16384" width="14.7109375" style="113"/>
  </cols>
  <sheetData>
    <row r="1" spans="2:12" x14ac:dyDescent="0.25">
      <c r="B1" s="131" t="s">
        <v>0</v>
      </c>
      <c r="C1" s="131"/>
    </row>
    <row r="2" spans="2:12" x14ac:dyDescent="0.25">
      <c r="B2" s="131" t="s">
        <v>1</v>
      </c>
      <c r="C2" s="131"/>
    </row>
    <row r="3" spans="2:12" x14ac:dyDescent="0.25">
      <c r="B3" s="131" t="s">
        <v>124</v>
      </c>
      <c r="C3" s="131"/>
    </row>
    <row r="6" spans="2:12" x14ac:dyDescent="0.25">
      <c r="B6" s="133" t="s">
        <v>125</v>
      </c>
      <c r="C6" s="133"/>
      <c r="D6" s="134"/>
      <c r="E6" s="134"/>
      <c r="H6" s="133" t="s">
        <v>126</v>
      </c>
      <c r="I6" s="134"/>
    </row>
    <row r="7" spans="2:12" x14ac:dyDescent="0.25">
      <c r="B7" s="132" t="s">
        <v>127</v>
      </c>
      <c r="E7" s="132">
        <v>684</v>
      </c>
      <c r="F7" s="135"/>
      <c r="H7" s="132" t="s">
        <v>128</v>
      </c>
      <c r="J7" s="136"/>
      <c r="K7" s="137">
        <v>230001.89</v>
      </c>
      <c r="L7" s="136" t="s">
        <v>129</v>
      </c>
    </row>
    <row r="8" spans="2:12" x14ac:dyDescent="0.25">
      <c r="B8" s="132" t="s">
        <v>130</v>
      </c>
      <c r="E8" s="138">
        <v>8</v>
      </c>
      <c r="F8" s="135" t="s">
        <v>131</v>
      </c>
    </row>
    <row r="9" spans="2:12" x14ac:dyDescent="0.25">
      <c r="B9" s="132" t="s">
        <v>132</v>
      </c>
      <c r="E9" s="139">
        <f>1.56419-0.49726</f>
        <v>1.0669299999999999</v>
      </c>
      <c r="F9" s="135" t="s">
        <v>133</v>
      </c>
      <c r="J9" s="138"/>
    </row>
    <row r="10" spans="2:12" x14ac:dyDescent="0.25">
      <c r="E10" s="139"/>
      <c r="J10" s="138"/>
    </row>
    <row r="11" spans="2:12" x14ac:dyDescent="0.25">
      <c r="B11" s="132" t="s">
        <v>134</v>
      </c>
      <c r="E11" s="138">
        <f>+E12/12</f>
        <v>68.814999999999998</v>
      </c>
      <c r="J11" s="138"/>
    </row>
    <row r="12" spans="2:12" x14ac:dyDescent="0.25">
      <c r="B12" s="132" t="s">
        <v>135</v>
      </c>
      <c r="E12" s="138">
        <f>ROUND((E9*E7)+(12*E8),2)</f>
        <v>825.78</v>
      </c>
    </row>
    <row r="13" spans="2:12" x14ac:dyDescent="0.25">
      <c r="B13" s="140"/>
      <c r="C13" s="140"/>
      <c r="D13" s="140"/>
      <c r="E13" s="141"/>
      <c r="F13" s="140"/>
      <c r="G13" s="140"/>
      <c r="H13" s="140"/>
      <c r="I13" s="140"/>
      <c r="J13" s="140"/>
      <c r="K13" s="140"/>
      <c r="L13" s="140"/>
    </row>
    <row r="14" spans="2:12" x14ac:dyDescent="0.25">
      <c r="E14" s="138"/>
    </row>
    <row r="15" spans="2:12" x14ac:dyDescent="0.25">
      <c r="B15" s="142" t="s">
        <v>136</v>
      </c>
      <c r="C15" s="142"/>
      <c r="E15" s="138"/>
      <c r="H15" s="143" t="s">
        <v>137</v>
      </c>
      <c r="J15" s="138"/>
    </row>
    <row r="16" spans="2:12" x14ac:dyDescent="0.25">
      <c r="B16" s="132" t="s">
        <v>138</v>
      </c>
      <c r="E16" s="132">
        <v>89716</v>
      </c>
      <c r="H16" s="132" t="s">
        <v>139</v>
      </c>
      <c r="K16" s="138">
        <f>+K7</f>
        <v>230001.89</v>
      </c>
    </row>
    <row r="17" spans="2:12" x14ac:dyDescent="0.25">
      <c r="H17" s="132" t="s">
        <v>140</v>
      </c>
      <c r="K17" s="138">
        <f>+G39</f>
        <v>2224473.4987317673</v>
      </c>
    </row>
    <row r="18" spans="2:12" x14ac:dyDescent="0.25">
      <c r="B18" s="132" t="s">
        <v>141</v>
      </c>
      <c r="E18" s="132">
        <v>7322</v>
      </c>
      <c r="H18" s="132" t="s">
        <v>20</v>
      </c>
      <c r="K18" s="138">
        <f>SUM(K16:K17)</f>
        <v>2454475.3887317674</v>
      </c>
      <c r="L18" s="132" t="s">
        <v>142</v>
      </c>
    </row>
    <row r="19" spans="2:12" x14ac:dyDescent="0.25">
      <c r="B19" s="132" t="s">
        <v>143</v>
      </c>
      <c r="E19" s="144">
        <f>+E18/E16</f>
        <v>8.1613090195728738E-2</v>
      </c>
      <c r="J19" s="138"/>
    </row>
    <row r="20" spans="2:12" x14ac:dyDescent="0.25">
      <c r="E20" s="144"/>
      <c r="H20" s="166" t="s">
        <v>144</v>
      </c>
      <c r="I20" s="166"/>
      <c r="J20" s="146">
        <f>1-'[2]PGA 24-25'!$R$16</f>
        <v>0.24489320996930031</v>
      </c>
      <c r="K20" s="132">
        <f>K18-K21</f>
        <v>601084.35577951767</v>
      </c>
    </row>
    <row r="21" spans="2:12" x14ac:dyDescent="0.25">
      <c r="B21" s="132" t="s">
        <v>145</v>
      </c>
      <c r="E21" s="144"/>
      <c r="F21" s="132">
        <v>17800</v>
      </c>
      <c r="H21" s="166" t="s">
        <v>146</v>
      </c>
      <c r="I21" s="166"/>
      <c r="J21" s="146">
        <v>0.75510679003069969</v>
      </c>
      <c r="K21" s="132">
        <v>1853391.0329522497</v>
      </c>
    </row>
    <row r="22" spans="2:12" x14ac:dyDescent="0.25">
      <c r="B22" s="132" t="s">
        <v>147</v>
      </c>
      <c r="E22" s="144"/>
      <c r="F22" s="147">
        <f>+E18/F21</f>
        <v>0.41134831460674159</v>
      </c>
    </row>
    <row r="23" spans="2:12" x14ac:dyDescent="0.25">
      <c r="E23" s="144"/>
      <c r="H23" s="166" t="s">
        <v>148</v>
      </c>
      <c r="I23" s="166"/>
      <c r="J23" s="146">
        <v>4.3568999999999997E-2</v>
      </c>
      <c r="K23" s="132">
        <f>K25-K21</f>
        <v>84428.875595517689</v>
      </c>
    </row>
    <row r="24" spans="2:12" x14ac:dyDescent="0.25">
      <c r="E24" s="144"/>
      <c r="H24" s="145"/>
      <c r="I24" s="145"/>
      <c r="J24" s="146"/>
    </row>
    <row r="25" spans="2:12" x14ac:dyDescent="0.25">
      <c r="B25" s="142" t="s">
        <v>149</v>
      </c>
      <c r="C25" s="142"/>
      <c r="H25" s="148" t="s">
        <v>150</v>
      </c>
      <c r="I25" s="149"/>
      <c r="J25" s="149"/>
      <c r="K25" s="150">
        <f>K21/(1-J23)</f>
        <v>1937819.9085477674</v>
      </c>
    </row>
    <row r="26" spans="2:12" x14ac:dyDescent="0.25">
      <c r="B26" s="132" t="s">
        <v>145</v>
      </c>
      <c r="F26" s="132">
        <f>+F21</f>
        <v>17800</v>
      </c>
    </row>
    <row r="27" spans="2:12" x14ac:dyDescent="0.25">
      <c r="B27" s="132" t="s">
        <v>151</v>
      </c>
      <c r="F27" s="132">
        <f>+F26*0.6</f>
        <v>10680</v>
      </c>
      <c r="H27" s="132" t="s">
        <v>152</v>
      </c>
      <c r="J27" s="138"/>
      <c r="K27" s="138">
        <v>1242118</v>
      </c>
      <c r="L27" s="132" t="s">
        <v>153</v>
      </c>
    </row>
    <row r="28" spans="2:12" x14ac:dyDescent="0.25">
      <c r="B28" s="132" t="s">
        <v>154</v>
      </c>
      <c r="F28" s="132">
        <f>+F27-E18</f>
        <v>3358</v>
      </c>
      <c r="G28" s="147"/>
      <c r="H28" s="132" t="s">
        <v>155</v>
      </c>
      <c r="K28" s="138">
        <f>K25-K27</f>
        <v>695701.90854776744</v>
      </c>
    </row>
    <row r="29" spans="2:12" x14ac:dyDescent="0.25">
      <c r="B29" s="132" t="s">
        <v>156</v>
      </c>
      <c r="F29" s="132">
        <f>+F28/2</f>
        <v>1679</v>
      </c>
      <c r="K29" s="147">
        <f>+(K25-K27)/K27</f>
        <v>0.56009325084071515</v>
      </c>
      <c r="L29" s="132" t="s">
        <v>157</v>
      </c>
    </row>
    <row r="31" spans="2:12" x14ac:dyDescent="0.25">
      <c r="E31" s="151" t="s">
        <v>158</v>
      </c>
      <c r="J31" s="138"/>
    </row>
    <row r="32" spans="2:12" x14ac:dyDescent="0.25">
      <c r="E32" s="151" t="s">
        <v>159</v>
      </c>
      <c r="F32" s="151" t="s">
        <v>160</v>
      </c>
      <c r="G32" s="151" t="s">
        <v>161</v>
      </c>
      <c r="J32" s="138"/>
    </row>
    <row r="33" spans="2:7" x14ac:dyDescent="0.25">
      <c r="E33" s="152" t="s">
        <v>162</v>
      </c>
      <c r="F33" s="152" t="s">
        <v>163</v>
      </c>
      <c r="G33" s="152" t="s">
        <v>164</v>
      </c>
    </row>
    <row r="34" spans="2:7" x14ac:dyDescent="0.25">
      <c r="B34" s="134" t="s">
        <v>165</v>
      </c>
      <c r="C34" s="153" t="s">
        <v>166</v>
      </c>
      <c r="D34" s="152" t="s">
        <v>167</v>
      </c>
    </row>
    <row r="35" spans="2:7" x14ac:dyDescent="0.25">
      <c r="B35" s="154" t="s">
        <v>168</v>
      </c>
      <c r="C35" s="147">
        <v>0.8</v>
      </c>
      <c r="D35" s="147">
        <v>0.12086861513247746</v>
      </c>
      <c r="E35" s="155">
        <f>+$E$18*D35*($E$12*$C35)</f>
        <v>584652.24</v>
      </c>
      <c r="F35" s="155">
        <f>+$F$29*D35*$E$12*$C35</f>
        <v>134065.98073750341</v>
      </c>
      <c r="G35" s="155">
        <f>+E35+F35</f>
        <v>718718.22073750338</v>
      </c>
    </row>
    <row r="36" spans="2:7" x14ac:dyDescent="0.25">
      <c r="B36" s="154" t="s">
        <v>169</v>
      </c>
      <c r="C36" s="147">
        <v>0.4</v>
      </c>
      <c r="D36" s="147">
        <v>0.25635072384594371</v>
      </c>
      <c r="E36" s="155">
        <f t="shared" ref="E36:E38" si="0">+$E$18*D36*($E$12*$C36)</f>
        <v>619995.62399999995</v>
      </c>
      <c r="F36" s="155">
        <f t="shared" ref="F36:F38" si="1">+$F$29*D36*$E$12*$C36</f>
        <v>142170.5343753073</v>
      </c>
      <c r="G36" s="155">
        <f t="shared" ref="G36:G38" si="2">+E36+F36</f>
        <v>762166.15837530722</v>
      </c>
    </row>
    <row r="37" spans="2:7" x14ac:dyDescent="0.25">
      <c r="B37" s="154" t="s">
        <v>170</v>
      </c>
      <c r="C37" s="147">
        <v>0.2</v>
      </c>
      <c r="D37" s="147">
        <v>0.13247746517344988</v>
      </c>
      <c r="E37" s="155">
        <f t="shared" si="0"/>
        <v>160201.32</v>
      </c>
      <c r="F37" s="155">
        <f t="shared" si="1"/>
        <v>36735.593591914781</v>
      </c>
      <c r="G37" s="155">
        <f t="shared" si="2"/>
        <v>196936.91359191478</v>
      </c>
    </row>
    <row r="38" spans="2:7" x14ac:dyDescent="0.25">
      <c r="B38" s="154" t="s">
        <v>171</v>
      </c>
      <c r="C38" s="147">
        <v>0.15</v>
      </c>
      <c r="D38" s="147">
        <v>0.49030319584812893</v>
      </c>
      <c r="E38" s="156">
        <f t="shared" si="0"/>
        <v>444682.52999999997</v>
      </c>
      <c r="F38" s="156">
        <f t="shared" si="1"/>
        <v>101969.67602704179</v>
      </c>
      <c r="G38" s="156">
        <f t="shared" si="2"/>
        <v>546652.20602704177</v>
      </c>
    </row>
    <row r="39" spans="2:7" x14ac:dyDescent="0.25">
      <c r="E39" s="155">
        <f>SUM(E35:E38)</f>
        <v>1809531.7140000002</v>
      </c>
      <c r="F39" s="155">
        <f>SUM(F35:F38)</f>
        <v>414941.78473176731</v>
      </c>
      <c r="G39" s="155">
        <f>SUM(G35:G38)</f>
        <v>2224473.4987317673</v>
      </c>
    </row>
  </sheetData>
  <mergeCells count="3">
    <mergeCell ref="H20:I20"/>
    <mergeCell ref="H21:I21"/>
    <mergeCell ref="H23:I23"/>
  </mergeCells>
  <printOptions horizontalCentered="1"/>
  <pageMargins left="0.5" right="0.5" top="0.75" bottom="0.5" header="0.25" footer="0.25"/>
  <pageSetup orientation="landscape" r:id="rId1"/>
  <headerFooter>
    <oddHeader>&amp;RNWN WUTC Advice No. 24-15
Exhibit A - Supporting Materials
Page &amp;P of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9CCFF-AC68-4391-BF5B-592F14195A9F}">
  <dimension ref="A1:H24"/>
  <sheetViews>
    <sheetView view="pageLayout" zoomScaleNormal="100" workbookViewId="0">
      <selection activeCell="A3" sqref="A3"/>
    </sheetView>
  </sheetViews>
  <sheetFormatPr defaultColWidth="8.7109375" defaultRowHeight="12.75" x14ac:dyDescent="0.2"/>
  <cols>
    <col min="1" max="1" width="8.140625" style="116" bestFit="1" customWidth="1"/>
    <col min="2" max="4" width="8.7109375" style="116"/>
    <col min="5" max="5" width="28.140625" style="116" customWidth="1"/>
    <col min="6" max="6" width="14.85546875" style="116" bestFit="1" customWidth="1"/>
    <col min="7" max="8" width="8.42578125" style="116" customWidth="1"/>
    <col min="9" max="16384" width="8.7109375" style="116"/>
  </cols>
  <sheetData>
    <row r="1" spans="1:8" ht="14.25" x14ac:dyDescent="0.2">
      <c r="A1" s="114" t="s">
        <v>0</v>
      </c>
      <c r="B1" s="115"/>
      <c r="C1" s="115"/>
      <c r="D1" s="115"/>
      <c r="E1" s="115"/>
      <c r="F1" s="115"/>
      <c r="G1" s="115"/>
      <c r="H1" s="115"/>
    </row>
    <row r="2" spans="1:8" ht="14.25" x14ac:dyDescent="0.2">
      <c r="A2" s="114" t="s">
        <v>1</v>
      </c>
      <c r="B2" s="115"/>
      <c r="C2" s="115"/>
      <c r="D2" s="115"/>
      <c r="E2" s="115"/>
      <c r="F2" s="115"/>
      <c r="G2" s="115"/>
      <c r="H2" s="115"/>
    </row>
    <row r="3" spans="1:8" ht="14.25" x14ac:dyDescent="0.2">
      <c r="A3" s="114" t="s">
        <v>182</v>
      </c>
      <c r="B3" s="115"/>
      <c r="C3" s="115"/>
      <c r="D3" s="115"/>
      <c r="E3" s="115"/>
      <c r="F3" s="115"/>
      <c r="G3" s="115"/>
      <c r="H3" s="115"/>
    </row>
    <row r="4" spans="1:8" ht="14.25" x14ac:dyDescent="0.2">
      <c r="A4" s="114" t="s">
        <v>181</v>
      </c>
      <c r="B4" s="115"/>
      <c r="C4" s="115"/>
      <c r="D4" s="115"/>
      <c r="E4" s="115"/>
      <c r="F4" s="115"/>
      <c r="G4" s="115"/>
      <c r="H4" s="115"/>
    </row>
    <row r="5" spans="1:8" x14ac:dyDescent="0.2">
      <c r="A5" s="117"/>
      <c r="B5" s="115"/>
      <c r="C5" s="115"/>
      <c r="D5" s="115"/>
      <c r="E5" s="115"/>
      <c r="F5" s="115"/>
      <c r="G5" s="115"/>
      <c r="H5" s="115"/>
    </row>
    <row r="6" spans="1:8" x14ac:dyDescent="0.2">
      <c r="A6" s="115"/>
      <c r="B6" s="115"/>
      <c r="C6" s="115"/>
      <c r="D6" s="115"/>
      <c r="E6" s="115"/>
      <c r="F6" s="115"/>
      <c r="G6" s="115"/>
      <c r="H6" s="115"/>
    </row>
    <row r="7" spans="1:8" x14ac:dyDescent="0.2">
      <c r="A7" s="118">
        <v>1</v>
      </c>
      <c r="B7" s="115"/>
      <c r="C7" s="115"/>
      <c r="D7" s="115"/>
      <c r="E7" s="115"/>
      <c r="F7" s="119" t="s">
        <v>172</v>
      </c>
      <c r="G7" s="115"/>
      <c r="H7" s="119" t="s">
        <v>173</v>
      </c>
    </row>
    <row r="8" spans="1:8" x14ac:dyDescent="0.2">
      <c r="A8" s="118">
        <f>+A7+1</f>
        <v>2</v>
      </c>
      <c r="B8" s="115"/>
      <c r="C8" s="115"/>
      <c r="D8" s="115"/>
      <c r="E8" s="115"/>
      <c r="F8" s="120"/>
      <c r="G8" s="115"/>
      <c r="H8" s="121"/>
    </row>
    <row r="9" spans="1:8" x14ac:dyDescent="0.2">
      <c r="A9" s="118">
        <f t="shared" ref="A9:A24" si="0">+A8+1</f>
        <v>3</v>
      </c>
      <c r="B9" s="122" t="s">
        <v>13</v>
      </c>
      <c r="C9" s="115"/>
      <c r="D9" s="115"/>
      <c r="E9" s="115"/>
      <c r="F9" s="120"/>
      <c r="G9" s="115"/>
      <c r="H9" s="121"/>
    </row>
    <row r="10" spans="1:8" x14ac:dyDescent="0.2">
      <c r="A10" s="118">
        <f t="shared" si="0"/>
        <v>4</v>
      </c>
      <c r="B10" s="122"/>
      <c r="C10" s="115"/>
      <c r="D10" s="115"/>
      <c r="E10" s="115"/>
      <c r="F10" s="120"/>
      <c r="G10" s="115"/>
      <c r="H10" s="121"/>
    </row>
    <row r="11" spans="1:8" x14ac:dyDescent="0.2">
      <c r="A11" s="118">
        <f t="shared" si="0"/>
        <v>5</v>
      </c>
      <c r="B11" s="123" t="s">
        <v>174</v>
      </c>
      <c r="C11" s="115"/>
      <c r="D11" s="115"/>
      <c r="E11" s="115"/>
      <c r="F11" s="115"/>
      <c r="G11" s="115"/>
      <c r="H11" s="121"/>
    </row>
    <row r="12" spans="1:8" x14ac:dyDescent="0.2">
      <c r="A12" s="118">
        <f t="shared" si="0"/>
        <v>6</v>
      </c>
      <c r="B12" s="115" t="s">
        <v>175</v>
      </c>
      <c r="C12" s="115"/>
      <c r="D12" s="115"/>
      <c r="E12" s="115"/>
      <c r="F12" s="120">
        <f>-'[3]Allocation = % of margin'!$AI$10</f>
        <v>-1242118</v>
      </c>
      <c r="G12" s="115"/>
      <c r="H12" s="121" t="s">
        <v>176</v>
      </c>
    </row>
    <row r="13" spans="1:8" x14ac:dyDescent="0.2">
      <c r="A13" s="118">
        <f t="shared" si="0"/>
        <v>7</v>
      </c>
      <c r="B13" s="115"/>
      <c r="C13" s="115"/>
      <c r="D13" s="115"/>
      <c r="E13" s="115"/>
      <c r="F13" s="120"/>
      <c r="G13" s="115"/>
    </row>
    <row r="14" spans="1:8" x14ac:dyDescent="0.2">
      <c r="A14" s="118">
        <f t="shared" si="0"/>
        <v>8</v>
      </c>
      <c r="B14" s="123" t="s">
        <v>177</v>
      </c>
      <c r="C14" s="115"/>
      <c r="D14" s="115"/>
      <c r="E14" s="115"/>
      <c r="F14" s="115"/>
      <c r="G14" s="115"/>
      <c r="H14" s="121"/>
    </row>
    <row r="15" spans="1:8" x14ac:dyDescent="0.2">
      <c r="A15" s="118">
        <f t="shared" si="0"/>
        <v>9</v>
      </c>
      <c r="B15" s="115" t="s">
        <v>175</v>
      </c>
      <c r="C15" s="115"/>
      <c r="D15" s="115"/>
      <c r="E15" s="115"/>
      <c r="F15" s="124">
        <v>1937820</v>
      </c>
      <c r="G15" s="115"/>
      <c r="H15" s="121" t="s">
        <v>178</v>
      </c>
    </row>
    <row r="16" spans="1:8" x14ac:dyDescent="0.2">
      <c r="A16" s="118">
        <f t="shared" si="0"/>
        <v>10</v>
      </c>
      <c r="B16" s="115"/>
      <c r="C16" s="115"/>
      <c r="D16" s="115"/>
      <c r="E16" s="115"/>
      <c r="F16" s="120"/>
      <c r="G16" s="115"/>
      <c r="H16" s="115"/>
    </row>
    <row r="17" spans="1:8" x14ac:dyDescent="0.2">
      <c r="A17" s="118">
        <f t="shared" si="0"/>
        <v>11</v>
      </c>
      <c r="B17" s="117"/>
      <c r="C17" s="115"/>
      <c r="D17" s="115"/>
      <c r="E17" s="115"/>
      <c r="F17" s="120"/>
      <c r="G17" s="115"/>
      <c r="H17" s="115"/>
    </row>
    <row r="18" spans="1:8" ht="13.5" thickBot="1" x14ac:dyDescent="0.25">
      <c r="A18" s="118">
        <f t="shared" si="0"/>
        <v>12</v>
      </c>
      <c r="B18" s="117" t="s">
        <v>179</v>
      </c>
      <c r="C18" s="115"/>
      <c r="D18" s="115"/>
      <c r="E18" s="115"/>
      <c r="F18" s="125">
        <f>SUM(F12:F15)</f>
        <v>695702</v>
      </c>
      <c r="G18" s="115"/>
      <c r="H18" s="115"/>
    </row>
    <row r="19" spans="1:8" ht="13.5" thickTop="1" x14ac:dyDescent="0.2">
      <c r="A19" s="118">
        <f t="shared" si="0"/>
        <v>13</v>
      </c>
      <c r="B19" s="115"/>
      <c r="C19" s="115"/>
      <c r="D19" s="115"/>
      <c r="E19" s="115"/>
      <c r="F19" s="120"/>
      <c r="G19" s="115"/>
      <c r="H19" s="115"/>
    </row>
    <row r="20" spans="1:8" x14ac:dyDescent="0.2">
      <c r="A20" s="118">
        <f t="shared" si="0"/>
        <v>14</v>
      </c>
      <c r="B20" s="115"/>
      <c r="C20" s="115"/>
      <c r="D20" s="115"/>
      <c r="E20" s="115"/>
      <c r="F20" s="120"/>
      <c r="G20" s="115"/>
      <c r="H20" s="115"/>
    </row>
    <row r="21" spans="1:8" x14ac:dyDescent="0.2">
      <c r="A21" s="118">
        <f t="shared" si="0"/>
        <v>15</v>
      </c>
      <c r="B21" s="115"/>
      <c r="C21" s="115"/>
      <c r="D21" s="115"/>
      <c r="E21" s="115"/>
      <c r="F21" s="120"/>
      <c r="G21" s="115"/>
      <c r="H21" s="115"/>
    </row>
    <row r="22" spans="1:8" x14ac:dyDescent="0.2">
      <c r="A22" s="118">
        <f t="shared" si="0"/>
        <v>16</v>
      </c>
      <c r="B22" s="126" t="str">
        <f>+'[4]24-14 Combined'!B36</f>
        <v>2023 Washington CBR Normalized Total Revenues</v>
      </c>
      <c r="C22" s="127"/>
      <c r="D22" s="127"/>
      <c r="E22" s="115"/>
      <c r="F22" s="128">
        <f>+'[4]24-14 Combined'!F36</f>
        <v>121797100.09618466</v>
      </c>
      <c r="G22" s="115"/>
      <c r="H22" s="115"/>
    </row>
    <row r="23" spans="1:8" x14ac:dyDescent="0.2">
      <c r="A23" s="118">
        <f t="shared" si="0"/>
        <v>17</v>
      </c>
      <c r="B23" s="117"/>
      <c r="C23" s="115"/>
      <c r="D23" s="115"/>
      <c r="E23" s="115"/>
      <c r="F23" s="129"/>
      <c r="G23" s="115"/>
      <c r="H23" s="115"/>
    </row>
    <row r="24" spans="1:8" x14ac:dyDescent="0.2">
      <c r="A24" s="118">
        <f t="shared" si="0"/>
        <v>18</v>
      </c>
      <c r="B24" s="117" t="s">
        <v>180</v>
      </c>
      <c r="C24" s="115"/>
      <c r="D24" s="115"/>
      <c r="E24" s="115"/>
      <c r="F24" s="130">
        <f>ROUND(F18/F22,4)</f>
        <v>5.7000000000000002E-3</v>
      </c>
      <c r="G24" s="115"/>
      <c r="H24" s="115"/>
    </row>
  </sheetData>
  <pageMargins left="0.7" right="0.7" top="0.75" bottom="0.75" header="0.3" footer="0.3"/>
  <pageSetup scale="90" orientation="landscape" r:id="rId1"/>
  <headerFooter>
    <oddHeader>&amp;RNWN WUTC Advice No. 24-15
Exhibit A - Supporting Materials
Page &amp;P of &amp;N</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24D5FB18351C364BA8103305898406CA" ma:contentTypeVersion="16" ma:contentTypeDescription="" ma:contentTypeScope="" ma:versionID="3c2956e804380e228ff5f4e0f327545e">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2024-11-15T08:00:00+00:00</OpenedDate>
    <SignificantOrder xmlns="dc463f71-b30c-4ab2-9473-d307f9d35888">false</SignificantOrder>
    <Date1 xmlns="dc463f71-b30c-4ab2-9473-d307f9d35888">2024-11-18T08:00:00+00:00</Date1>
    <IsDocumentOrder xmlns="dc463f71-b30c-4ab2-9473-d307f9d35888">false</IsDocumentOrder>
    <IsHighlyConfidential xmlns="dc463f71-b30c-4ab2-9473-d307f9d35888">false</IsHighlyConfidential>
    <CaseCompanyNames xmlns="dc463f71-b30c-4ab2-9473-d307f9d35888">Northwest Natural Gas Company</CaseCompanyNames>
    <Nickname xmlns="http://schemas.microsoft.com/sharepoint/v3" xsi:nil="true"/>
    <DocketNumber xmlns="dc463f71-b30c-4ab2-9473-d307f9d35888">240881</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3726213C-3E65-4EE1-BB16-89239EDC3968}"/>
</file>

<file path=customXml/itemProps2.xml><?xml version="1.0" encoding="utf-8"?>
<ds:datastoreItem xmlns:ds="http://schemas.openxmlformats.org/officeDocument/2006/customXml" ds:itemID="{A1B1BCC7-01F1-484C-8D6D-B9A4F71A6345}">
  <ds:schemaRefs>
    <ds:schemaRef ds:uri="http://schemas.microsoft.com/sharepoint/v3/contenttype/forms"/>
  </ds:schemaRefs>
</ds:datastoreItem>
</file>

<file path=customXml/itemProps3.xml><?xml version="1.0" encoding="utf-8"?>
<ds:datastoreItem xmlns:ds="http://schemas.openxmlformats.org/officeDocument/2006/customXml" ds:itemID="{A3ED2E7B-D185-4CAA-A026-C1C2DBEBA2BC}">
  <ds:schemaRefs>
    <ds:schemaRef ds:uri="http://schemas.microsoft.com/office/2006/metadata/properties"/>
    <ds:schemaRef ds:uri="http://schemas.microsoft.com/office/infopath/2007/PartnerControls"/>
    <ds:schemaRef ds:uri="030e7722-2209-4d16-a5f7-fc1d22188fb9"/>
  </ds:schemaRefs>
</ds:datastoreItem>
</file>

<file path=customXml/itemProps4.xml><?xml version="1.0" encoding="utf-8"?>
<ds:datastoreItem xmlns:ds="http://schemas.openxmlformats.org/officeDocument/2006/customXml" ds:itemID="{E49837D8-30A6-442E-9B35-3F7C25E14E6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Page 1</vt:lpstr>
      <vt:lpstr>Page 2</vt:lpstr>
      <vt:lpstr>Page 3</vt:lpstr>
      <vt:lpstr>Page 4</vt:lpstr>
      <vt:lpstr>'Page 3'!Print_Area</vt:lpstr>
    </vt:vector>
  </TitlesOfParts>
  <Manager/>
  <Company>NW Natural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Patzkowski, Kurt</dc:creator>
  <cp:keywords/>
  <dc:description/>
  <cp:lastModifiedBy>Booth, Avery (UTC)</cp:lastModifiedBy>
  <cp:revision/>
  <dcterms:created xsi:type="dcterms:W3CDTF">2024-11-13T18:26:25Z</dcterms:created>
  <dcterms:modified xsi:type="dcterms:W3CDTF">2024-11-18T16:57:45Z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0x0101006E56B4D1795A2E4DB2F0B01679ED314A0024D5FB18351C364BA8103305898406CA</vt:lpwstr>
  </property>
  <property fmtid="{D5CDD505-2E9C-101B-9397-08002B2CF9AE}" pid="3" name="_dlc_DocIdItemGuid">
    <vt:lpwstr>dba3349c-1c49-48d8-b2a5-91f7b4841fd6</vt:lpwstr>
  </property>
</Properties>
</file>