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4190" yWindow="4470" windowWidth="21600" windowHeight="11385" tabRatio="834" activeTab="2"/>
  </bookViews>
  <sheets>
    <sheet name="Table of Contents" sheetId="19" r:id="rId1"/>
    <sheet name="Exh JDT-5 (JDT-Rate Spread)" sheetId="14" r:id="rId2"/>
    <sheet name="Exh JDT-5 (Rate Des Sum)" sheetId="20" r:id="rId3"/>
    <sheet name="Exh JDT-5 (JDT-RES_RD)" sheetId="2" r:id="rId4"/>
    <sheet name="Exh JDT-5 (JDT-C&amp;I-RD)" sheetId="3" r:id="rId5"/>
    <sheet name="Exh JDT-5 (JDT-INTRPL-RD)" sheetId="4" r:id="rId6"/>
    <sheet name="Exh JDT-5 (JDT-MYRP)" sheetId="8" r:id="rId7"/>
    <sheet name="Exh JDT-5 (JDT-MYRP-SUM)" sheetId="15" r:id="rId8"/>
    <sheet name="Exh JDT-5 (JDT-Balancing)" sheetId="17" r:id="rId9"/>
    <sheet name="Exh JDT-5 (JDT-Procmnt Chrg)" sheetId="21" r:id="rId10"/>
    <sheet name="Rev Req--&gt;" sheetId="24" r:id="rId11"/>
    <sheet name="Rev Req Comparison" sheetId="22" r:id="rId12"/>
    <sheet name="Gas Rev Req for COS" sheetId="23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8">'Exh JDT-5 (JDT-Balancing)'!$B$1:$M$21</definedName>
    <definedName name="_xlnm.Print_Area" localSheetId="6">'Exh JDT-5 (JDT-MYRP)'!$B$1:$R$256</definedName>
    <definedName name="_xlnm.Print_Area" localSheetId="7">'Exh JDT-5 (JDT-MYRP-SUM)'!$A$1:$S$23</definedName>
    <definedName name="_xlnm.Print_Area" localSheetId="9">'Exh JDT-5 (JDT-Procmnt Chrg)'!$B$2:$I$26</definedName>
    <definedName name="_xlnm.Print_Area" localSheetId="1">'Exh JDT-5 (JDT-Rate Spread)'!$A$1:$L$89</definedName>
    <definedName name="_xlnm.Print_Titles" localSheetId="4">'Exh JDT-5 (JDT-C&amp;I-RD)'!$1:$8</definedName>
    <definedName name="_xlnm.Print_Titles" localSheetId="5">'Exh JDT-5 (JDT-INTRPL-RD)'!$1:$8</definedName>
    <definedName name="_xlnm.Print_Titles" localSheetId="6">'Exh JDT-5 (JDT-MYRP)'!$B:$B,'Exh JDT-5 (JDT-MYRP)'!$1:$8</definedName>
    <definedName name="_xlnm.Print_Titles" localSheetId="7">'Exh JDT-5 (JDT-MYRP-SUM)'!$A:$B,'Exh JDT-5 (JDT-MYRP-SUM)'!$1:$8</definedName>
    <definedName name="_xlnm.Print_Titles" localSheetId="1">'Exh JDT-5 (JDT-Rate Spread)'!$1:$8</definedName>
    <definedName name="_xlnm.Print_Titles" localSheetId="2">'Exh JDT-5 (Rate Des Sum)'!$A:$C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4" l="1"/>
  <c r="C82" i="14"/>
  <c r="C20" i="23"/>
  <c r="C21" i="23" s="1"/>
  <c r="C22" i="23" s="1"/>
  <c r="C19" i="23"/>
  <c r="D18" i="23"/>
  <c r="C18" i="23"/>
  <c r="C17" i="23"/>
  <c r="D17" i="23"/>
  <c r="D19" i="23" s="1"/>
  <c r="D20" i="23"/>
  <c r="D21" i="23" s="1"/>
  <c r="D22" i="23" s="1"/>
  <c r="D23" i="23" l="1"/>
  <c r="D25" i="23" s="1"/>
  <c r="C23" i="23"/>
  <c r="C25" i="23" s="1"/>
  <c r="H222" i="8" l="1"/>
  <c r="D40" i="15"/>
  <c r="E40" i="15"/>
  <c r="F40" i="15"/>
  <c r="G40" i="15"/>
  <c r="H40" i="15"/>
  <c r="I40" i="15"/>
  <c r="J40" i="15"/>
  <c r="K40" i="15"/>
  <c r="L40" i="15"/>
  <c r="C40" i="15"/>
  <c r="O82" i="14"/>
  <c r="C81" i="14"/>
  <c r="O72" i="14"/>
  <c r="C68" i="14"/>
  <c r="O68" i="14" s="1"/>
  <c r="O73" i="14"/>
  <c r="O81" i="14"/>
  <c r="O69" i="14"/>
  <c r="K27" i="22" l="1"/>
  <c r="F27" i="22"/>
  <c r="H21" i="22"/>
  <c r="C21" i="22"/>
  <c r="C24" i="22" s="1"/>
  <c r="J20" i="22"/>
  <c r="E20" i="22"/>
  <c r="J19" i="22"/>
  <c r="E19" i="22"/>
  <c r="I18" i="22"/>
  <c r="J18" i="22" s="1"/>
  <c r="D18" i="22"/>
  <c r="E18" i="22" s="1"/>
  <c r="J17" i="22"/>
  <c r="I21" i="22"/>
  <c r="E17" i="22"/>
  <c r="D21" i="22"/>
  <c r="H14" i="22"/>
  <c r="H26" i="22" s="1"/>
  <c r="C14" i="22"/>
  <c r="C23" i="22" s="1"/>
  <c r="J13" i="22"/>
  <c r="E13" i="22"/>
  <c r="J12" i="22"/>
  <c r="E12" i="22"/>
  <c r="J11" i="22"/>
  <c r="E11" i="22"/>
  <c r="J10" i="22"/>
  <c r="E10" i="22"/>
  <c r="J9" i="22"/>
  <c r="E9" i="22"/>
  <c r="I14" i="22"/>
  <c r="D14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E21" i="22" l="1"/>
  <c r="H24" i="22"/>
  <c r="D23" i="22"/>
  <c r="E23" i="22" s="1"/>
  <c r="D26" i="22"/>
  <c r="I23" i="22"/>
  <c r="J23" i="22" s="1"/>
  <c r="I26" i="22"/>
  <c r="H27" i="22"/>
  <c r="H29" i="22" s="1"/>
  <c r="J21" i="22"/>
  <c r="H23" i="22"/>
  <c r="C26" i="22"/>
  <c r="C27" i="22" s="1"/>
  <c r="C29" i="22" s="1"/>
  <c r="J8" i="22"/>
  <c r="J14" i="22" s="1"/>
  <c r="E8" i="22"/>
  <c r="E14" i="22" s="1"/>
  <c r="I24" i="22" l="1"/>
  <c r="D24" i="22"/>
  <c r="I27" i="22"/>
  <c r="I29" i="22" s="1"/>
  <c r="K26" i="22"/>
  <c r="J24" i="22"/>
  <c r="J29" i="22" s="1"/>
  <c r="F14" i="22"/>
  <c r="K14" i="22"/>
  <c r="F26" i="22"/>
  <c r="D27" i="22"/>
  <c r="D29" i="22" s="1"/>
  <c r="E24" i="22"/>
  <c r="E29" i="22" s="1"/>
  <c r="K29" i="22" l="1"/>
  <c r="F29" i="22"/>
  <c r="H46" i="3" l="1"/>
  <c r="Q225" i="8"/>
  <c r="J225" i="8"/>
  <c r="A84" i="14" l="1"/>
  <c r="J39" i="8"/>
  <c r="J220" i="8" s="1"/>
  <c r="J63" i="8"/>
  <c r="J221" i="8" s="1"/>
  <c r="J101" i="8"/>
  <c r="J222" i="8" s="1"/>
  <c r="J138" i="8"/>
  <c r="J223" i="8" s="1"/>
  <c r="J173" i="8"/>
  <c r="J224" i="8" s="1"/>
  <c r="J10" i="8"/>
  <c r="J219" i="8" s="1"/>
  <c r="J226" i="8" l="1"/>
  <c r="C86" i="14"/>
  <c r="A54" i="14"/>
  <c r="A51" i="14"/>
  <c r="A52" i="14" s="1"/>
  <c r="G87" i="14" l="1"/>
  <c r="Q39" i="8" s="1"/>
  <c r="K87" i="14"/>
  <c r="Q173" i="8" s="1"/>
  <c r="H87" i="14"/>
  <c r="Q63" i="8" s="1"/>
  <c r="F87" i="14"/>
  <c r="Q10" i="8" s="1"/>
  <c r="L87" i="14"/>
  <c r="J87" i="14"/>
  <c r="Q138" i="8" s="1"/>
  <c r="I87" i="14"/>
  <c r="Q101" i="8" s="1"/>
  <c r="A55" i="14"/>
  <c r="A56" i="14"/>
  <c r="A57" i="14"/>
  <c r="Q219" i="8" l="1"/>
  <c r="Q222" i="8"/>
  <c r="Q221" i="8"/>
  <c r="Q223" i="8"/>
  <c r="Q224" i="8"/>
  <c r="Q220" i="8"/>
  <c r="A58" i="14"/>
  <c r="A59" i="14" s="1"/>
  <c r="H105" i="4"/>
  <c r="H22" i="3"/>
  <c r="F12" i="2" l="1"/>
  <c r="Q226" i="8"/>
  <c r="A60" i="14"/>
  <c r="E19" i="21"/>
  <c r="A62" i="14" l="1"/>
  <c r="B213" i="8"/>
  <c r="H58" i="3" l="1"/>
  <c r="C4" i="21" l="1"/>
  <c r="C3" i="21"/>
  <c r="C2" i="21"/>
  <c r="B3" i="17"/>
  <c r="B2" i="17"/>
  <c r="B1" i="17"/>
  <c r="B3" i="15"/>
  <c r="B2" i="15"/>
  <c r="B1" i="15"/>
  <c r="B3" i="8"/>
  <c r="B2" i="8"/>
  <c r="B1" i="8"/>
  <c r="B3" i="4"/>
  <c r="B2" i="4"/>
  <c r="B1" i="4"/>
  <c r="B3" i="3"/>
  <c r="B2" i="3"/>
  <c r="B1" i="3"/>
  <c r="B3" i="2"/>
  <c r="B2" i="2"/>
  <c r="B1" i="2"/>
  <c r="A3" i="20"/>
  <c r="A2" i="20"/>
  <c r="A1" i="20"/>
  <c r="B4" i="14"/>
  <c r="B2" i="14"/>
  <c r="B3" i="14"/>
  <c r="B5" i="2"/>
  <c r="I47" i="3" l="1"/>
  <c r="G9" i="20"/>
  <c r="D32" i="3" l="1"/>
  <c r="O45" i="20" l="1"/>
  <c r="L45" i="20"/>
  <c r="L38" i="20"/>
  <c r="O35" i="20"/>
  <c r="L35" i="20"/>
  <c r="L32" i="20"/>
  <c r="O28" i="20"/>
  <c r="L28" i="20"/>
  <c r="L24" i="20"/>
  <c r="O20" i="20"/>
  <c r="L11" i="20"/>
  <c r="L10" i="20"/>
  <c r="L9" i="20"/>
  <c r="L14" i="20"/>
  <c r="L13" i="20"/>
  <c r="R14" i="20"/>
  <c r="R13" i="20"/>
  <c r="R11" i="20"/>
  <c r="R10" i="20"/>
  <c r="R9" i="20"/>
  <c r="F11" i="20" l="1"/>
  <c r="B5" i="17" l="1"/>
  <c r="I13" i="17" l="1"/>
  <c r="I15" i="17" s="1"/>
  <c r="I17" i="17" s="1"/>
  <c r="I19" i="17" s="1"/>
  <c r="D71" i="14" l="1"/>
  <c r="D75" i="14"/>
  <c r="D79" i="14"/>
  <c r="D80" i="14"/>
  <c r="I35" i="15" l="1"/>
  <c r="S35" i="15" l="1"/>
  <c r="N35" i="15"/>
  <c r="B5" i="15" l="1"/>
  <c r="A11" i="15" l="1"/>
  <c r="A12" i="15" s="1"/>
  <c r="A13" i="15" s="1"/>
  <c r="A14" i="15" s="1"/>
  <c r="A15" i="15" s="1"/>
  <c r="A16" i="15" s="1"/>
  <c r="A17" i="15" s="1"/>
  <c r="A18" i="15" s="1"/>
  <c r="A20" i="15" s="1"/>
  <c r="A21" i="15" s="1"/>
  <c r="A22" i="15" s="1"/>
  <c r="D37" i="14" l="1"/>
  <c r="D62" i="14"/>
  <c r="A63" i="14"/>
  <c r="D63" i="14"/>
  <c r="A11" i="14"/>
  <c r="A18" i="14"/>
  <c r="A26" i="14"/>
  <c r="A28" i="14"/>
  <c r="A36" i="14"/>
  <c r="A66" i="14"/>
  <c r="A71" i="14"/>
  <c r="A75" i="14"/>
  <c r="A79" i="14"/>
  <c r="D11" i="14"/>
  <c r="D18" i="14"/>
  <c r="D19" i="14"/>
  <c r="D26" i="14"/>
  <c r="D28" i="14"/>
  <c r="D29" i="14"/>
  <c r="D36" i="14"/>
  <c r="D66" i="14"/>
  <c r="D67" i="14"/>
  <c r="A10" i="14"/>
  <c r="A12" i="14" l="1"/>
  <c r="D9" i="14"/>
  <c r="A13" i="14" l="1"/>
  <c r="A14" i="14" l="1"/>
  <c r="A15" i="14" l="1"/>
  <c r="A16" i="14" l="1"/>
  <c r="A17" i="14" l="1"/>
  <c r="A19" i="14" l="1"/>
  <c r="A20" i="14" l="1"/>
  <c r="A21" i="14" s="1"/>
  <c r="A22" i="14" s="1"/>
  <c r="A23" i="14" s="1"/>
  <c r="A24" i="14" l="1"/>
  <c r="A25" i="14" s="1"/>
  <c r="A27" i="14" l="1"/>
  <c r="A29" i="14" s="1"/>
  <c r="A30" i="14" s="1"/>
  <c r="A31" i="14" s="1"/>
  <c r="A32" i="14" s="1"/>
  <c r="A33" i="14" s="1"/>
  <c r="A34" i="14" s="1"/>
  <c r="A35" i="14" s="1"/>
  <c r="A37" i="14" l="1"/>
  <c r="A44" i="14" s="1"/>
  <c r="A45" i="14" s="1"/>
  <c r="A46" i="14" s="1"/>
  <c r="A47" i="14" s="1"/>
  <c r="A48" i="14" s="1"/>
  <c r="A49" i="14" s="1"/>
  <c r="A50" i="14" s="1"/>
  <c r="A64" i="14" l="1"/>
  <c r="A65" i="14" s="1"/>
  <c r="A67" i="14" s="1"/>
  <c r="A68" i="14" s="1"/>
  <c r="A69" i="14" s="1"/>
  <c r="A70" i="14" s="1"/>
  <c r="A72" i="14" s="1"/>
  <c r="A73" i="14" s="1"/>
  <c r="A74" i="14" s="1"/>
  <c r="A76" i="14" s="1"/>
  <c r="A77" i="14" s="1"/>
  <c r="A78" i="14" s="1"/>
  <c r="A80" i="14" s="1"/>
  <c r="A81" i="14" s="1"/>
  <c r="A82" i="14" s="1"/>
  <c r="A83" i="14" s="1"/>
  <c r="A85" i="14" s="1"/>
  <c r="A86" i="14" s="1"/>
  <c r="A87" i="14" s="1"/>
  <c r="B193" i="8" l="1"/>
  <c r="B170" i="8"/>
  <c r="B154" i="8"/>
  <c r="B135" i="8"/>
  <c r="B118" i="8"/>
  <c r="B50" i="8"/>
  <c r="B60" i="8"/>
  <c r="B81" i="8"/>
  <c r="B98" i="8"/>
  <c r="F125" i="8"/>
  <c r="M125" i="8"/>
  <c r="F147" i="8"/>
  <c r="M147" i="8"/>
  <c r="F182" i="8"/>
  <c r="M182" i="8"/>
  <c r="F200" i="8"/>
  <c r="M200" i="8"/>
  <c r="B36" i="8"/>
  <c r="B28" i="8"/>
  <c r="B20" i="8"/>
  <c r="P225" i="8" l="1"/>
  <c r="H225" i="8"/>
  <c r="I225" i="8"/>
  <c r="O225" i="8"/>
  <c r="E225" i="8"/>
  <c r="L225" i="8"/>
  <c r="L191" i="8"/>
  <c r="L181" i="8" s="1"/>
  <c r="E191" i="8"/>
  <c r="E181" i="8" s="1"/>
  <c r="L86" i="8"/>
  <c r="E70" i="8"/>
  <c r="E86" i="8"/>
  <c r="E47" i="8"/>
  <c r="L116" i="8"/>
  <c r="E152" i="8"/>
  <c r="L131" i="8"/>
  <c r="E93" i="8"/>
  <c r="E166" i="8"/>
  <c r="E116" i="8"/>
  <c r="L166" i="8"/>
  <c r="L152" i="8"/>
  <c r="E131" i="8"/>
  <c r="L209" i="8"/>
  <c r="E209" i="8"/>
  <c r="L70" i="8"/>
  <c r="L77" i="8"/>
  <c r="Q64" i="8" s="1"/>
  <c r="E77" i="8"/>
  <c r="J64" i="8" s="1"/>
  <c r="L93" i="8"/>
  <c r="L47" i="8"/>
  <c r="L109" i="8" l="1"/>
  <c r="Q102" i="8"/>
  <c r="Z18" i="20"/>
  <c r="Z16" i="20"/>
  <c r="Z17" i="20"/>
  <c r="L39" i="8"/>
  <c r="Q40" i="8"/>
  <c r="L146" i="8"/>
  <c r="L138" i="8" s="1"/>
  <c r="L223" i="8" s="1"/>
  <c r="Q139" i="8"/>
  <c r="Y16" i="20"/>
  <c r="Y17" i="20"/>
  <c r="Y18" i="20"/>
  <c r="E109" i="8"/>
  <c r="E101" i="8" s="1"/>
  <c r="E222" i="8" s="1"/>
  <c r="J102" i="8"/>
  <c r="E146" i="8"/>
  <c r="E138" i="8" s="1"/>
  <c r="E223" i="8" s="1"/>
  <c r="J139" i="8"/>
  <c r="E39" i="8"/>
  <c r="J40" i="8"/>
  <c r="E78" i="8"/>
  <c r="J80" i="8" s="1"/>
  <c r="E63" i="8"/>
  <c r="E221" i="8" s="1"/>
  <c r="L63" i="8"/>
  <c r="L221" i="8" s="1"/>
  <c r="L220" i="8"/>
  <c r="E220" i="8"/>
  <c r="E173" i="8"/>
  <c r="E224" i="8" s="1"/>
  <c r="L173" i="8"/>
  <c r="L224" i="8" s="1"/>
  <c r="L101" i="8"/>
  <c r="L222" i="8" s="1"/>
  <c r="L78" i="8"/>
  <c r="Q80" i="8" s="1"/>
  <c r="Z13" i="20" l="1"/>
  <c r="Q49" i="8"/>
  <c r="Q153" i="8"/>
  <c r="Z32" i="20"/>
  <c r="Z33" i="20"/>
  <c r="Z25" i="20"/>
  <c r="Q117" i="8"/>
  <c r="Z26" i="20"/>
  <c r="Z24" i="20"/>
  <c r="J153" i="8"/>
  <c r="Y33" i="20"/>
  <c r="Y32" i="20"/>
  <c r="J49" i="8"/>
  <c r="Y13" i="20"/>
  <c r="J117" i="8"/>
  <c r="Y26" i="20"/>
  <c r="Y24" i="20"/>
  <c r="Y25" i="20"/>
  <c r="D84" i="14"/>
  <c r="D92" i="14"/>
  <c r="L125" i="4" l="1"/>
  <c r="G35" i="20"/>
  <c r="D33" i="20"/>
  <c r="D32" i="20"/>
  <c r="P32" i="20"/>
  <c r="G32" i="20"/>
  <c r="G28" i="20"/>
  <c r="F110" i="8"/>
  <c r="E11" i="17"/>
  <c r="M32" i="20" l="1"/>
  <c r="H21" i="21"/>
  <c r="M24" i="20"/>
  <c r="G21" i="21"/>
  <c r="M13" i="20"/>
  <c r="E21" i="21"/>
  <c r="M16" i="20"/>
  <c r="F21" i="21"/>
  <c r="M38" i="20"/>
  <c r="I21" i="21"/>
  <c r="C24" i="8"/>
  <c r="F24" i="8" s="1"/>
  <c r="G10" i="20"/>
  <c r="C45" i="8"/>
  <c r="F45" i="8" s="1"/>
  <c r="G13" i="20"/>
  <c r="C75" i="8"/>
  <c r="D17" i="20"/>
  <c r="C87" i="8"/>
  <c r="P20" i="20"/>
  <c r="C128" i="8"/>
  <c r="M128" i="8" s="1"/>
  <c r="D28" i="20"/>
  <c r="C179" i="8"/>
  <c r="F179" i="8" s="1"/>
  <c r="G38" i="20"/>
  <c r="C186" i="8"/>
  <c r="M186" i="8" s="1"/>
  <c r="D39" i="20"/>
  <c r="C204" i="8"/>
  <c r="M204" i="8" s="1"/>
  <c r="D46" i="20"/>
  <c r="C208" i="8"/>
  <c r="D50" i="20"/>
  <c r="C55" i="8"/>
  <c r="D14" i="20"/>
  <c r="C69" i="8"/>
  <c r="M69" i="8" s="1"/>
  <c r="G16" i="20"/>
  <c r="C108" i="8"/>
  <c r="F108" i="8" s="1"/>
  <c r="P24" i="20"/>
  <c r="C115" i="8"/>
  <c r="M115" i="8" s="1"/>
  <c r="D26" i="20"/>
  <c r="C160" i="8"/>
  <c r="M160" i="8" s="1"/>
  <c r="P35" i="20"/>
  <c r="C198" i="8"/>
  <c r="F198" i="8" s="1"/>
  <c r="G45" i="20"/>
  <c r="C25" i="8"/>
  <c r="F25" i="8" s="1"/>
  <c r="D10" i="20"/>
  <c r="C46" i="8"/>
  <c r="D13" i="20"/>
  <c r="C70" i="8"/>
  <c r="M70" i="8" s="1"/>
  <c r="J16" i="20"/>
  <c r="C76" i="8"/>
  <c r="D18" i="20"/>
  <c r="C90" i="8"/>
  <c r="D20" i="20"/>
  <c r="C129" i="8"/>
  <c r="F129" i="8" s="1"/>
  <c r="D29" i="20"/>
  <c r="C180" i="8"/>
  <c r="F180" i="8" s="1"/>
  <c r="P38" i="20"/>
  <c r="C187" i="8"/>
  <c r="F187" i="8" s="1"/>
  <c r="D40" i="20"/>
  <c r="C205" i="8"/>
  <c r="D47" i="20"/>
  <c r="C107" i="8"/>
  <c r="G24" i="20"/>
  <c r="C199" i="8"/>
  <c r="M199" i="8" s="1"/>
  <c r="P45" i="20"/>
  <c r="C114" i="8"/>
  <c r="F114" i="8" s="1"/>
  <c r="D25" i="20"/>
  <c r="C32" i="8"/>
  <c r="G11" i="20"/>
  <c r="C71" i="8"/>
  <c r="P16" i="20"/>
  <c r="C91" i="8"/>
  <c r="D21" i="20"/>
  <c r="C130" i="8"/>
  <c r="D30" i="20"/>
  <c r="C164" i="8"/>
  <c r="D35" i="20"/>
  <c r="C188" i="8"/>
  <c r="D41" i="20"/>
  <c r="C206" i="8"/>
  <c r="M206" i="8" s="1"/>
  <c r="D48" i="20"/>
  <c r="C16" i="8"/>
  <c r="F16" i="8" s="1"/>
  <c r="H14" i="20"/>
  <c r="G14" i="20"/>
  <c r="C85" i="8"/>
  <c r="F85" i="8" s="1"/>
  <c r="H20" i="20"/>
  <c r="G20" i="20"/>
  <c r="C113" i="8"/>
  <c r="F113" i="8" s="1"/>
  <c r="D24" i="20"/>
  <c r="C124" i="8"/>
  <c r="P28" i="20"/>
  <c r="C190" i="8"/>
  <c r="M190" i="8" s="1"/>
  <c r="D43" i="20"/>
  <c r="C17" i="8"/>
  <c r="M17" i="8" s="1"/>
  <c r="D9" i="20"/>
  <c r="C74" i="8"/>
  <c r="D16" i="20"/>
  <c r="C86" i="8"/>
  <c r="J20" i="20"/>
  <c r="C92" i="8"/>
  <c r="D22" i="20"/>
  <c r="C165" i="8"/>
  <c r="D36" i="20"/>
  <c r="C185" i="8"/>
  <c r="F185" i="8" s="1"/>
  <c r="D38" i="20"/>
  <c r="C189" i="8"/>
  <c r="F189" i="8" s="1"/>
  <c r="D42" i="20"/>
  <c r="C203" i="8"/>
  <c r="D45" i="20"/>
  <c r="C207" i="8"/>
  <c r="F207" i="8" s="1"/>
  <c r="D49" i="20"/>
  <c r="C109" i="8"/>
  <c r="C47" i="8"/>
  <c r="M47" i="8" s="1"/>
  <c r="C78" i="8"/>
  <c r="C181" i="8"/>
  <c r="F204" i="8"/>
  <c r="H60" i="4"/>
  <c r="C145" i="8"/>
  <c r="H61" i="4"/>
  <c r="C146" i="8"/>
  <c r="H74" i="4"/>
  <c r="H35" i="20" s="1"/>
  <c r="I35" i="20" s="1"/>
  <c r="C159" i="8"/>
  <c r="M110" i="8"/>
  <c r="H28" i="4"/>
  <c r="H28" i="20" s="1"/>
  <c r="I28" i="20" s="1"/>
  <c r="C123" i="8"/>
  <c r="C54" i="8"/>
  <c r="C151" i="8"/>
  <c r="C150" i="8"/>
  <c r="H59" i="4"/>
  <c r="H32" i="20" s="1"/>
  <c r="I32" i="20" s="1"/>
  <c r="C144" i="8"/>
  <c r="J11" i="17"/>
  <c r="G11" i="17"/>
  <c r="D85" i="8"/>
  <c r="E10" i="8"/>
  <c r="J11" i="8" s="1"/>
  <c r="L10" i="8"/>
  <c r="L219" i="8" l="1"/>
  <c r="L226" i="8" s="1"/>
  <c r="L229" i="8" s="1"/>
  <c r="Q11" i="8"/>
  <c r="Y9" i="20"/>
  <c r="Y11" i="20"/>
  <c r="Y10" i="20"/>
  <c r="J19" i="8"/>
  <c r="J27" i="8"/>
  <c r="J35" i="8"/>
  <c r="N32" i="20"/>
  <c r="H23" i="21" s="1"/>
  <c r="H25" i="21" s="1"/>
  <c r="Q32" i="20"/>
  <c r="R32" i="20" s="1"/>
  <c r="M32" i="8"/>
  <c r="M34" i="8" s="1"/>
  <c r="F205" i="8"/>
  <c r="M107" i="8"/>
  <c r="M108" i="8"/>
  <c r="M24" i="8"/>
  <c r="F115" i="8"/>
  <c r="F128" i="8"/>
  <c r="M188" i="8"/>
  <c r="F188" i="8"/>
  <c r="F164" i="8"/>
  <c r="M129" i="8"/>
  <c r="F107" i="8"/>
  <c r="M46" i="8"/>
  <c r="M71" i="8"/>
  <c r="M92" i="8"/>
  <c r="M85" i="8"/>
  <c r="M75" i="8"/>
  <c r="F71" i="8"/>
  <c r="F46" i="8"/>
  <c r="F190" i="8"/>
  <c r="M187" i="8"/>
  <c r="F75" i="8"/>
  <c r="M164" i="8"/>
  <c r="F32" i="8"/>
  <c r="F34" i="8" s="1"/>
  <c r="F203" i="8"/>
  <c r="M205" i="8"/>
  <c r="F208" i="8"/>
  <c r="M203" i="8"/>
  <c r="F76" i="8"/>
  <c r="F92" i="8"/>
  <c r="F87" i="8"/>
  <c r="M87" i="8"/>
  <c r="F91" i="8"/>
  <c r="M91" i="8"/>
  <c r="D54" i="8"/>
  <c r="N54" i="8" s="1"/>
  <c r="M76" i="8"/>
  <c r="F70" i="8"/>
  <c r="M55" i="8"/>
  <c r="F199" i="8"/>
  <c r="I14" i="20"/>
  <c r="M179" i="8"/>
  <c r="F206" i="8"/>
  <c r="M180" i="8"/>
  <c r="F55" i="8"/>
  <c r="M198" i="8"/>
  <c r="M113" i="8"/>
  <c r="M130" i="8"/>
  <c r="F186" i="8"/>
  <c r="F17" i="8"/>
  <c r="F18" i="8" s="1"/>
  <c r="M165" i="8"/>
  <c r="F69" i="8"/>
  <c r="F165" i="8"/>
  <c r="F26" i="8"/>
  <c r="M181" i="8"/>
  <c r="F181" i="8"/>
  <c r="M78" i="8"/>
  <c r="M185" i="8"/>
  <c r="F78" i="8"/>
  <c r="F86" i="8"/>
  <c r="I20" i="20"/>
  <c r="M86" i="8"/>
  <c r="M189" i="8"/>
  <c r="M114" i="8"/>
  <c r="M45" i="8"/>
  <c r="M25" i="8"/>
  <c r="M16" i="8"/>
  <c r="M18" i="8" s="1"/>
  <c r="F130" i="8"/>
  <c r="M208" i="8"/>
  <c r="F160" i="8"/>
  <c r="F124" i="8"/>
  <c r="M124" i="8"/>
  <c r="M207" i="8"/>
  <c r="F47" i="8"/>
  <c r="F109" i="8"/>
  <c r="M109" i="8"/>
  <c r="E219" i="8"/>
  <c r="F54" i="8"/>
  <c r="M54" i="8"/>
  <c r="M159" i="8"/>
  <c r="F159" i="8"/>
  <c r="M123" i="8"/>
  <c r="F123" i="8"/>
  <c r="F146" i="8"/>
  <c r="M146" i="8"/>
  <c r="F145" i="8"/>
  <c r="M145" i="8"/>
  <c r="F151" i="8"/>
  <c r="M151" i="8"/>
  <c r="M144" i="8"/>
  <c r="F144" i="8"/>
  <c r="M150" i="8"/>
  <c r="F150" i="8"/>
  <c r="L11" i="17"/>
  <c r="M11" i="17" s="1"/>
  <c r="N85" i="8"/>
  <c r="G85" i="8"/>
  <c r="D37" i="2"/>
  <c r="Q19" i="8" l="1"/>
  <c r="Z11" i="20"/>
  <c r="Q35" i="8"/>
  <c r="Z9" i="20"/>
  <c r="Z10" i="20"/>
  <c r="Q27" i="8"/>
  <c r="O32" i="20"/>
  <c r="M26" i="8"/>
  <c r="M12" i="8" s="1"/>
  <c r="M48" i="8"/>
  <c r="E226" i="8"/>
  <c r="E229" i="8" s="1"/>
  <c r="F116" i="8"/>
  <c r="G54" i="8"/>
  <c r="F48" i="8"/>
  <c r="F191" i="8"/>
  <c r="F94" i="8"/>
  <c r="F96" i="8" s="1"/>
  <c r="F209" i="8"/>
  <c r="F211" i="8" s="1"/>
  <c r="M56" i="8"/>
  <c r="M58" i="8" s="1"/>
  <c r="F56" i="8"/>
  <c r="F58" i="8" s="1"/>
  <c r="F12" i="8"/>
  <c r="M79" i="8"/>
  <c r="M94" i="8"/>
  <c r="M96" i="8" s="1"/>
  <c r="M166" i="8"/>
  <c r="M168" i="8" s="1"/>
  <c r="M191" i="8"/>
  <c r="F79" i="8"/>
  <c r="F166" i="8"/>
  <c r="F168" i="8" s="1"/>
  <c r="M116" i="8"/>
  <c r="M209" i="8"/>
  <c r="M211" i="8" s="1"/>
  <c r="F131" i="8"/>
  <c r="F133" i="8" s="1"/>
  <c r="M131" i="8"/>
  <c r="M133" i="8" s="1"/>
  <c r="M152" i="8"/>
  <c r="F152" i="8"/>
  <c r="B5" i="8"/>
  <c r="M41" i="8" l="1"/>
  <c r="K11" i="15"/>
  <c r="F11" i="15"/>
  <c r="F103" i="8"/>
  <c r="F14" i="15" s="1"/>
  <c r="F41" i="8"/>
  <c r="F12" i="15" s="1"/>
  <c r="F175" i="8"/>
  <c r="F16" i="15" s="1"/>
  <c r="M140" i="8"/>
  <c r="K15" i="15" s="1"/>
  <c r="F65" i="8"/>
  <c r="F13" i="15" s="1"/>
  <c r="M65" i="8"/>
  <c r="K13" i="15" s="1"/>
  <c r="M175" i="8"/>
  <c r="K16" i="15" s="1"/>
  <c r="M103" i="8"/>
  <c r="K14" i="15" s="1"/>
  <c r="F140" i="8"/>
  <c r="F15" i="15" s="1"/>
  <c r="K12" i="15"/>
  <c r="D145" i="8"/>
  <c r="D159" i="8"/>
  <c r="F232" i="8" l="1"/>
  <c r="F234" i="8" s="1"/>
  <c r="M232" i="8"/>
  <c r="M234" i="8" s="1"/>
  <c r="F18" i="15"/>
  <c r="P18" i="15"/>
  <c r="K18" i="15"/>
  <c r="N159" i="8"/>
  <c r="G159" i="8"/>
  <c r="G145" i="8"/>
  <c r="N145" i="8"/>
  <c r="D123" i="8"/>
  <c r="D144" i="8"/>
  <c r="P30" i="15" l="1"/>
  <c r="P31" i="15" s="1"/>
  <c r="F30" i="15"/>
  <c r="K30" i="15"/>
  <c r="K31" i="15" s="1"/>
  <c r="G144" i="8"/>
  <c r="N144" i="8"/>
  <c r="G123" i="8"/>
  <c r="N123" i="8"/>
  <c r="D146" i="8" l="1"/>
  <c r="N146" i="8" l="1"/>
  <c r="G146" i="8"/>
  <c r="B5" i="4" l="1"/>
  <c r="B5" i="3"/>
  <c r="D152" i="4" l="1"/>
  <c r="D150" i="4"/>
  <c r="D148" i="4"/>
  <c r="F133" i="4"/>
  <c r="F132" i="4"/>
  <c r="F130" i="4"/>
  <c r="F129" i="4"/>
  <c r="F128" i="4"/>
  <c r="F124" i="4"/>
  <c r="F123" i="4"/>
  <c r="F114" i="4"/>
  <c r="F113" i="4"/>
  <c r="F112" i="4"/>
  <c r="D147" i="4"/>
  <c r="I107" i="4"/>
  <c r="K107" i="4" s="1"/>
  <c r="L107" i="4" s="1"/>
  <c r="F105" i="4"/>
  <c r="F80" i="4"/>
  <c r="I76" i="4"/>
  <c r="K76" i="4" s="1"/>
  <c r="L76" i="4" s="1"/>
  <c r="F75" i="4"/>
  <c r="D94" i="4"/>
  <c r="F91" i="4"/>
  <c r="H75" i="4"/>
  <c r="F60" i="4"/>
  <c r="D89" i="4"/>
  <c r="F35" i="4"/>
  <c r="F34" i="4"/>
  <c r="I30" i="4"/>
  <c r="K30" i="4" s="1"/>
  <c r="L30" i="4" s="1"/>
  <c r="F29" i="4"/>
  <c r="F28" i="4"/>
  <c r="F19" i="4"/>
  <c r="F18" i="4"/>
  <c r="I15" i="4"/>
  <c r="F46" i="4"/>
  <c r="F13" i="4"/>
  <c r="F12" i="4"/>
  <c r="F64" i="3"/>
  <c r="D66" i="3"/>
  <c r="D94" i="3" s="1"/>
  <c r="F60" i="3"/>
  <c r="D59" i="3"/>
  <c r="F58" i="3"/>
  <c r="F47" i="3"/>
  <c r="D93" i="3"/>
  <c r="F23" i="3"/>
  <c r="D14" i="3"/>
  <c r="D33" i="3" s="1"/>
  <c r="F12" i="3"/>
  <c r="F21" i="2"/>
  <c r="F20" i="2"/>
  <c r="F13" i="2"/>
  <c r="Q35" i="20" l="1"/>
  <c r="R35" i="20" s="1"/>
  <c r="E13" i="17"/>
  <c r="J13" i="17" s="1"/>
  <c r="D160" i="8"/>
  <c r="F80" i="3"/>
  <c r="I46" i="4"/>
  <c r="K46" i="4" s="1"/>
  <c r="L46" i="4" s="1"/>
  <c r="F14" i="3"/>
  <c r="F33" i="3" s="1"/>
  <c r="K15" i="4"/>
  <c r="L15" i="4" s="1"/>
  <c r="F44" i="4"/>
  <c r="F22" i="2"/>
  <c r="F24" i="2" s="1"/>
  <c r="F14" i="2"/>
  <c r="I22" i="3"/>
  <c r="F48" i="3"/>
  <c r="F28" i="2"/>
  <c r="F32" i="2" s="1"/>
  <c r="F59" i="3"/>
  <c r="D42" i="3"/>
  <c r="F41" i="3"/>
  <c r="F74" i="3" s="1"/>
  <c r="D31" i="3"/>
  <c r="F22" i="3"/>
  <c r="F24" i="3" s="1"/>
  <c r="F26" i="3" s="1"/>
  <c r="D80" i="3"/>
  <c r="F13" i="3"/>
  <c r="F32" i="3" s="1"/>
  <c r="D81" i="3"/>
  <c r="D49" i="4"/>
  <c r="F33" i="4"/>
  <c r="F49" i="4" s="1"/>
  <c r="D36" i="4"/>
  <c r="E15" i="17" s="1"/>
  <c r="D49" i="3"/>
  <c r="F19" i="21" s="1"/>
  <c r="F43" i="4"/>
  <c r="F50" i="4"/>
  <c r="F20" i="4"/>
  <c r="F51" i="4" s="1"/>
  <c r="I59" i="4"/>
  <c r="F74" i="4"/>
  <c r="I74" i="4"/>
  <c r="F43" i="3"/>
  <c r="F89" i="4"/>
  <c r="F104" i="4"/>
  <c r="I58" i="3"/>
  <c r="D43" i="4"/>
  <c r="D74" i="3"/>
  <c r="D75" i="3" s="1"/>
  <c r="D76" i="3"/>
  <c r="D79" i="3"/>
  <c r="D21" i="4"/>
  <c r="D51" i="4"/>
  <c r="D95" i="4"/>
  <c r="D96" i="4" s="1"/>
  <c r="D162" i="4" s="1"/>
  <c r="F66" i="4"/>
  <c r="F95" i="4" s="1"/>
  <c r="F65" i="3"/>
  <c r="D50" i="4"/>
  <c r="F59" i="4"/>
  <c r="D88" i="4"/>
  <c r="I75" i="4"/>
  <c r="K75" i="4" s="1"/>
  <c r="L75" i="4" s="1"/>
  <c r="I28" i="4"/>
  <c r="D44" i="4"/>
  <c r="I60" i="4"/>
  <c r="I62" i="4"/>
  <c r="F65" i="4"/>
  <c r="D67" i="4"/>
  <c r="F79" i="4"/>
  <c r="D81" i="4"/>
  <c r="E17" i="17" s="1"/>
  <c r="F142" i="4"/>
  <c r="D134" i="4"/>
  <c r="E19" i="17" s="1"/>
  <c r="D151" i="4"/>
  <c r="F110" i="4"/>
  <c r="F147" i="4" s="1"/>
  <c r="D116" i="4"/>
  <c r="I19" i="21" s="1"/>
  <c r="D149" i="4"/>
  <c r="F115" i="4"/>
  <c r="F152" i="4" s="1"/>
  <c r="D141" i="4"/>
  <c r="F144" i="4"/>
  <c r="I125" i="4"/>
  <c r="I144" i="4" s="1"/>
  <c r="F149" i="4"/>
  <c r="F151" i="4"/>
  <c r="F111" i="4"/>
  <c r="F148" i="4" s="1"/>
  <c r="F131" i="4"/>
  <c r="F150" i="4" s="1"/>
  <c r="D142" i="4"/>
  <c r="D14" i="4" l="1"/>
  <c r="G19" i="21"/>
  <c r="I61" i="4"/>
  <c r="H19" i="21"/>
  <c r="G13" i="17"/>
  <c r="L13" i="17" s="1"/>
  <c r="M13" i="17" s="1"/>
  <c r="D95" i="3"/>
  <c r="E21" i="17"/>
  <c r="N160" i="8"/>
  <c r="G160" i="8"/>
  <c r="J17" i="17"/>
  <c r="G17" i="17"/>
  <c r="J15" i="17"/>
  <c r="G15" i="17"/>
  <c r="J19" i="17"/>
  <c r="G19" i="17"/>
  <c r="F16" i="2"/>
  <c r="F37" i="2"/>
  <c r="F39" i="2" s="1"/>
  <c r="F76" i="3"/>
  <c r="D153" i="4"/>
  <c r="D163" i="4" s="1"/>
  <c r="F134" i="4"/>
  <c r="F136" i="4" s="1"/>
  <c r="F81" i="3"/>
  <c r="K62" i="4"/>
  <c r="L62" i="4" s="1"/>
  <c r="I91" i="4"/>
  <c r="K91" i="4" s="1"/>
  <c r="L91" i="4" s="1"/>
  <c r="K74" i="4"/>
  <c r="L74" i="4" s="1"/>
  <c r="K22" i="3"/>
  <c r="F15" i="3"/>
  <c r="F17" i="3" s="1"/>
  <c r="I89" i="4"/>
  <c r="K89" i="4" s="1"/>
  <c r="L89" i="4" s="1"/>
  <c r="K60" i="4"/>
  <c r="L60" i="4" s="1"/>
  <c r="F36" i="4"/>
  <c r="F38" i="4" s="1"/>
  <c r="F141" i="4"/>
  <c r="F81" i="4"/>
  <c r="F83" i="4" s="1"/>
  <c r="D50" i="3"/>
  <c r="D83" i="3" s="1"/>
  <c r="D52" i="4"/>
  <c r="D161" i="4" s="1"/>
  <c r="F31" i="3"/>
  <c r="K28" i="4"/>
  <c r="L28" i="4" s="1"/>
  <c r="D61" i="4"/>
  <c r="K58" i="3"/>
  <c r="L58" i="3" s="1"/>
  <c r="I88" i="4"/>
  <c r="K59" i="4"/>
  <c r="L59" i="4" s="1"/>
  <c r="K144" i="4"/>
  <c r="L144" i="4" s="1"/>
  <c r="D106" i="4"/>
  <c r="F94" i="4"/>
  <c r="F88" i="4"/>
  <c r="D82" i="3"/>
  <c r="F42" i="3"/>
  <c r="F75" i="3" s="1"/>
  <c r="D19" i="21" l="1"/>
  <c r="F34" i="3"/>
  <c r="F36" i="3" s="1"/>
  <c r="C12" i="15" s="1"/>
  <c r="D164" i="4"/>
  <c r="F61" i="4"/>
  <c r="K61" i="4" s="1"/>
  <c r="G21" i="17"/>
  <c r="L19" i="17"/>
  <c r="M19" i="17" s="1"/>
  <c r="J21" i="17"/>
  <c r="L17" i="17"/>
  <c r="M17" i="17" s="1"/>
  <c r="L15" i="17"/>
  <c r="M15" i="17" s="1"/>
  <c r="C11" i="15"/>
  <c r="L22" i="3"/>
  <c r="F67" i="3"/>
  <c r="F69" i="3" s="1"/>
  <c r="F106" i="4"/>
  <c r="D45" i="4"/>
  <c r="F14" i="4"/>
  <c r="I90" i="4"/>
  <c r="F50" i="3"/>
  <c r="F83" i="3" s="1"/>
  <c r="F84" i="3" s="1"/>
  <c r="D167" i="4"/>
  <c r="D169" i="4" s="1"/>
  <c r="D90" i="4"/>
  <c r="F93" i="3"/>
  <c r="K88" i="4"/>
  <c r="L88" i="4" s="1"/>
  <c r="L21" i="17" l="1"/>
  <c r="M21" i="17" s="1"/>
  <c r="F51" i="3"/>
  <c r="F94" i="3" s="1"/>
  <c r="F86" i="3"/>
  <c r="C13" i="15" s="1"/>
  <c r="F90" i="4"/>
  <c r="F96" i="4" s="1"/>
  <c r="F98" i="4" s="1"/>
  <c r="C15" i="15" s="1"/>
  <c r="F67" i="4"/>
  <c r="F45" i="4"/>
  <c r="F52" i="4" s="1"/>
  <c r="F54" i="4" s="1"/>
  <c r="C14" i="15" s="1"/>
  <c r="F21" i="4"/>
  <c r="F23" i="4" s="1"/>
  <c r="F143" i="4"/>
  <c r="F153" i="4" s="1"/>
  <c r="F155" i="4" s="1"/>
  <c r="C16" i="15" s="1"/>
  <c r="F116" i="4"/>
  <c r="C18" i="15" l="1"/>
  <c r="F20" i="15" s="1"/>
  <c r="L61" i="4"/>
  <c r="F118" i="4"/>
  <c r="F162" i="4"/>
  <c r="F69" i="4"/>
  <c r="F53" i="3"/>
  <c r="K90" i="4"/>
  <c r="F163" i="4"/>
  <c r="F161" i="4"/>
  <c r="L90" i="4" l="1"/>
  <c r="F95" i="3"/>
  <c r="F97" i="3" s="1"/>
  <c r="F164" i="4"/>
  <c r="F173" i="4" s="1"/>
  <c r="F167" i="4"/>
  <c r="K20" i="15" l="1"/>
  <c r="H64" i="3" l="1"/>
  <c r="K47" i="3" l="1"/>
  <c r="H42" i="3"/>
  <c r="D75" i="8"/>
  <c r="E17" i="20"/>
  <c r="F17" i="20" s="1"/>
  <c r="E21" i="20"/>
  <c r="F21" i="20" s="1"/>
  <c r="D91" i="8"/>
  <c r="I64" i="3"/>
  <c r="H63" i="3" l="1"/>
  <c r="D90" i="8" s="1"/>
  <c r="N75" i="8"/>
  <c r="G75" i="8"/>
  <c r="E16" i="20"/>
  <c r="F16" i="20" s="1"/>
  <c r="D74" i="8"/>
  <c r="I80" i="3"/>
  <c r="K64" i="3"/>
  <c r="N91" i="8"/>
  <c r="G91" i="8"/>
  <c r="L47" i="3"/>
  <c r="E20" i="20" l="1"/>
  <c r="F20" i="20" s="1"/>
  <c r="H59" i="3"/>
  <c r="I42" i="3"/>
  <c r="K16" i="20"/>
  <c r="L16" i="20" s="1"/>
  <c r="D70" i="8"/>
  <c r="L64" i="3"/>
  <c r="K80" i="3"/>
  <c r="N70" i="8" l="1"/>
  <c r="G70" i="8"/>
  <c r="K42" i="3"/>
  <c r="I59" i="3"/>
  <c r="D86" i="8"/>
  <c r="K20" i="20"/>
  <c r="L20" i="20" s="1"/>
  <c r="L80" i="3"/>
  <c r="N86" i="8" l="1"/>
  <c r="G86" i="8"/>
  <c r="I75" i="3"/>
  <c r="K59" i="3"/>
  <c r="L42" i="3"/>
  <c r="K75" i="3" l="1"/>
  <c r="L59" i="3"/>
  <c r="L75" i="3" l="1"/>
  <c r="D45" i="8" l="1"/>
  <c r="I12" i="3"/>
  <c r="H13" i="20"/>
  <c r="I13" i="20" s="1"/>
  <c r="K12" i="3" l="1"/>
  <c r="I31" i="3"/>
  <c r="G45" i="8"/>
  <c r="N45" i="8"/>
  <c r="D69" i="8"/>
  <c r="I41" i="3"/>
  <c r="H16" i="20"/>
  <c r="I16" i="20" s="1"/>
  <c r="D198" i="8" l="1"/>
  <c r="I123" i="4"/>
  <c r="H45" i="20"/>
  <c r="I45" i="20" s="1"/>
  <c r="K31" i="3"/>
  <c r="K41" i="3"/>
  <c r="I74" i="3"/>
  <c r="H124" i="4"/>
  <c r="I105" i="4"/>
  <c r="K105" i="4" s="1"/>
  <c r="L105" i="4" s="1"/>
  <c r="Q38" i="20"/>
  <c r="R38" i="20" s="1"/>
  <c r="D180" i="8"/>
  <c r="L12" i="3"/>
  <c r="G69" i="8"/>
  <c r="N69" i="8"/>
  <c r="I104" i="4"/>
  <c r="D179" i="8"/>
  <c r="H38" i="20"/>
  <c r="I38" i="20" s="1"/>
  <c r="H24" i="20"/>
  <c r="I24" i="20" s="1"/>
  <c r="D107" i="8"/>
  <c r="I12" i="4"/>
  <c r="K104" i="4" l="1"/>
  <c r="L104" i="4" s="1"/>
  <c r="N180" i="8"/>
  <c r="G180" i="8"/>
  <c r="L31" i="3"/>
  <c r="I43" i="4"/>
  <c r="K12" i="4"/>
  <c r="N107" i="8"/>
  <c r="G107" i="8"/>
  <c r="L41" i="3"/>
  <c r="K74" i="3"/>
  <c r="I141" i="4"/>
  <c r="K123" i="4"/>
  <c r="N179" i="8"/>
  <c r="G179" i="8"/>
  <c r="D199" i="8"/>
  <c r="I124" i="4"/>
  <c r="Q45" i="20"/>
  <c r="R45" i="20" s="1"/>
  <c r="N198" i="8"/>
  <c r="G198" i="8"/>
  <c r="G199" i="8" l="1"/>
  <c r="N199" i="8"/>
  <c r="L74" i="3"/>
  <c r="L12" i="4"/>
  <c r="L123" i="4"/>
  <c r="K43" i="4"/>
  <c r="K141" i="4"/>
  <c r="K124" i="4"/>
  <c r="L124" i="4" s="1"/>
  <c r="I142" i="4"/>
  <c r="K142" i="4" s="1"/>
  <c r="L142" i="4" s="1"/>
  <c r="L43" i="4" l="1"/>
  <c r="L141" i="4"/>
  <c r="H20" i="2" l="1"/>
  <c r="I12" i="2"/>
  <c r="D16" i="8"/>
  <c r="H9" i="20"/>
  <c r="I9" i="20" s="1"/>
  <c r="H10" i="20" l="1"/>
  <c r="I10" i="20" s="1"/>
  <c r="I20" i="2"/>
  <c r="D24" i="8"/>
  <c r="G16" i="8"/>
  <c r="N16" i="8"/>
  <c r="K12" i="2"/>
  <c r="L12" i="2" l="1"/>
  <c r="K20" i="2"/>
  <c r="N24" i="8"/>
  <c r="G24" i="8"/>
  <c r="L20" i="2" l="1"/>
  <c r="D83" i="14" l="1"/>
  <c r="S18" i="15" l="1"/>
  <c r="S36" i="15" s="1"/>
  <c r="S37" i="15" s="1"/>
  <c r="Q18" i="15" l="1"/>
  <c r="Q22" i="15" l="1"/>
  <c r="F31" i="15" l="1"/>
  <c r="H25" i="15" l="1"/>
  <c r="M25" i="15" l="1"/>
  <c r="R35" i="15" l="1"/>
  <c r="R18" i="15" l="1"/>
  <c r="S30" i="15" l="1"/>
  <c r="R36" i="15"/>
  <c r="R37" i="15" s="1"/>
  <c r="S31" i="15" l="1"/>
  <c r="F168" i="4" l="1"/>
  <c r="F169" i="4" s="1"/>
  <c r="F174" i="4" s="1"/>
  <c r="D13" i="14" l="1"/>
  <c r="D12" i="14" l="1"/>
  <c r="C15" i="14" l="1"/>
  <c r="C32" i="14" l="1"/>
  <c r="C48" i="14" s="1"/>
  <c r="I15" i="14" l="1"/>
  <c r="I27" i="14" s="1"/>
  <c r="H57" i="14"/>
  <c r="K15" i="14"/>
  <c r="K27" i="14" s="1"/>
  <c r="G57" i="14"/>
  <c r="L15" i="14"/>
  <c r="J15" i="14"/>
  <c r="J27" i="14" s="1"/>
  <c r="J57" i="14"/>
  <c r="H32" i="14"/>
  <c r="H48" i="14" s="1"/>
  <c r="L32" i="14"/>
  <c r="I32" i="14"/>
  <c r="I48" i="14" s="1"/>
  <c r="G32" i="14"/>
  <c r="G48" i="14" s="1"/>
  <c r="K32" i="14"/>
  <c r="K48" i="14" s="1"/>
  <c r="J32" i="14"/>
  <c r="J48" i="14" s="1"/>
  <c r="I57" i="14" l="1"/>
  <c r="H15" i="14"/>
  <c r="H27" i="14" s="1"/>
  <c r="G15" i="14"/>
  <c r="G27" i="14" s="1"/>
  <c r="K57" i="14"/>
  <c r="L57" i="14"/>
  <c r="F57" i="14"/>
  <c r="L48" i="14"/>
  <c r="C57" i="14" l="1"/>
  <c r="D14" i="14"/>
  <c r="F15" i="14"/>
  <c r="F27" i="14" s="1"/>
  <c r="C27" i="14" s="1"/>
  <c r="D15" i="14" l="1"/>
  <c r="F32" i="14"/>
  <c r="D22" i="14"/>
  <c r="D27" i="14"/>
  <c r="F48" i="14" l="1"/>
  <c r="D48" i="14" s="1"/>
  <c r="D32" i="14"/>
  <c r="D10" i="14" l="1"/>
  <c r="C16" i="14" l="1"/>
  <c r="C17" i="14" s="1"/>
  <c r="C52" i="14" s="1"/>
  <c r="C23" i="14"/>
  <c r="C34" i="14"/>
  <c r="C25" i="14" l="1"/>
  <c r="C24" i="14"/>
  <c r="C38" i="14"/>
  <c r="C30" i="14"/>
  <c r="C31" i="14" l="1"/>
  <c r="K40" i="14"/>
  <c r="K41" i="14" s="1"/>
  <c r="K46" i="14" s="1"/>
  <c r="K47" i="14" s="1"/>
  <c r="L40" i="14"/>
  <c r="G40" i="14"/>
  <c r="G41" i="14" s="1"/>
  <c r="G46" i="14" s="1"/>
  <c r="G47" i="14" s="1"/>
  <c r="H40" i="14"/>
  <c r="H41" i="14" s="1"/>
  <c r="H46" i="14" s="1"/>
  <c r="H47" i="14" s="1"/>
  <c r="F40" i="14"/>
  <c r="F41" i="14" s="1"/>
  <c r="J40" i="14"/>
  <c r="J41" i="14" s="1"/>
  <c r="J46" i="14" s="1"/>
  <c r="J47" i="14" s="1"/>
  <c r="I40" i="14"/>
  <c r="I41" i="14" s="1"/>
  <c r="I46" i="14" s="1"/>
  <c r="I47" i="14" s="1"/>
  <c r="J49" i="14" l="1"/>
  <c r="J50" i="14" s="1"/>
  <c r="J44" i="14" s="1"/>
  <c r="J45" i="14" s="1"/>
  <c r="K49" i="14"/>
  <c r="K50" i="14" s="1"/>
  <c r="K44" i="14" s="1"/>
  <c r="K45" i="14" s="1"/>
  <c r="C35" i="14"/>
  <c r="C33" i="14"/>
  <c r="H49" i="14"/>
  <c r="H50" i="14" s="1"/>
  <c r="H44" i="14" s="1"/>
  <c r="H45" i="14" s="1"/>
  <c r="I49" i="14"/>
  <c r="I50" i="14" s="1"/>
  <c r="I44" i="14" s="1"/>
  <c r="I45" i="14" s="1"/>
  <c r="G49" i="14"/>
  <c r="G50" i="14" s="1"/>
  <c r="G44" i="14" s="1"/>
  <c r="G45" i="14" s="1"/>
  <c r="F11" i="21" l="1"/>
  <c r="G11" i="21"/>
  <c r="F16" i="21" l="1"/>
  <c r="H11" i="21"/>
  <c r="E16" i="21"/>
  <c r="I11" i="21"/>
  <c r="H14" i="21"/>
  <c r="H16" i="21"/>
  <c r="I14" i="21"/>
  <c r="G14" i="21"/>
  <c r="G17" i="21" s="1"/>
  <c r="G16" i="21"/>
  <c r="F14" i="21"/>
  <c r="F17" i="21" s="1"/>
  <c r="H50" i="3" s="1"/>
  <c r="E14" i="21"/>
  <c r="D13" i="21" l="1"/>
  <c r="D14" i="21" s="1"/>
  <c r="H17" i="21"/>
  <c r="I17" i="21"/>
  <c r="I16" i="21"/>
  <c r="D16" i="21" s="1"/>
  <c r="N16" i="20"/>
  <c r="I50" i="3"/>
  <c r="D78" i="8"/>
  <c r="E11" i="21"/>
  <c r="E17" i="21" s="1"/>
  <c r="H14" i="3" s="1"/>
  <c r="D10" i="21"/>
  <c r="D11" i="21" s="1"/>
  <c r="D17" i="21" s="1"/>
  <c r="I14" i="3" l="1"/>
  <c r="N13" i="20"/>
  <c r="D47" i="8"/>
  <c r="F23" i="21"/>
  <c r="F25" i="21" s="1"/>
  <c r="O16" i="20"/>
  <c r="G78" i="8"/>
  <c r="N78" i="8"/>
  <c r="K50" i="3"/>
  <c r="L50" i="3" s="1"/>
  <c r="I83" i="3"/>
  <c r="K83" i="3" s="1"/>
  <c r="L83" i="3" s="1"/>
  <c r="G16" i="14" l="1"/>
  <c r="G17" i="14" s="1"/>
  <c r="G52" i="14" s="1"/>
  <c r="G23" i="14"/>
  <c r="G51" i="14"/>
  <c r="H16" i="14"/>
  <c r="H17" i="14" s="1"/>
  <c r="H52" i="14" s="1"/>
  <c r="H23" i="14"/>
  <c r="H51" i="14"/>
  <c r="L23" i="14"/>
  <c r="L16" i="14"/>
  <c r="L17" i="14" s="1"/>
  <c r="L52" i="14" s="1"/>
  <c r="G47" i="8"/>
  <c r="N47" i="8"/>
  <c r="I16" i="14"/>
  <c r="I17" i="14" s="1"/>
  <c r="I52" i="14" s="1"/>
  <c r="I23" i="14"/>
  <c r="I51" i="14"/>
  <c r="O13" i="20"/>
  <c r="E23" i="21"/>
  <c r="E25" i="21" s="1"/>
  <c r="K16" i="14"/>
  <c r="K17" i="14" s="1"/>
  <c r="K52" i="14" s="1"/>
  <c r="K23" i="14"/>
  <c r="K51" i="14"/>
  <c r="J16" i="14"/>
  <c r="J17" i="14" s="1"/>
  <c r="J52" i="14" s="1"/>
  <c r="J23" i="14"/>
  <c r="J51" i="14"/>
  <c r="I33" i="3"/>
  <c r="K33" i="3" s="1"/>
  <c r="L33" i="3" s="1"/>
  <c r="K14" i="3"/>
  <c r="L14" i="3" s="1"/>
  <c r="L24" i="14" l="1"/>
  <c r="L25" i="14"/>
  <c r="G24" i="14"/>
  <c r="G25" i="14"/>
  <c r="J25" i="14"/>
  <c r="J24" i="14"/>
  <c r="I24" i="14"/>
  <c r="I25" i="14"/>
  <c r="K25" i="14"/>
  <c r="K24" i="14"/>
  <c r="H25" i="14"/>
  <c r="H24" i="14"/>
  <c r="F16" i="14" l="1"/>
  <c r="F17" i="14" s="1"/>
  <c r="F52" i="14" s="1"/>
  <c r="F23" i="14"/>
  <c r="D21" i="14"/>
  <c r="F25" i="14" l="1"/>
  <c r="F24" i="14"/>
  <c r="D23" i="14"/>
  <c r="D20" i="14"/>
  <c r="P252" i="8"/>
  <c r="I252" i="8"/>
  <c r="L46" i="14" l="1"/>
  <c r="L55" i="14"/>
  <c r="C41" i="14"/>
  <c r="C42" i="14" s="1"/>
  <c r="F43" i="14" s="1"/>
  <c r="F46" i="14" s="1"/>
  <c r="L30" i="14"/>
  <c r="L31" i="14" l="1"/>
  <c r="I30" i="14"/>
  <c r="K30" i="14"/>
  <c r="H30" i="14"/>
  <c r="J30" i="14"/>
  <c r="F30" i="14"/>
  <c r="G30" i="14"/>
  <c r="F47" i="14"/>
  <c r="C46" i="14"/>
  <c r="L56" i="14"/>
  <c r="L17" i="15"/>
  <c r="G17" i="15"/>
  <c r="L47" i="14"/>
  <c r="K31" i="14" l="1"/>
  <c r="K55" i="14"/>
  <c r="F51" i="14"/>
  <c r="C47" i="14"/>
  <c r="F49" i="14"/>
  <c r="F50" i="14" s="1"/>
  <c r="F44" i="14" s="1"/>
  <c r="F45" i="14" s="1"/>
  <c r="L49" i="14"/>
  <c r="L50" i="14" s="1"/>
  <c r="L44" i="14" s="1"/>
  <c r="L45" i="14" s="1"/>
  <c r="L51" i="14"/>
  <c r="D30" i="14"/>
  <c r="F31" i="14"/>
  <c r="F55" i="14"/>
  <c r="I31" i="14"/>
  <c r="I55" i="14"/>
  <c r="H31" i="14"/>
  <c r="H55" i="14"/>
  <c r="G31" i="14"/>
  <c r="G55" i="14"/>
  <c r="L58" i="14"/>
  <c r="L59" i="14" s="1"/>
  <c r="L60" i="14"/>
  <c r="I168" i="4"/>
  <c r="D46" i="14"/>
  <c r="K173" i="4"/>
  <c r="J31" i="14"/>
  <c r="J55" i="14"/>
  <c r="L33" i="14"/>
  <c r="L34" i="14" s="1"/>
  <c r="L35" i="14"/>
  <c r="C55" i="14" l="1"/>
  <c r="F56" i="14"/>
  <c r="F64" i="14"/>
  <c r="K64" i="14"/>
  <c r="K56" i="14"/>
  <c r="J64" i="14"/>
  <c r="J56" i="14"/>
  <c r="H35" i="14"/>
  <c r="H33" i="14"/>
  <c r="H34" i="14" s="1"/>
  <c r="D31" i="14"/>
  <c r="F35" i="14"/>
  <c r="F33" i="14"/>
  <c r="K35" i="14"/>
  <c r="K33" i="14"/>
  <c r="K34" i="14" s="1"/>
  <c r="H64" i="14"/>
  <c r="H56" i="14"/>
  <c r="J35" i="14"/>
  <c r="J33" i="14"/>
  <c r="J34" i="14" s="1"/>
  <c r="C51" i="14"/>
  <c r="D47" i="14"/>
  <c r="C49" i="14"/>
  <c r="G64" i="14"/>
  <c r="G56" i="14"/>
  <c r="I64" i="14"/>
  <c r="I56" i="14"/>
  <c r="K168" i="4"/>
  <c r="L168" i="4" s="1"/>
  <c r="D17" i="15"/>
  <c r="G35" i="14"/>
  <c r="G33" i="14"/>
  <c r="G34" i="14" s="1"/>
  <c r="I35" i="14"/>
  <c r="I33" i="14"/>
  <c r="I34" i="14" s="1"/>
  <c r="D33" i="14" l="1"/>
  <c r="F34" i="14"/>
  <c r="D34" i="14" s="1"/>
  <c r="H60" i="14"/>
  <c r="O41" i="3"/>
  <c r="H58" i="14"/>
  <c r="H59" i="14" s="1"/>
  <c r="O45" i="3" s="1"/>
  <c r="G60" i="14"/>
  <c r="G58" i="14"/>
  <c r="G59" i="14" s="1"/>
  <c r="O16" i="3" s="1"/>
  <c r="O12" i="3"/>
  <c r="H13" i="3" s="1"/>
  <c r="K60" i="14"/>
  <c r="O104" i="4"/>
  <c r="K58" i="14"/>
  <c r="K59" i="14" s="1"/>
  <c r="O108" i="4" s="1"/>
  <c r="C64" i="14"/>
  <c r="D64" i="14" s="1"/>
  <c r="F60" i="14"/>
  <c r="C56" i="14"/>
  <c r="F58" i="14"/>
  <c r="N12" i="2"/>
  <c r="I60" i="14"/>
  <c r="O12" i="4"/>
  <c r="I58" i="14"/>
  <c r="I59" i="14" s="1"/>
  <c r="O16" i="4" s="1"/>
  <c r="D49" i="14"/>
  <c r="C50" i="14"/>
  <c r="D50" i="14" s="1"/>
  <c r="J60" i="14"/>
  <c r="J58" i="14"/>
  <c r="J59" i="14" s="1"/>
  <c r="O63" i="4" s="1"/>
  <c r="O59" i="4"/>
  <c r="O65" i="4" s="1"/>
  <c r="H48" i="3" l="1"/>
  <c r="H43" i="3"/>
  <c r="G65" i="14"/>
  <c r="G81" i="14" s="1"/>
  <c r="I39" i="8" s="1"/>
  <c r="H65" i="14"/>
  <c r="H81" i="14" s="1"/>
  <c r="I63" i="8" s="1"/>
  <c r="I65" i="14"/>
  <c r="F65" i="14"/>
  <c r="F81" i="14" s="1"/>
  <c r="E13" i="20"/>
  <c r="F13" i="20" s="1"/>
  <c r="H23" i="3"/>
  <c r="D46" i="8"/>
  <c r="I13" i="3"/>
  <c r="K65" i="14"/>
  <c r="H66" i="4"/>
  <c r="H65" i="4"/>
  <c r="C60" i="14"/>
  <c r="I173" i="4"/>
  <c r="F82" i="14"/>
  <c r="C58" i="14"/>
  <c r="C59" i="14" s="1"/>
  <c r="F59" i="14"/>
  <c r="J65" i="14"/>
  <c r="H82" i="14"/>
  <c r="P63" i="8" s="1"/>
  <c r="I81" i="14"/>
  <c r="I101" i="8" s="1"/>
  <c r="I82" i="14"/>
  <c r="P101" i="8" s="1"/>
  <c r="H20" i="4"/>
  <c r="H19" i="4"/>
  <c r="H14" i="4"/>
  <c r="H13" i="4"/>
  <c r="H106" i="4"/>
  <c r="O110" i="4"/>
  <c r="H115" i="4" s="1"/>
  <c r="G82" i="14" l="1"/>
  <c r="P39" i="8" s="1"/>
  <c r="N16" i="2"/>
  <c r="H28" i="2" s="1"/>
  <c r="D114" i="8"/>
  <c r="E25" i="20"/>
  <c r="F25" i="20" s="1"/>
  <c r="H34" i="4"/>
  <c r="I19" i="4"/>
  <c r="I10" i="8"/>
  <c r="E14" i="20"/>
  <c r="F14" i="20" s="1"/>
  <c r="I23" i="3"/>
  <c r="D55" i="8"/>
  <c r="E43" i="20"/>
  <c r="F43" i="20" s="1"/>
  <c r="I115" i="4"/>
  <c r="K115" i="4" s="1"/>
  <c r="L115" i="4" s="1"/>
  <c r="H133" i="4"/>
  <c r="D190" i="8"/>
  <c r="D115" i="8"/>
  <c r="H35" i="4"/>
  <c r="E26" i="20"/>
  <c r="F26" i="20" s="1"/>
  <c r="I20" i="4"/>
  <c r="I64" i="8"/>
  <c r="I221" i="8"/>
  <c r="P10" i="8"/>
  <c r="E32" i="20"/>
  <c r="F32" i="20" s="1"/>
  <c r="I65" i="4"/>
  <c r="H79" i="4"/>
  <c r="D150" i="8"/>
  <c r="K81" i="14"/>
  <c r="I173" i="8" s="1"/>
  <c r="K82" i="14"/>
  <c r="P173" i="8" s="1"/>
  <c r="D76" i="8"/>
  <c r="H65" i="3"/>
  <c r="E18" i="20"/>
  <c r="F18" i="20" s="1"/>
  <c r="I48" i="3"/>
  <c r="K48" i="3" s="1"/>
  <c r="L48" i="3" s="1"/>
  <c r="Q24" i="20"/>
  <c r="R24" i="20" s="1"/>
  <c r="I13" i="4"/>
  <c r="D108" i="8"/>
  <c r="H29" i="4"/>
  <c r="P222" i="8"/>
  <c r="P102" i="8"/>
  <c r="P220" i="8"/>
  <c r="P40" i="8"/>
  <c r="J82" i="14"/>
  <c r="P138" i="8" s="1"/>
  <c r="J81" i="14"/>
  <c r="I138" i="8" s="1"/>
  <c r="C65" i="14"/>
  <c r="D65" i="14" s="1"/>
  <c r="D151" i="8"/>
  <c r="E33" i="20"/>
  <c r="F33" i="20" s="1"/>
  <c r="H80" i="4"/>
  <c r="I66" i="4"/>
  <c r="K13" i="3"/>
  <c r="I32" i="3"/>
  <c r="I15" i="3"/>
  <c r="P221" i="8"/>
  <c r="P64" i="8"/>
  <c r="N38" i="20"/>
  <c r="I106" i="4"/>
  <c r="D181" i="8"/>
  <c r="Q16" i="20"/>
  <c r="R16" i="20" s="1"/>
  <c r="I43" i="3"/>
  <c r="H60" i="3"/>
  <c r="D71" i="8"/>
  <c r="D109" i="8"/>
  <c r="N24" i="20"/>
  <c r="I14" i="4"/>
  <c r="I222" i="8"/>
  <c r="I102" i="8"/>
  <c r="I40" i="8"/>
  <c r="I220" i="8"/>
  <c r="G46" i="8"/>
  <c r="G48" i="8" s="1"/>
  <c r="N46" i="8"/>
  <c r="N48" i="8" s="1"/>
  <c r="I219" i="8" l="1"/>
  <c r="I11" i="8"/>
  <c r="H11" i="20"/>
  <c r="I11" i="20" s="1"/>
  <c r="I28" i="2"/>
  <c r="I32" i="2" s="1"/>
  <c r="H13" i="2" s="1"/>
  <c r="D32" i="8"/>
  <c r="G32" i="8" s="1"/>
  <c r="G34" i="8" s="1"/>
  <c r="V29" i="20"/>
  <c r="I134" i="8"/>
  <c r="V26" i="20"/>
  <c r="V24" i="20"/>
  <c r="V28" i="20"/>
  <c r="V25" i="20"/>
  <c r="V30" i="20"/>
  <c r="I117" i="8"/>
  <c r="N109" i="8"/>
  <c r="G109" i="8"/>
  <c r="I60" i="3"/>
  <c r="Q20" i="20"/>
  <c r="R20" i="20" s="1"/>
  <c r="D87" i="8"/>
  <c r="G181" i="8"/>
  <c r="N181" i="8"/>
  <c r="I34" i="3"/>
  <c r="I36" i="3" s="1"/>
  <c r="K32" i="3"/>
  <c r="I223" i="8"/>
  <c r="I139" i="8"/>
  <c r="W25" i="20"/>
  <c r="W30" i="20"/>
  <c r="W26" i="20"/>
  <c r="P134" i="8"/>
  <c r="P117" i="8"/>
  <c r="W29" i="20"/>
  <c r="W24" i="20"/>
  <c r="W28" i="20"/>
  <c r="K13" i="4"/>
  <c r="P224" i="8"/>
  <c r="K65" i="4"/>
  <c r="I67" i="4"/>
  <c r="P219" i="8"/>
  <c r="P11" i="8"/>
  <c r="K20" i="4"/>
  <c r="L20" i="4" s="1"/>
  <c r="K43" i="3"/>
  <c r="I51" i="3"/>
  <c r="K106" i="4"/>
  <c r="L106" i="4" s="1"/>
  <c r="I143" i="4"/>
  <c r="L13" i="3"/>
  <c r="K15" i="3"/>
  <c r="N151" i="8"/>
  <c r="G151" i="8"/>
  <c r="K28" i="2"/>
  <c r="P223" i="8"/>
  <c r="P139" i="8"/>
  <c r="W14" i="20"/>
  <c r="P59" i="8"/>
  <c r="W13" i="20"/>
  <c r="P49" i="8"/>
  <c r="D92" i="8"/>
  <c r="E22" i="20"/>
  <c r="F22" i="20" s="1"/>
  <c r="I65" i="3"/>
  <c r="I224" i="8"/>
  <c r="D82" i="14"/>
  <c r="G190" i="8"/>
  <c r="N190" i="8"/>
  <c r="N55" i="8"/>
  <c r="N56" i="8" s="1"/>
  <c r="N58" i="8" s="1"/>
  <c r="G55" i="8"/>
  <c r="G56" i="8" s="1"/>
  <c r="G58" i="8" s="1"/>
  <c r="G41" i="8" s="1"/>
  <c r="G12" i="15" s="1"/>
  <c r="G114" i="8"/>
  <c r="N114" i="8"/>
  <c r="K66" i="4"/>
  <c r="L66" i="4" s="1"/>
  <c r="D130" i="8"/>
  <c r="I35" i="4"/>
  <c r="K35" i="4" s="1"/>
  <c r="L35" i="4" s="1"/>
  <c r="E30" i="20"/>
  <c r="F30" i="20" s="1"/>
  <c r="E50" i="20"/>
  <c r="F50" i="20" s="1"/>
  <c r="I133" i="4"/>
  <c r="D208" i="8"/>
  <c r="I24" i="3"/>
  <c r="I26" i="3" s="1"/>
  <c r="K23" i="3"/>
  <c r="D81" i="14"/>
  <c r="K19" i="4"/>
  <c r="L19" i="4" s="1"/>
  <c r="I45" i="4"/>
  <c r="K45" i="4" s="1"/>
  <c r="L45" i="4" s="1"/>
  <c r="K14" i="4"/>
  <c r="L14" i="4" s="1"/>
  <c r="O38" i="20"/>
  <c r="I23" i="21"/>
  <c r="I25" i="21" s="1"/>
  <c r="Q28" i="20"/>
  <c r="R28" i="20" s="1"/>
  <c r="I29" i="4"/>
  <c r="I44" i="4" s="1"/>
  <c r="D124" i="8"/>
  <c r="N76" i="8"/>
  <c r="G76" i="8"/>
  <c r="G150" i="8"/>
  <c r="N150" i="8"/>
  <c r="I59" i="8"/>
  <c r="V13" i="20"/>
  <c r="V14" i="20"/>
  <c r="I49" i="8"/>
  <c r="O24" i="20"/>
  <c r="G23" i="21"/>
  <c r="G25" i="21" s="1"/>
  <c r="N71" i="8"/>
  <c r="G71" i="8"/>
  <c r="W20" i="20"/>
  <c r="P97" i="8"/>
  <c r="W16" i="20"/>
  <c r="W21" i="20"/>
  <c r="W17" i="20"/>
  <c r="W18" i="20"/>
  <c r="W22" i="20"/>
  <c r="P80" i="8"/>
  <c r="I17" i="3"/>
  <c r="E36" i="20"/>
  <c r="F36" i="20" s="1"/>
  <c r="D165" i="8"/>
  <c r="I80" i="4"/>
  <c r="K80" i="4" s="1"/>
  <c r="L80" i="4" s="1"/>
  <c r="G108" i="8"/>
  <c r="N108" i="8"/>
  <c r="I79" i="4"/>
  <c r="I94" i="4" s="1"/>
  <c r="E35" i="20"/>
  <c r="F35" i="20" s="1"/>
  <c r="D164" i="8"/>
  <c r="V22" i="20"/>
  <c r="V20" i="20"/>
  <c r="I80" i="8"/>
  <c r="V16" i="20"/>
  <c r="I97" i="8"/>
  <c r="V21" i="20"/>
  <c r="V18" i="20"/>
  <c r="V17" i="20"/>
  <c r="G115" i="8"/>
  <c r="N115" i="8"/>
  <c r="D129" i="8"/>
  <c r="I34" i="4"/>
  <c r="K34" i="4" s="1"/>
  <c r="L34" i="4" s="1"/>
  <c r="E29" i="20"/>
  <c r="F29" i="20" s="1"/>
  <c r="I14" i="15" l="1"/>
  <c r="G152" i="8"/>
  <c r="N32" i="8"/>
  <c r="N34" i="8" s="1"/>
  <c r="N14" i="15"/>
  <c r="I226" i="8"/>
  <c r="P226" i="8"/>
  <c r="I13" i="15"/>
  <c r="N13" i="15"/>
  <c r="G79" i="8"/>
  <c r="I12" i="15"/>
  <c r="N152" i="8"/>
  <c r="I50" i="4"/>
  <c r="K50" i="4" s="1"/>
  <c r="L50" i="4" s="1"/>
  <c r="K44" i="4"/>
  <c r="K94" i="4"/>
  <c r="D12" i="15"/>
  <c r="O14" i="3"/>
  <c r="N79" i="8"/>
  <c r="N124" i="8"/>
  <c r="G124" i="8"/>
  <c r="N208" i="8"/>
  <c r="G208" i="8"/>
  <c r="I95" i="4"/>
  <c r="K95" i="4" s="1"/>
  <c r="L95" i="4" s="1"/>
  <c r="V10" i="20"/>
  <c r="I35" i="8"/>
  <c r="V9" i="20"/>
  <c r="V11" i="20"/>
  <c r="I27" i="8"/>
  <c r="I19" i="8"/>
  <c r="N92" i="8"/>
  <c r="G92" i="8"/>
  <c r="K32" i="2"/>
  <c r="L32" i="2" s="1"/>
  <c r="L28" i="2"/>
  <c r="I53" i="3"/>
  <c r="I51" i="4"/>
  <c r="K51" i="4" s="1"/>
  <c r="L51" i="4" s="1"/>
  <c r="I76" i="3"/>
  <c r="I67" i="3"/>
  <c r="I69" i="3" s="1"/>
  <c r="K60" i="3"/>
  <c r="G129" i="8"/>
  <c r="N129" i="8"/>
  <c r="G164" i="8"/>
  <c r="N164" i="8"/>
  <c r="N165" i="8"/>
  <c r="G165" i="8"/>
  <c r="E9" i="20"/>
  <c r="F9" i="20" s="1"/>
  <c r="H21" i="2"/>
  <c r="I13" i="2"/>
  <c r="D17" i="8"/>
  <c r="K29" i="4"/>
  <c r="I152" i="4"/>
  <c r="K152" i="4" s="1"/>
  <c r="L152" i="4" s="1"/>
  <c r="K133" i="4"/>
  <c r="L133" i="4" s="1"/>
  <c r="G130" i="8"/>
  <c r="N130" i="8"/>
  <c r="N12" i="15"/>
  <c r="W36" i="20"/>
  <c r="W35" i="20"/>
  <c r="P169" i="8"/>
  <c r="W33" i="20"/>
  <c r="W32" i="20"/>
  <c r="P153" i="8"/>
  <c r="K143" i="4"/>
  <c r="O109" i="4"/>
  <c r="L43" i="3"/>
  <c r="K51" i="3"/>
  <c r="I69" i="4"/>
  <c r="L13" i="4"/>
  <c r="K17" i="3"/>
  <c r="L17" i="3" s="1"/>
  <c r="L15" i="3"/>
  <c r="I81" i="4"/>
  <c r="I83" i="4" s="1"/>
  <c r="K79" i="4"/>
  <c r="I93" i="3"/>
  <c r="N41" i="8"/>
  <c r="L12" i="15" s="1"/>
  <c r="L23" i="3"/>
  <c r="K24" i="3"/>
  <c r="K65" i="3"/>
  <c r="I81" i="3"/>
  <c r="W11" i="20"/>
  <c r="W9" i="20"/>
  <c r="P27" i="8"/>
  <c r="P35" i="8"/>
  <c r="W10" i="20"/>
  <c r="P19" i="8"/>
  <c r="K67" i="4"/>
  <c r="L65" i="4"/>
  <c r="H18" i="4"/>
  <c r="V36" i="20"/>
  <c r="V33" i="20"/>
  <c r="V35" i="20"/>
  <c r="I169" i="8"/>
  <c r="V32" i="20"/>
  <c r="I153" i="8"/>
  <c r="L32" i="3"/>
  <c r="K34" i="3"/>
  <c r="G87" i="8"/>
  <c r="N87" i="8"/>
  <c r="N94" i="8" l="1"/>
  <c r="N96" i="8" s="1"/>
  <c r="I15" i="15"/>
  <c r="G94" i="8"/>
  <c r="G96" i="8" s="1"/>
  <c r="G65" i="8" s="1"/>
  <c r="G13" i="15" s="1"/>
  <c r="I11" i="15"/>
  <c r="N166" i="8"/>
  <c r="N168" i="8" s="1"/>
  <c r="N140" i="8" s="1"/>
  <c r="L15" i="15" s="1"/>
  <c r="I162" i="4"/>
  <c r="K162" i="4" s="1"/>
  <c r="L162" i="4" s="1"/>
  <c r="H114" i="4"/>
  <c r="H113" i="4"/>
  <c r="H110" i="4"/>
  <c r="H111" i="4"/>
  <c r="H112" i="4"/>
  <c r="L29" i="4"/>
  <c r="N17" i="8"/>
  <c r="N18" i="8" s="1"/>
  <c r="G17" i="8"/>
  <c r="G18" i="8" s="1"/>
  <c r="D25" i="8"/>
  <c r="L60" i="3"/>
  <c r="K76" i="3"/>
  <c r="K67" i="3"/>
  <c r="I96" i="4"/>
  <c r="I98" i="4" s="1"/>
  <c r="L67" i="4"/>
  <c r="K69" i="4"/>
  <c r="L69" i="4" s="1"/>
  <c r="L65" i="3"/>
  <c r="K81" i="3"/>
  <c r="L81" i="3" s="1"/>
  <c r="K13" i="2"/>
  <c r="I14" i="2"/>
  <c r="G166" i="8"/>
  <c r="G168" i="8" s="1"/>
  <c r="L94" i="4"/>
  <c r="K96" i="4"/>
  <c r="N11" i="15"/>
  <c r="K93" i="3"/>
  <c r="L51" i="3"/>
  <c r="K53" i="3"/>
  <c r="L53" i="3" s="1"/>
  <c r="L143" i="4"/>
  <c r="E10" i="20"/>
  <c r="F10" i="20" s="1"/>
  <c r="I21" i="2"/>
  <c r="I84" i="3"/>
  <c r="I86" i="3" s="1"/>
  <c r="I94" i="3"/>
  <c r="K94" i="3" s="1"/>
  <c r="L94" i="3" s="1"/>
  <c r="L44" i="4"/>
  <c r="L34" i="3"/>
  <c r="K36" i="3"/>
  <c r="L36" i="3" s="1"/>
  <c r="D113" i="8"/>
  <c r="E24" i="20"/>
  <c r="F24" i="20" s="1"/>
  <c r="H33" i="4"/>
  <c r="I18" i="4"/>
  <c r="L24" i="3"/>
  <c r="K26" i="3"/>
  <c r="L26" i="3" s="1"/>
  <c r="K81" i="4"/>
  <c r="L79" i="4"/>
  <c r="N15" i="15"/>
  <c r="N65" i="8"/>
  <c r="L13" i="15" s="1"/>
  <c r="K83" i="4" l="1"/>
  <c r="L83" i="4" s="1"/>
  <c r="L81" i="4"/>
  <c r="D128" i="8"/>
  <c r="E28" i="20"/>
  <c r="F28" i="20" s="1"/>
  <c r="I33" i="4"/>
  <c r="I95" i="3"/>
  <c r="L96" i="4"/>
  <c r="K98" i="4"/>
  <c r="L98" i="4" s="1"/>
  <c r="G140" i="8"/>
  <c r="G15" i="15" s="1"/>
  <c r="E38" i="20"/>
  <c r="F38" i="20" s="1"/>
  <c r="I110" i="4"/>
  <c r="D185" i="8"/>
  <c r="H128" i="4"/>
  <c r="O43" i="3"/>
  <c r="D13" i="15"/>
  <c r="L93" i="3"/>
  <c r="K95" i="3"/>
  <c r="L95" i="3" s="1"/>
  <c r="I16" i="2"/>
  <c r="L67" i="3"/>
  <c r="K69" i="3"/>
  <c r="L69" i="3" s="1"/>
  <c r="G25" i="8"/>
  <c r="G26" i="8" s="1"/>
  <c r="G12" i="8" s="1"/>
  <c r="N25" i="8"/>
  <c r="N26" i="8" s="1"/>
  <c r="I113" i="4"/>
  <c r="K113" i="4" s="1"/>
  <c r="L113" i="4" s="1"/>
  <c r="E41" i="20"/>
  <c r="F41" i="20" s="1"/>
  <c r="D188" i="8"/>
  <c r="H131" i="4"/>
  <c r="G113" i="8"/>
  <c r="G116" i="8" s="1"/>
  <c r="N113" i="8"/>
  <c r="N116" i="8" s="1"/>
  <c r="I22" i="2"/>
  <c r="I24" i="2" s="1"/>
  <c r="K21" i="2"/>
  <c r="L13" i="2"/>
  <c r="K14" i="2"/>
  <c r="L76" i="3"/>
  <c r="K84" i="3"/>
  <c r="I112" i="4"/>
  <c r="K112" i="4" s="1"/>
  <c r="L112" i="4" s="1"/>
  <c r="E40" i="20"/>
  <c r="F40" i="20" s="1"/>
  <c r="D187" i="8"/>
  <c r="H130" i="4"/>
  <c r="I114" i="4"/>
  <c r="K114" i="4" s="1"/>
  <c r="L114" i="4" s="1"/>
  <c r="E42" i="20"/>
  <c r="F42" i="20" s="1"/>
  <c r="H132" i="4"/>
  <c r="D189" i="8"/>
  <c r="K18" i="4"/>
  <c r="I49" i="4"/>
  <c r="I21" i="4"/>
  <c r="D15" i="15"/>
  <c r="O61" i="4"/>
  <c r="I111" i="4"/>
  <c r="K111" i="4" s="1"/>
  <c r="L111" i="4" s="1"/>
  <c r="E39" i="20"/>
  <c r="F39" i="20" s="1"/>
  <c r="H129" i="4"/>
  <c r="D186" i="8"/>
  <c r="I37" i="2" l="1"/>
  <c r="N14" i="2" s="1"/>
  <c r="K110" i="4"/>
  <c r="L110" i="4" s="1"/>
  <c r="I116" i="4"/>
  <c r="L18" i="4"/>
  <c r="K21" i="4"/>
  <c r="L21" i="2"/>
  <c r="K22" i="2"/>
  <c r="G189" i="8"/>
  <c r="N189" i="8"/>
  <c r="E47" i="20"/>
  <c r="F47" i="20" s="1"/>
  <c r="I130" i="4"/>
  <c r="D205" i="8"/>
  <c r="G11" i="15"/>
  <c r="L14" i="2"/>
  <c r="K16" i="2"/>
  <c r="L16" i="2" s="1"/>
  <c r="G188" i="8"/>
  <c r="N188" i="8"/>
  <c r="G128" i="8"/>
  <c r="G131" i="8" s="1"/>
  <c r="G133" i="8" s="1"/>
  <c r="G103" i="8" s="1"/>
  <c r="G14" i="15" s="1"/>
  <c r="N128" i="8"/>
  <c r="N131" i="8" s="1"/>
  <c r="N133" i="8" s="1"/>
  <c r="N103" i="8" s="1"/>
  <c r="L14" i="15" s="1"/>
  <c r="I23" i="4"/>
  <c r="N187" i="8"/>
  <c r="G187" i="8"/>
  <c r="E45" i="20"/>
  <c r="F45" i="20" s="1"/>
  <c r="D203" i="8"/>
  <c r="I128" i="4"/>
  <c r="E48" i="20"/>
  <c r="F48" i="20" s="1"/>
  <c r="I131" i="4"/>
  <c r="D206" i="8"/>
  <c r="N186" i="8"/>
  <c r="G186" i="8"/>
  <c r="N12" i="8"/>
  <c r="E49" i="20"/>
  <c r="F49" i="20" s="1"/>
  <c r="I132" i="4"/>
  <c r="D207" i="8"/>
  <c r="E46" i="20"/>
  <c r="F46" i="20" s="1"/>
  <c r="I129" i="4"/>
  <c r="D204" i="8"/>
  <c r="K49" i="4"/>
  <c r="I52" i="4"/>
  <c r="I54" i="4" s="1"/>
  <c r="K86" i="3"/>
  <c r="L86" i="3" s="1"/>
  <c r="L84" i="3"/>
  <c r="G185" i="8"/>
  <c r="N185" i="8"/>
  <c r="K33" i="4"/>
  <c r="I36" i="4"/>
  <c r="I38" i="4" s="1"/>
  <c r="Q174" i="8" l="1"/>
  <c r="Q175" i="8" s="1"/>
  <c r="Q190" i="8" s="1"/>
  <c r="J174" i="8"/>
  <c r="J175" i="8" s="1"/>
  <c r="J190" i="8" s="1"/>
  <c r="Y43" i="20" s="1"/>
  <c r="D11" i="15"/>
  <c r="K37" i="2"/>
  <c r="L37" i="2" s="1"/>
  <c r="L21" i="4"/>
  <c r="K23" i="4"/>
  <c r="L23" i="4" s="1"/>
  <c r="L11" i="15"/>
  <c r="L33" i="4"/>
  <c r="K36" i="4"/>
  <c r="L49" i="4"/>
  <c r="K52" i="4"/>
  <c r="N207" i="8"/>
  <c r="G207" i="8"/>
  <c r="I161" i="4"/>
  <c r="G205" i="8"/>
  <c r="N205" i="8"/>
  <c r="O14" i="4"/>
  <c r="D14" i="15"/>
  <c r="I150" i="4"/>
  <c r="K150" i="4" s="1"/>
  <c r="L150" i="4" s="1"/>
  <c r="K131" i="4"/>
  <c r="L131" i="4" s="1"/>
  <c r="N204" i="8"/>
  <c r="G204" i="8"/>
  <c r="K132" i="4"/>
  <c r="L132" i="4" s="1"/>
  <c r="I151" i="4"/>
  <c r="K151" i="4" s="1"/>
  <c r="L151" i="4" s="1"/>
  <c r="I134" i="4"/>
  <c r="I136" i="4" s="1"/>
  <c r="K128" i="4"/>
  <c r="I147" i="4"/>
  <c r="K130" i="4"/>
  <c r="L130" i="4" s="1"/>
  <c r="I149" i="4"/>
  <c r="K149" i="4" s="1"/>
  <c r="L149" i="4" s="1"/>
  <c r="K24" i="2"/>
  <c r="L24" i="2" s="1"/>
  <c r="L22" i="2"/>
  <c r="I118" i="4"/>
  <c r="K116" i="4"/>
  <c r="N191" i="8"/>
  <c r="G191" i="8"/>
  <c r="I148" i="4"/>
  <c r="K148" i="4" s="1"/>
  <c r="L148" i="4" s="1"/>
  <c r="K129" i="4"/>
  <c r="L129" i="4" s="1"/>
  <c r="G206" i="8"/>
  <c r="N206" i="8"/>
  <c r="N203" i="8"/>
  <c r="G203" i="8"/>
  <c r="I174" i="8" l="1"/>
  <c r="I175" i="8" s="1"/>
  <c r="Q176" i="8"/>
  <c r="Z43" i="20"/>
  <c r="I163" i="4"/>
  <c r="K163" i="4" s="1"/>
  <c r="L163" i="4" s="1"/>
  <c r="G209" i="8"/>
  <c r="G211" i="8" s="1"/>
  <c r="L36" i="4"/>
  <c r="K38" i="4"/>
  <c r="L38" i="4" s="1"/>
  <c r="N209" i="8"/>
  <c r="N211" i="8" s="1"/>
  <c r="N175" i="8" s="1"/>
  <c r="K147" i="4"/>
  <c r="I153" i="4"/>
  <c r="I155" i="4" s="1"/>
  <c r="L52" i="4"/>
  <c r="K54" i="4"/>
  <c r="L54" i="4" s="1"/>
  <c r="K161" i="4"/>
  <c r="P174" i="8"/>
  <c r="P175" i="8" s="1"/>
  <c r="L116" i="4"/>
  <c r="K118" i="4"/>
  <c r="L118" i="4" s="1"/>
  <c r="L128" i="4"/>
  <c r="K134" i="4"/>
  <c r="Q188" i="8" l="1"/>
  <c r="Z41" i="20" s="1"/>
  <c r="Q185" i="8"/>
  <c r="Q189" i="8"/>
  <c r="Z42" i="20" s="1"/>
  <c r="Q186" i="8"/>
  <c r="Z39" i="20" s="1"/>
  <c r="Q187" i="8"/>
  <c r="Z40" i="20" s="1"/>
  <c r="I164" i="4"/>
  <c r="L16" i="15"/>
  <c r="L18" i="15" s="1"/>
  <c r="N232" i="8"/>
  <c r="L134" i="4"/>
  <c r="K136" i="4"/>
  <c r="L136" i="4" s="1"/>
  <c r="D16" i="15"/>
  <c r="D18" i="15" s="1"/>
  <c r="O106" i="4"/>
  <c r="I167" i="4"/>
  <c r="P190" i="8"/>
  <c r="P208" i="8"/>
  <c r="W50" i="20" s="1"/>
  <c r="I190" i="8"/>
  <c r="I208" i="8"/>
  <c r="V50" i="20" s="1"/>
  <c r="L161" i="4"/>
  <c r="K164" i="4"/>
  <c r="L164" i="4" s="1"/>
  <c r="G175" i="8"/>
  <c r="L147" i="4"/>
  <c r="K153" i="4"/>
  <c r="Z38" i="20" l="1"/>
  <c r="Q192" i="8"/>
  <c r="G16" i="15"/>
  <c r="G18" i="15" s="1"/>
  <c r="G232" i="8"/>
  <c r="V43" i="20"/>
  <c r="I176" i="8"/>
  <c r="L153" i="4"/>
  <c r="K155" i="4"/>
  <c r="L155" i="4" s="1"/>
  <c r="L21" i="15"/>
  <c r="L22" i="15" s="1"/>
  <c r="I169" i="4"/>
  <c r="I174" i="4" s="1"/>
  <c r="K167" i="4"/>
  <c r="W43" i="20"/>
  <c r="P176" i="8"/>
  <c r="P187" i="8" l="1"/>
  <c r="W40" i="20" s="1"/>
  <c r="P188" i="8"/>
  <c r="W41" i="20" s="1"/>
  <c r="P189" i="8"/>
  <c r="W42" i="20" s="1"/>
  <c r="P186" i="8"/>
  <c r="W39" i="20" s="1"/>
  <c r="P185" i="8"/>
  <c r="P203" i="8"/>
  <c r="P205" i="8"/>
  <c r="W47" i="20" s="1"/>
  <c r="P207" i="8"/>
  <c r="W49" i="20" s="1"/>
  <c r="P204" i="8"/>
  <c r="W46" i="20" s="1"/>
  <c r="P206" i="8"/>
  <c r="W48" i="20" s="1"/>
  <c r="M26" i="15"/>
  <c r="C73" i="14"/>
  <c r="C74" i="14" s="1"/>
  <c r="O74" i="14" s="1"/>
  <c r="I187" i="8"/>
  <c r="V40" i="20" s="1"/>
  <c r="I188" i="8"/>
  <c r="V41" i="20" s="1"/>
  <c r="I186" i="8"/>
  <c r="V39" i="20" s="1"/>
  <c r="I189" i="8"/>
  <c r="V42" i="20" s="1"/>
  <c r="I185" i="8"/>
  <c r="I205" i="8"/>
  <c r="V47" i="20" s="1"/>
  <c r="I206" i="8"/>
  <c r="V48" i="20" s="1"/>
  <c r="I203" i="8"/>
  <c r="I207" i="8"/>
  <c r="V49" i="20" s="1"/>
  <c r="I204" i="8"/>
  <c r="V46" i="20" s="1"/>
  <c r="L167" i="4"/>
  <c r="K169" i="4"/>
  <c r="K174" i="4" s="1"/>
  <c r="G21" i="15"/>
  <c r="G22" i="15" s="1"/>
  <c r="I212" i="8" l="1"/>
  <c r="V45" i="20"/>
  <c r="L169" i="4"/>
  <c r="K74" i="14"/>
  <c r="O173" i="8" s="1"/>
  <c r="I74" i="14"/>
  <c r="O101" i="8" s="1"/>
  <c r="H74" i="14"/>
  <c r="O63" i="8" s="1"/>
  <c r="G74" i="14"/>
  <c r="O39" i="8" s="1"/>
  <c r="F74" i="14"/>
  <c r="O10" i="8" s="1"/>
  <c r="M35" i="15"/>
  <c r="J74" i="14"/>
  <c r="O138" i="8" s="1"/>
  <c r="P212" i="8"/>
  <c r="W45" i="20"/>
  <c r="H26" i="15"/>
  <c r="C69" i="14"/>
  <c r="C70" i="14" s="1"/>
  <c r="O70" i="14" s="1"/>
  <c r="V38" i="20"/>
  <c r="I192" i="8"/>
  <c r="W38" i="20"/>
  <c r="P192" i="8"/>
  <c r="I16" i="15" l="1"/>
  <c r="I18" i="15" s="1"/>
  <c r="I36" i="15" s="1"/>
  <c r="I37" i="15" s="1"/>
  <c r="N16" i="15"/>
  <c r="N18" i="15" s="1"/>
  <c r="O139" i="8"/>
  <c r="O223" i="8"/>
  <c r="K70" i="14"/>
  <c r="H173" i="8" s="1"/>
  <c r="H35" i="15"/>
  <c r="F70" i="14"/>
  <c r="H10" i="8" s="1"/>
  <c r="H70" i="14"/>
  <c r="H63" i="8" s="1"/>
  <c r="G70" i="14"/>
  <c r="H39" i="8" s="1"/>
  <c r="I70" i="14"/>
  <c r="H101" i="8" s="1"/>
  <c r="J70" i="14"/>
  <c r="H138" i="8" s="1"/>
  <c r="O221" i="8"/>
  <c r="O64" i="8"/>
  <c r="O222" i="8"/>
  <c r="O102" i="8"/>
  <c r="O219" i="8"/>
  <c r="O11" i="8"/>
  <c r="O224" i="8"/>
  <c r="O174" i="8"/>
  <c r="O175" i="8" s="1"/>
  <c r="O40" i="8"/>
  <c r="O220" i="8"/>
  <c r="D74" i="14"/>
  <c r="N36" i="15" l="1"/>
  <c r="N37" i="15" s="1"/>
  <c r="N40" i="15"/>
  <c r="O226" i="8"/>
  <c r="T21" i="20"/>
  <c r="T22" i="20"/>
  <c r="T18" i="20"/>
  <c r="T20" i="20"/>
  <c r="O97" i="8"/>
  <c r="P98" i="8" s="1"/>
  <c r="P245" i="8" s="1"/>
  <c r="O80" i="8"/>
  <c r="T16" i="20"/>
  <c r="T17" i="20"/>
  <c r="H40" i="8"/>
  <c r="H220" i="8"/>
  <c r="O190" i="8"/>
  <c r="O208" i="8"/>
  <c r="T50" i="20" s="1"/>
  <c r="T29" i="20"/>
  <c r="T26" i="20"/>
  <c r="O117" i="8"/>
  <c r="O134" i="8"/>
  <c r="P135" i="8" s="1"/>
  <c r="P247" i="8" s="1"/>
  <c r="T28" i="20"/>
  <c r="T25" i="20"/>
  <c r="T30" i="20"/>
  <c r="T24" i="20"/>
  <c r="H221" i="8"/>
  <c r="H64" i="8"/>
  <c r="H224" i="8"/>
  <c r="H174" i="8"/>
  <c r="H175" i="8" s="1"/>
  <c r="H139" i="8"/>
  <c r="H223" i="8"/>
  <c r="H219" i="8"/>
  <c r="H11" i="8"/>
  <c r="T14" i="20"/>
  <c r="O59" i="8"/>
  <c r="P60" i="8" s="1"/>
  <c r="P243" i="8" s="1"/>
  <c r="O49" i="8"/>
  <c r="T13" i="20"/>
  <c r="O27" i="8"/>
  <c r="P28" i="8" s="1"/>
  <c r="P240" i="8" s="1"/>
  <c r="T11" i="20"/>
  <c r="T10" i="20"/>
  <c r="T9" i="20"/>
  <c r="O35" i="8"/>
  <c r="P36" i="8" s="1"/>
  <c r="P241" i="8" s="1"/>
  <c r="O19" i="8"/>
  <c r="H102" i="8"/>
  <c r="D70" i="14"/>
  <c r="T32" i="20"/>
  <c r="T33" i="20"/>
  <c r="O169" i="8"/>
  <c r="P170" i="8" s="1"/>
  <c r="P249" i="8" s="1"/>
  <c r="T36" i="20"/>
  <c r="T35" i="20"/>
  <c r="O153" i="8"/>
  <c r="M12" i="15" l="1"/>
  <c r="P50" i="8"/>
  <c r="P242" i="8" s="1"/>
  <c r="S33" i="20"/>
  <c r="S35" i="20"/>
  <c r="H169" i="8"/>
  <c r="I170" i="8" s="1"/>
  <c r="I249" i="8" s="1"/>
  <c r="H153" i="8"/>
  <c r="S32" i="20"/>
  <c r="S36" i="20"/>
  <c r="S22" i="20"/>
  <c r="S20" i="20"/>
  <c r="S16" i="20"/>
  <c r="H97" i="8"/>
  <c r="I98" i="8" s="1"/>
  <c r="I245" i="8" s="1"/>
  <c r="S21" i="20"/>
  <c r="S18" i="20"/>
  <c r="S17" i="20"/>
  <c r="H80" i="8"/>
  <c r="S24" i="20"/>
  <c r="S25" i="20"/>
  <c r="S26" i="20"/>
  <c r="S29" i="20"/>
  <c r="S28" i="20"/>
  <c r="S30" i="20"/>
  <c r="H134" i="8"/>
  <c r="I135" i="8" s="1"/>
  <c r="I247" i="8" s="1"/>
  <c r="H117" i="8"/>
  <c r="S10" i="20"/>
  <c r="H35" i="8"/>
  <c r="I36" i="8" s="1"/>
  <c r="I241" i="8" s="1"/>
  <c r="S9" i="20"/>
  <c r="H27" i="8"/>
  <c r="I28" i="8" s="1"/>
  <c r="I240" i="8" s="1"/>
  <c r="H19" i="8"/>
  <c r="S11" i="20"/>
  <c r="H190" i="8"/>
  <c r="H208" i="8"/>
  <c r="S50" i="20" s="1"/>
  <c r="M13" i="15"/>
  <c r="P81" i="8"/>
  <c r="P244" i="8" s="1"/>
  <c r="M15" i="15"/>
  <c r="P154" i="8"/>
  <c r="P248" i="8" s="1"/>
  <c r="H49" i="8"/>
  <c r="H59" i="8"/>
  <c r="I60" i="8" s="1"/>
  <c r="I243" i="8" s="1"/>
  <c r="S14" i="20"/>
  <c r="S13" i="20"/>
  <c r="H226" i="8"/>
  <c r="M11" i="15"/>
  <c r="P20" i="8"/>
  <c r="P239" i="8" s="1"/>
  <c r="M14" i="15"/>
  <c r="P118" i="8"/>
  <c r="P246" i="8" s="1"/>
  <c r="T43" i="20"/>
  <c r="O176" i="8"/>
  <c r="H14" i="15" l="1"/>
  <c r="I118" i="8"/>
  <c r="I246" i="8" s="1"/>
  <c r="H13" i="15"/>
  <c r="I81" i="8"/>
  <c r="I244" i="8" s="1"/>
  <c r="O188" i="8"/>
  <c r="T41" i="20" s="1"/>
  <c r="O185" i="8"/>
  <c r="O186" i="8"/>
  <c r="T39" i="20" s="1"/>
  <c r="O189" i="8"/>
  <c r="T42" i="20" s="1"/>
  <c r="O187" i="8"/>
  <c r="T40" i="20" s="1"/>
  <c r="O205" i="8"/>
  <c r="T47" i="20" s="1"/>
  <c r="O203" i="8"/>
  <c r="O204" i="8"/>
  <c r="T46" i="20" s="1"/>
  <c r="O206" i="8"/>
  <c r="T48" i="20" s="1"/>
  <c r="O207" i="8"/>
  <c r="T49" i="20" s="1"/>
  <c r="S43" i="20"/>
  <c r="H176" i="8"/>
  <c r="H15" i="15"/>
  <c r="I154" i="8"/>
  <c r="I248" i="8" s="1"/>
  <c r="H12" i="15"/>
  <c r="I50" i="8"/>
  <c r="I242" i="8" s="1"/>
  <c r="H11" i="15"/>
  <c r="I20" i="8"/>
  <c r="I239" i="8" s="1"/>
  <c r="T45" i="20" l="1"/>
  <c r="O212" i="8"/>
  <c r="P213" i="8" s="1"/>
  <c r="P251" i="8" s="1"/>
  <c r="O192" i="8"/>
  <c r="T38" i="20"/>
  <c r="H188" i="8"/>
  <c r="S41" i="20" s="1"/>
  <c r="H186" i="8"/>
  <c r="S39" i="20" s="1"/>
  <c r="H187" i="8"/>
  <c r="S40" i="20" s="1"/>
  <c r="H189" i="8"/>
  <c r="S42" i="20" s="1"/>
  <c r="H185" i="8"/>
  <c r="H206" i="8"/>
  <c r="S48" i="20" s="1"/>
  <c r="H203" i="8"/>
  <c r="H205" i="8"/>
  <c r="S47" i="20" s="1"/>
  <c r="H207" i="8"/>
  <c r="S49" i="20" s="1"/>
  <c r="H204" i="8"/>
  <c r="S46" i="20" s="1"/>
  <c r="M16" i="15" l="1"/>
  <c r="M18" i="15" s="1"/>
  <c r="M40" i="15" s="1"/>
  <c r="P193" i="8"/>
  <c r="P250" i="8" s="1"/>
  <c r="P253" i="8" s="1"/>
  <c r="S45" i="20"/>
  <c r="H212" i="8"/>
  <c r="I213" i="8" s="1"/>
  <c r="I251" i="8" s="1"/>
  <c r="S38" i="20"/>
  <c r="H192" i="8"/>
  <c r="H16" i="15" l="1"/>
  <c r="H18" i="15" s="1"/>
  <c r="I30" i="15" s="1"/>
  <c r="I193" i="8"/>
  <c r="I250" i="8" s="1"/>
  <c r="I253" i="8" s="1"/>
  <c r="M36" i="15"/>
  <c r="M37" i="15" s="1"/>
  <c r="N30" i="15"/>
  <c r="P255" i="8" l="1"/>
  <c r="P256" i="8" s="1"/>
  <c r="N31" i="15"/>
  <c r="H36" i="15"/>
  <c r="H37" i="15" s="1"/>
  <c r="I255" i="8" l="1"/>
  <c r="I256" i="8" s="1"/>
  <c r="I31" i="15"/>
  <c r="J176" i="8"/>
  <c r="J186" i="8" l="1"/>
  <c r="Y39" i="20" s="1"/>
  <c r="J187" i="8"/>
  <c r="Y40" i="20" s="1"/>
  <c r="J188" i="8"/>
  <c r="Y41" i="20" s="1"/>
  <c r="J189" i="8"/>
  <c r="Y42" i="20" s="1"/>
  <c r="J185" i="8"/>
  <c r="Y38" i="20" s="1"/>
  <c r="J192" i="8" l="1"/>
</calcChain>
</file>

<file path=xl/sharedStrings.xml><?xml version="1.0" encoding="utf-8"?>
<sst xmlns="http://schemas.openxmlformats.org/spreadsheetml/2006/main" count="1069" uniqueCount="351">
  <si>
    <t>Puget Sound Energy</t>
  </si>
  <si>
    <t>Proposed</t>
  </si>
  <si>
    <t>Total</t>
  </si>
  <si>
    <t>Target</t>
  </si>
  <si>
    <t>Rates</t>
  </si>
  <si>
    <t>Contracts</t>
  </si>
  <si>
    <t>Increase</t>
  </si>
  <si>
    <t>Residential (16,23,53)</t>
  </si>
  <si>
    <t>Interruptible (85, 85T)</t>
  </si>
  <si>
    <t xml:space="preserve"> </t>
  </si>
  <si>
    <t xml:space="preserve">Billing </t>
  </si>
  <si>
    <t>Current</t>
  </si>
  <si>
    <t xml:space="preserve">Difference </t>
  </si>
  <si>
    <t>Description</t>
  </si>
  <si>
    <t>Units</t>
  </si>
  <si>
    <t>Determinants</t>
  </si>
  <si>
    <t>Revenues</t>
  </si>
  <si>
    <t>$</t>
  </si>
  <si>
    <t>%</t>
  </si>
  <si>
    <t>Schedule 23</t>
  </si>
  <si>
    <t>Basic Charge</t>
  </si>
  <si>
    <t>Bills</t>
  </si>
  <si>
    <t>Delivery Charge</t>
  </si>
  <si>
    <t>Therms</t>
  </si>
  <si>
    <t>over (under)</t>
  </si>
  <si>
    <t>Total Revenues</t>
  </si>
  <si>
    <t>Schedule 53</t>
  </si>
  <si>
    <t>Total Delivery Charges</t>
  </si>
  <si>
    <t>Schedule 16</t>
  </si>
  <si>
    <t>Total Delivery Charge</t>
  </si>
  <si>
    <t>Mantles</t>
  </si>
  <si>
    <t>Calculated Total Therms</t>
  </si>
  <si>
    <t>Residential Summary</t>
  </si>
  <si>
    <t>Change</t>
  </si>
  <si>
    <t>Schedule 31 - Sales</t>
  </si>
  <si>
    <t>TARGET 31/31T</t>
  </si>
  <si>
    <t>Procurement Charge</t>
  </si>
  <si>
    <t>Schedule 31 - Transportation</t>
  </si>
  <si>
    <t>Gas Balancing Service Charge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</si>
  <si>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</si>
  <si>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</si>
  <si>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</si>
  <si>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</si>
  <si>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</si>
  <si>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</si>
  <si>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</si>
  <si>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</si>
  <si>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</si>
  <si>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</si>
  <si>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</si>
  <si>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</si>
  <si>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41 - Transportation</t>
  </si>
  <si>
    <t>Schedule 41 - Total</t>
  </si>
  <si>
    <t>Commercial &amp; Industrial Summary</t>
  </si>
  <si>
    <t>Schedule 41, 41T</t>
  </si>
  <si>
    <t>Schedules 31, 31T</t>
  </si>
  <si>
    <t>Total Revenue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</si>
  <si>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</si>
  <si>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</si>
  <si>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</si>
  <si>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</si>
  <si>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</si>
  <si>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</si>
  <si>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</si>
  <si>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</si>
  <si>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</si>
  <si>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</si>
  <si>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</si>
  <si>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</si>
  <si>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</si>
  <si>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</si>
  <si>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</si>
  <si>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</si>
  <si>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</si>
  <si>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>Next 100,000 therms</t>
  </si>
  <si>
    <t>Next 300,000 therms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</si>
  <si>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</si>
  <si>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</si>
  <si>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</si>
  <si>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</si>
  <si>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</si>
  <si>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</si>
  <si>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</si>
  <si>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</si>
  <si>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</si>
  <si>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</si>
  <si>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Current and Proposed Rates by Rate Schedule (Schedules 16, 23 &amp; 53)</t>
  </si>
  <si>
    <t>(1) Schedule 101 rates in effective November 1, 2018</t>
  </si>
  <si>
    <t>Check</t>
  </si>
  <si>
    <t>Current and Proposed Rates by Rate Schedule (Schedules 31, 31T, 41 &amp; 41T)</t>
  </si>
  <si>
    <t>Current and Proposed Rates by Rate Schedule (Schedules 85, 85T, 86, 86T, 87 &amp; 87T)</t>
  </si>
  <si>
    <t>Delta</t>
  </si>
  <si>
    <t>Billing Determinants</t>
  </si>
  <si>
    <t>Proposed 2024 Rates</t>
  </si>
  <si>
    <t>Proposed 2025 Rates</t>
  </si>
  <si>
    <t>2022 Gas General Rate Case Filing</t>
  </si>
  <si>
    <t>Proposed Base Rates</t>
  </si>
  <si>
    <t>Backup</t>
  </si>
  <si>
    <t>Total Check</t>
  </si>
  <si>
    <t>Non-Refundable</t>
  </si>
  <si>
    <t>MYRP 2023 Increase</t>
  </si>
  <si>
    <t>MYRP 2024 Increase</t>
  </si>
  <si>
    <t>MYRP 2025 Increase</t>
  </si>
  <si>
    <t>Refundable</t>
  </si>
  <si>
    <t>Comm. &amp; Indus. (31,31T)</t>
  </si>
  <si>
    <t>Large Volume (41,41T)</t>
  </si>
  <si>
    <t>Limited Interruptible (86, 86T)</t>
  </si>
  <si>
    <t>Non-Exclusive Interruptible (87, 87T)</t>
  </si>
  <si>
    <t>Margin Adj. for Load</t>
  </si>
  <si>
    <t xml:space="preserve">MYRP 2023 Sch. 141N </t>
  </si>
  <si>
    <t>MYRP 2023 Sch. 141N  after Adj. for Load</t>
  </si>
  <si>
    <t>Sch 141N</t>
  </si>
  <si>
    <t>Sch 141R</t>
  </si>
  <si>
    <t>Subtotal Base Revenue</t>
  </si>
  <si>
    <t>141N/R Rate</t>
  </si>
  <si>
    <t>Proposed 2023 Rates</t>
  </si>
  <si>
    <t>Total Base Revenues</t>
  </si>
  <si>
    <t xml:space="preserve">MYRP 2024 Sch. 141N </t>
  </si>
  <si>
    <t>MYRP 2024 Sch. 141N  after Adj. for Load</t>
  </si>
  <si>
    <t xml:space="preserve">MYRP 2025 Sch. 141N </t>
  </si>
  <si>
    <t>MYRP 2025 Sch. 141N  after Adj. for Load</t>
  </si>
  <si>
    <t>Proposed Rates</t>
  </si>
  <si>
    <t>Multi-Year Rates (Schedules 16, 23 &amp; 53)</t>
  </si>
  <si>
    <t>Multi-Year Rates by Rate Schedule</t>
  </si>
  <si>
    <t>Multi-Year Rates (Schedules 87 &amp; 87T)</t>
  </si>
  <si>
    <t>Multi-Year Rates (Schedules 86 &amp; 86T)</t>
  </si>
  <si>
    <t>Revenue to Cost Ratio Under Current Rates</t>
  </si>
  <si>
    <t>Total Rate Margin at Equalized Rates of Return</t>
  </si>
  <si>
    <t>Margin Revenue at Equalized Rates of Return</t>
  </si>
  <si>
    <t>Percent Increase</t>
  </si>
  <si>
    <t xml:space="preserve">Parity Ratio </t>
  </si>
  <si>
    <t>Margin Increase/(Decrease)</t>
  </si>
  <si>
    <t>Miscellaneous Revenue Margin</t>
  </si>
  <si>
    <t>Total Rate Margin</t>
  </si>
  <si>
    <t>Total Margin at Equal Percentage Increase</t>
  </si>
  <si>
    <t>Gas Service Revenue - Sales</t>
  </si>
  <si>
    <t>Gas Service Revenue - Transport</t>
  </si>
  <si>
    <t>Other Revenues</t>
  </si>
  <si>
    <t>Total Rate Base</t>
  </si>
  <si>
    <t>Rate Spread and Schedule 141R and 141N Allocation</t>
  </si>
  <si>
    <t>Percent Increase xcld. Contracts</t>
  </si>
  <si>
    <t>Schedule 141R and 141N</t>
  </si>
  <si>
    <t>Current Total Margin Excluding Contracts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</si>
  <si>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</si>
  <si>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</si>
  <si>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</si>
  <si>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</si>
  <si>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</si>
  <si>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TARGET</t>
  </si>
  <si>
    <t>YE 2021</t>
  </si>
  <si>
    <t>Line 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</si>
  <si>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</si>
  <si>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</si>
  <si>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</si>
  <si>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</si>
  <si>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</si>
  <si>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</si>
  <si>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</si>
  <si>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</si>
  <si>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</si>
  <si>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</si>
  <si>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</si>
  <si>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</si>
  <si>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Proforma
Base 
</t>
  </si>
  <si>
    <t xml:space="preserve">Proposed
Base
</t>
  </si>
  <si>
    <t xml:space="preserve">Sch 141N
</t>
  </si>
  <si>
    <t xml:space="preserve">Sch 141R
</t>
  </si>
  <si>
    <t>Current Parity Ratio</t>
  </si>
  <si>
    <t xml:space="preserve">Proposed Parity Ratio </t>
  </si>
  <si>
    <t>Proposed Scenario C: Moderated based on Current Parity Ratio</t>
  </si>
  <si>
    <t xml:space="preserve">Current Parity Ratio </t>
  </si>
  <si>
    <t>Multi-Year Rate Projected Revenues</t>
  </si>
  <si>
    <t>Rate</t>
  </si>
  <si>
    <t>Current Base Rates</t>
  </si>
  <si>
    <t>Total Residential Base Revenues</t>
  </si>
  <si>
    <t>Current Rate</t>
  </si>
  <si>
    <t>Proposed Rate</t>
  </si>
  <si>
    <t>Current and Proposed Balancing Rates</t>
  </si>
  <si>
    <t>141 Totals</t>
  </si>
  <si>
    <t>Proforma $</t>
  </si>
  <si>
    <t>Current Rates</t>
  </si>
  <si>
    <t>Proposed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</si>
  <si>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</si>
  <si>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</si>
  <si>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</si>
  <si>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</si>
  <si>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</si>
  <si>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</si>
  <si>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</si>
  <si>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</si>
  <si>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</si>
  <si>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</si>
  <si>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</si>
  <si>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</si>
  <si>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Proposed Base</t>
  </si>
  <si>
    <t>Revenue Requirement (source)</t>
  </si>
  <si>
    <t>Sch 141 N (Non-refundable) Adjusted</t>
  </si>
  <si>
    <t>Sch 141 N (Non-refundable) Annual</t>
  </si>
  <si>
    <t>Sch 141 N (Non-refundable) Rolling</t>
  </si>
  <si>
    <t>Proforma Base - load adjusted</t>
  </si>
  <si>
    <t>Tie out</t>
  </si>
  <si>
    <t>Revenue Requirement Modeled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</si>
  <si>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</si>
  <si>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</si>
  <si>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</si>
  <si>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</si>
  <si>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</si>
  <si>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</si>
  <si>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</si>
  <si>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</si>
  <si>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</si>
  <si>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</si>
  <si>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% Change</t>
  </si>
  <si>
    <t>Current Procurement Charge</t>
  </si>
  <si>
    <t>Pro Forma Sales Therms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</si>
  <si>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</si>
  <si>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</si>
  <si>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</si>
  <si>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</si>
  <si>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</si>
  <si>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</si>
  <si>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</si>
  <si>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</si>
  <si>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</si>
  <si>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</si>
  <si>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</si>
  <si>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</si>
  <si>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</si>
  <si>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Proposed Procurement Charge</t>
  </si>
  <si>
    <t>Percentage Change</t>
  </si>
  <si>
    <t>Scenario A: Revenues at Equalized Rates of Return</t>
  </si>
  <si>
    <t>Scenario B: Equal Percentage Increase</t>
  </si>
  <si>
    <t>m</t>
  </si>
  <si>
    <t>n</t>
  </si>
  <si>
    <t>o</t>
  </si>
  <si>
    <t>Multi-Year Rates (Schedules 31 &amp; 31T)</t>
  </si>
  <si>
    <t>Multi-Year Rates (Schedules 41 &amp; 41T)</t>
  </si>
  <si>
    <t>Multi-Year Rates (Schedules 85 &amp; 85T)</t>
  </si>
  <si>
    <t>Total Schedule 87 - Transportation</t>
  </si>
  <si>
    <t>Rate Rounding Variance</t>
  </si>
  <si>
    <t>141 Totals Modeled</t>
  </si>
  <si>
    <t>141 Rate Rounding Variance</t>
  </si>
  <si>
    <t>Schedule 141N</t>
  </si>
  <si>
    <t>2023 Proposed</t>
  </si>
  <si>
    <t>2024 Proposed</t>
  </si>
  <si>
    <t>2025 Proposed</t>
  </si>
  <si>
    <t>Per Mantel</t>
  </si>
  <si>
    <t>Schedule 141R</t>
  </si>
  <si>
    <t>Per therm</t>
  </si>
  <si>
    <t>Pro-forma therms</t>
  </si>
  <si>
    <t>Pro-forma revenues</t>
  </si>
  <si>
    <t>Exh JDT-5 (JDT-Rate Spread)</t>
  </si>
  <si>
    <t>Exh JDT-5 (Rate Des Sum)</t>
  </si>
  <si>
    <t>Exh JDT-5 (JDT-RES_RD)</t>
  </si>
  <si>
    <t>Exh JDT-5 (JDT-C&amp;I-RD)</t>
  </si>
  <si>
    <t>Exh JDT-5 (JDT-INTRPL-RD)</t>
  </si>
  <si>
    <t>Exh JDT-5 (JDT-MYRP)</t>
  </si>
  <si>
    <t>Exh JDT-5 (JDT-MYRP-SUM)</t>
  </si>
  <si>
    <t>Exh JDT-5 (JDT-Balancing)</t>
  </si>
  <si>
    <t>Exh JDT-5 (JDT-Procmnt Chrg)</t>
  </si>
  <si>
    <t>Gas Rate Spread &amp; Design Work Paper</t>
  </si>
  <si>
    <t>Index</t>
  </si>
  <si>
    <t>Work Sheet</t>
  </si>
  <si>
    <t>Category</t>
  </si>
  <si>
    <t>Exhibit</t>
  </si>
  <si>
    <t>Allocation of deficiency and Sch. 141N &amp; 141R revenue requirement to rate classes</t>
  </si>
  <si>
    <t>Summary of rates by schedule</t>
  </si>
  <si>
    <t>Development of residential schedule base rates</t>
  </si>
  <si>
    <t>Development of commerical and industrial schedule base rates</t>
  </si>
  <si>
    <t>Development of interruptible schedule base rates</t>
  </si>
  <si>
    <t>Development of multi-year rate plan rates</t>
  </si>
  <si>
    <t>Summary of multi-year rate plan revenues</t>
  </si>
  <si>
    <t>Development of balancing rates</t>
  </si>
  <si>
    <t>Development of procurement charge rates</t>
  </si>
  <si>
    <t>Dependent (Linked) Work Papers</t>
  </si>
  <si>
    <t>Precedent (Linked) Work Papers</t>
  </si>
  <si>
    <t>JDT-3-GAS-NORMALIZED-REVENUES</t>
  </si>
  <si>
    <t>JDT-4-GCOS-MODEL-PSE</t>
  </si>
  <si>
    <t>JDT-5-GAS-RATE-DESIGN-SPEC-CONTRACT</t>
  </si>
  <si>
    <t>JDT-8-GAS-RESOURCE-ALLOC</t>
  </si>
  <si>
    <t>SEF-9G-GAS-REV-REQ-MODEL</t>
  </si>
  <si>
    <t>JDT-4-GCOS-MODEL-WAC</t>
  </si>
  <si>
    <t>JDT-6-GAS-BILL-IMPACTS</t>
  </si>
  <si>
    <t>JDT-7-GAS-DECOUPLING</t>
  </si>
  <si>
    <t>Total Margin</t>
  </si>
  <si>
    <t xml:space="preserve">Percent Increase </t>
  </si>
  <si>
    <t>Proposed Parity Ratio</t>
  </si>
  <si>
    <t>Base Deficiency Allocation</t>
  </si>
  <si>
    <t>Base Deficiency %</t>
  </si>
  <si>
    <t>% Margin</t>
  </si>
  <si>
    <t>Margin Increase:  Average of Scenario's B &amp; C</t>
  </si>
  <si>
    <t>Schedule 141D</t>
  </si>
  <si>
    <t>Note:  Amounts in bold and italics are different from the October 18, 2022 PSE Response to WUTC Bench Request 002.</t>
  </si>
  <si>
    <t>Settlement:</t>
  </si>
  <si>
    <t>Schedule 141R/N/D Revenue</t>
  </si>
  <si>
    <t>Sch 141D
(Sales Only)</t>
  </si>
  <si>
    <t>PSE's 2022 GRC</t>
  </si>
  <si>
    <t>Compliance Filing</t>
  </si>
  <si>
    <t>Difference</t>
  </si>
  <si>
    <t>ELECTRIC REVENUE REQUIREMENT</t>
  </si>
  <si>
    <t>GAS REVENUE REQUIREMENT</t>
  </si>
  <si>
    <t>SEF 23-24 Compliance</t>
  </si>
  <si>
    <t>2022 Year End</t>
  </si>
  <si>
    <t>Line</t>
  </si>
  <si>
    <t>STR</t>
  </si>
  <si>
    <t>Deficiency</t>
  </si>
  <si>
    <t>No.</t>
  </si>
  <si>
    <t>GAP Prov Adj</t>
  </si>
  <si>
    <t>GAP Actuals</t>
  </si>
  <si>
    <t>(Surplus)</t>
  </si>
  <si>
    <t>Rate Base Increase (Decrease):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</si>
  <si>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</si>
  <si>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</si>
  <si>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</si>
  <si>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</si>
  <si>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</si>
  <si>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</si>
  <si>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 xml:space="preserve">Total Inc (Dec) Rate Base </t>
  </si>
  <si>
    <t>Net Operating Income Increase (Decrease):</t>
  </si>
  <si>
    <t>Deprec and Amort Exp CWIP Closings</t>
  </si>
  <si>
    <t>FIT CWIP Closings</t>
  </si>
  <si>
    <t>Deprec and Amort Exp Retirements</t>
  </si>
  <si>
    <t>FIT/EDIT/FT Retirements</t>
  </si>
  <si>
    <t>Sub-Total Increase (Decrease) NOI</t>
  </si>
  <si>
    <t>Plus: Tax Benefit of Proforma Interest</t>
  </si>
  <si>
    <t>Total Increase (Decrease) NOI</t>
  </si>
  <si>
    <t>Plus: Return on Rate Base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</si>
  <si>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</si>
  <si>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</si>
  <si>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</si>
  <si>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</si>
  <si>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</si>
  <si>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</si>
  <si>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PSE's 2022 GRC Compliance Filing</t>
  </si>
  <si>
    <t xml:space="preserve">DETERMINATION OF DEFICIENCY ASSOCIATED WITH </t>
  </si>
  <si>
    <t xml:space="preserve">PROVISIONAL PROFORMA ADJUSTMENTS - FOR RATES </t>
  </si>
  <si>
    <t>SUBJECT TO REFUND</t>
  </si>
  <si>
    <t>NATURAL GAS</t>
  </si>
  <si>
    <t>LINE</t>
  </si>
  <si>
    <t>PLANT RELATED COSTS</t>
  </si>
  <si>
    <t>Rate Base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</si>
  <si>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</si>
  <si>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</si>
  <si>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</si>
  <si>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</si>
  <si>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</si>
  <si>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</si>
  <si>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Grossed Up Deficiency - Cumulative</t>
  </si>
  <si>
    <t>Grossed Up Deficiency -  In Rates</t>
  </si>
  <si>
    <t>Grossed Up Deficiency to be transferred from 141R to 141 N</t>
  </si>
  <si>
    <t>Check (S/B zero)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</si>
</sst>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&quot;$&quot;#,##0.00\ ;\(&quot;$&quot;#,##0.00\)"/>
    <numFmt numFmtId="168" formatCode="&quot;$&quot;#,##0\ ;\(&quot;$&quot;#,##0\)"/>
    <numFmt numFmtId="169" formatCode="&quot;$&quot;#,##0.00000\ ;\(&quot;$&quot;#,##0.00000\)"/>
    <numFmt numFmtId="170" formatCode="0.0000%"/>
    <numFmt numFmtId="171" formatCode="#,##0.00000"/>
    <numFmt numFmtId="172" formatCode="&quot;$&quot;#,##0.0000\ ;\(&quot;$&quot;#,##0.0000\)"/>
    <numFmt numFmtId="173" formatCode="#,##0.0"/>
    <numFmt numFmtId="174" formatCode="_(&quot;$&quot;* #,##0.00000_);_(&quot;$&quot;* \(#,##0.00000\);_(&quot;$&quot;* &quot;-&quot;??_);_(@_)"/>
    <numFmt numFmtId="175" formatCode="&quot;$&quot;#,##0"/>
    <numFmt numFmtId="176" formatCode="_(&quot;$&quot;* #,##0_);_(&quot;$&quot;* \(#,##0\);_(&quot;$&quot;* &quot;-&quot;??_);_(@_)"/>
    <numFmt numFmtId="177" formatCode="&quot;$&quot;#,##0.0000000_);[Red]\(&quot;$&quot;#,##0.0000000\)"/>
    <numFmt numFmtId="178" formatCode="&quot;$&quot;#,##0.0000_);[Red]\(&quot;$&quot;#,##0.0000\)"/>
    <numFmt numFmtId="179" formatCode="&quot;$&quot;#,##0.00000_);[Red]\(&quot;$&quot;#,##0.00000\)"/>
    <numFmt numFmtId="180" formatCode="&quot;$&quot;#,##0.00000000_);\(&quot;$&quot;#,##0.00000000\)"/>
    <numFmt numFmtId="181" formatCode="_(&quot;$&quot;* #,##0.0000_);_(&quot;$&quot;* \(#,##0.0000\);_(&quot;$&quot;* &quot;-&quot;??_);_(@_)"/>
    <numFmt numFmtId="182" formatCode="&quot;$&quot;#,##0.00000_);\(&quot;$&quot;#,##0.00000\)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2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4" fillId="0" borderId="0"/>
    <xf numFmtId="44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772">
    <xf numFmtId="0" fontId="0" fillId="0" borderId="0" xfId="0"/>
    <xf numFmtId="42" fontId="1" fillId="0" borderId="0" xfId="0" applyNumberFormat="1" applyFont="1"/>
    <xf numFmtId="168" fontId="1" fillId="0" borderId="0" xfId="0" applyNumberFormat="1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168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Continuous"/>
    </xf>
    <xf numFmtId="167" fontId="1" fillId="0" borderId="5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Protection="1">
      <protection locked="0"/>
    </xf>
    <xf numFmtId="0" fontId="1" fillId="0" borderId="12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168" fontId="2" fillId="0" borderId="0" xfId="0" applyNumberFormat="1" applyFont="1" applyBorder="1"/>
    <xf numFmtId="0" fontId="2" fillId="0" borderId="10" xfId="0" applyFont="1" applyFill="1" applyBorder="1"/>
    <xf numFmtId="0" fontId="2" fillId="0" borderId="0" xfId="0" applyFont="1" applyFill="1" applyBorder="1"/>
    <xf numFmtId="168" fontId="2" fillId="0" borderId="0" xfId="0" applyNumberFormat="1" applyFont="1" applyFill="1" applyBorder="1"/>
    <xf numFmtId="3" fontId="1" fillId="0" borderId="0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72" fontId="1" fillId="0" borderId="0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168" fontId="2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Continuous"/>
    </xf>
    <xf numFmtId="167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Alignment="1"/>
    <xf numFmtId="167" fontId="1" fillId="0" borderId="0" xfId="0" applyNumberFormat="1" applyFont="1" applyAlignment="1"/>
    <xf numFmtId="3" fontId="1" fillId="0" borderId="1" xfId="0" applyNumberFormat="1" applyFont="1" applyFill="1" applyBorder="1" applyAlignment="1"/>
    <xf numFmtId="0" fontId="1" fillId="0" borderId="0" xfId="0" applyFont="1" applyFill="1" applyAlignment="1"/>
    <xf numFmtId="164" fontId="1" fillId="0" borderId="0" xfId="0" applyNumberFormat="1" applyFont="1" applyAlignment="1"/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7" fontId="1" fillId="0" borderId="4" xfId="0" applyNumberFormat="1" applyFont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167" fontId="1" fillId="0" borderId="2" xfId="0" applyNumberFormat="1" applyFont="1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8" xfId="0" applyFont="1" applyBorder="1" applyProtection="1">
      <protection locked="0"/>
    </xf>
    <xf numFmtId="168" fontId="1" fillId="0" borderId="2" xfId="0" applyNumberFormat="1" applyFont="1" applyBorder="1"/>
    <xf numFmtId="0" fontId="1" fillId="0" borderId="2" xfId="0" applyFont="1" applyFill="1" applyBorder="1"/>
    <xf numFmtId="164" fontId="1" fillId="0" borderId="9" xfId="0" applyNumberFormat="1" applyFont="1" applyBorder="1"/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164" fontId="1" fillId="0" borderId="11" xfId="0" applyNumberFormat="1" applyFont="1" applyBorder="1"/>
    <xf numFmtId="168" fontId="4" fillId="0" borderId="13" xfId="0" applyNumberFormat="1" applyFont="1" applyFill="1" applyBorder="1" applyAlignment="1">
      <alignment horizontal="center"/>
    </xf>
    <xf numFmtId="0" fontId="1" fillId="0" borderId="0" xfId="0" applyFont="1" applyBorder="1"/>
    <xf numFmtId="168" fontId="1" fillId="0" borderId="13" xfId="0" applyNumberFormat="1" applyFont="1" applyBorder="1" applyAlignment="1">
      <alignment horizontal="center"/>
    </xf>
    <xf numFmtId="3" fontId="1" fillId="0" borderId="0" xfId="0" applyNumberFormat="1" applyFont="1" applyFill="1" applyBorder="1"/>
    <xf numFmtId="167" fontId="1" fillId="0" borderId="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center"/>
    </xf>
    <xf numFmtId="168" fontId="1" fillId="0" borderId="14" xfId="0" applyNumberFormat="1" applyFont="1" applyFill="1" applyBorder="1" applyAlignment="1">
      <alignment horizontal="center"/>
    </xf>
    <xf numFmtId="168" fontId="1" fillId="0" borderId="2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69" fontId="1" fillId="0" borderId="0" xfId="0" applyNumberFormat="1" applyFont="1" applyBorder="1"/>
    <xf numFmtId="173" fontId="1" fillId="0" borderId="0" xfId="0" applyNumberFormat="1" applyFont="1" applyFill="1" applyBorder="1"/>
    <xf numFmtId="0" fontId="1" fillId="0" borderId="6" xfId="0" applyFont="1" applyBorder="1"/>
    <xf numFmtId="0" fontId="1" fillId="0" borderId="1" xfId="0" applyFont="1" applyBorder="1" applyProtection="1">
      <protection locked="0"/>
    </xf>
    <xf numFmtId="167" fontId="1" fillId="0" borderId="1" xfId="0" applyNumberFormat="1" applyFont="1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/>
    <xf numFmtId="168" fontId="1" fillId="0" borderId="1" xfId="0" applyNumberFormat="1" applyFont="1" applyBorder="1"/>
    <xf numFmtId="164" fontId="1" fillId="0" borderId="7" xfId="0" applyNumberFormat="1" applyFont="1" applyBorder="1"/>
    <xf numFmtId="0" fontId="2" fillId="0" borderId="8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169" fontId="5" fillId="0" borderId="0" xfId="0" applyNumberFormat="1" applyFont="1" applyFill="1" applyBorder="1"/>
    <xf numFmtId="167" fontId="3" fillId="0" borderId="0" xfId="0" applyNumberFormat="1" applyFont="1" applyFill="1" applyBorder="1"/>
    <xf numFmtId="169" fontId="3" fillId="0" borderId="0" xfId="0" applyNumberFormat="1" applyFont="1" applyFill="1" applyBorder="1"/>
    <xf numFmtId="0" fontId="1" fillId="0" borderId="10" xfId="0" applyFont="1" applyFill="1" applyBorder="1"/>
    <xf numFmtId="3" fontId="1" fillId="0" borderId="0" xfId="0" applyNumberFormat="1" applyFont="1" applyFill="1" applyBorder="1" applyProtection="1">
      <protection locked="0"/>
    </xf>
    <xf numFmtId="168" fontId="1" fillId="0" borderId="13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75" fontId="1" fillId="0" borderId="0" xfId="0" applyNumberFormat="1" applyFont="1"/>
    <xf numFmtId="169" fontId="1" fillId="0" borderId="0" xfId="0" applyNumberFormat="1" applyFont="1" applyFill="1" applyBorder="1"/>
    <xf numFmtId="168" fontId="1" fillId="0" borderId="0" xfId="0" applyNumberFormat="1" applyFont="1" applyBorder="1"/>
    <xf numFmtId="164" fontId="1" fillId="0" borderId="11" xfId="0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168" fontId="1" fillId="0" borderId="2" xfId="0" applyNumberFormat="1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10" xfId="0" applyFont="1" applyBorder="1" applyProtection="1">
      <protection locked="0"/>
    </xf>
    <xf numFmtId="167" fontId="1" fillId="0" borderId="0" xfId="0" applyNumberFormat="1" applyFont="1" applyBorder="1"/>
    <xf numFmtId="0" fontId="1" fillId="0" borderId="6" xfId="0" applyFont="1" applyFill="1" applyBorder="1"/>
    <xf numFmtId="164" fontId="1" fillId="0" borderId="7" xfId="0" applyNumberFormat="1" applyFont="1" applyFill="1" applyBorder="1"/>
    <xf numFmtId="168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 applyProtection="1">
      <protection locked="0"/>
    </xf>
    <xf numFmtId="167" fontId="1" fillId="0" borderId="0" xfId="0" applyNumberFormat="1" applyFont="1" applyFill="1" applyBorder="1"/>
    <xf numFmtId="8" fontId="1" fillId="0" borderId="0" xfId="0" applyNumberFormat="1" applyFont="1" applyBorder="1"/>
    <xf numFmtId="0" fontId="1" fillId="0" borderId="10" xfId="0" applyFont="1" applyBorder="1"/>
    <xf numFmtId="0" fontId="1" fillId="0" borderId="1" xfId="0" applyFont="1" applyFill="1" applyBorder="1"/>
    <xf numFmtId="168" fontId="1" fillId="0" borderId="1" xfId="0" applyNumberFormat="1" applyFont="1" applyFill="1" applyBorder="1"/>
    <xf numFmtId="168" fontId="1" fillId="0" borderId="0" xfId="0" applyNumberFormat="1" applyFont="1" applyFill="1" applyBorder="1"/>
    <xf numFmtId="168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169" fontId="1" fillId="0" borderId="0" xfId="0" applyNumberFormat="1" applyFont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175" fontId="1" fillId="0" borderId="0" xfId="0" applyNumberFormat="1" applyFont="1" applyFill="1"/>
    <xf numFmtId="165" fontId="1" fillId="0" borderId="0" xfId="0" applyNumberFormat="1" applyFont="1"/>
    <xf numFmtId="0" fontId="1" fillId="0" borderId="0" xfId="0" applyFont="1"/>
    <xf numFmtId="175" fontId="1" fillId="0" borderId="0" xfId="0" applyNumberFormat="1" applyFont="1" applyBorder="1"/>
    <xf numFmtId="175" fontId="1" fillId="0" borderId="0" xfId="0" applyNumberFormat="1" applyFont="1" applyAlignment="1">
      <alignment horizontal="left"/>
    </xf>
    <xf numFmtId="175" fontId="1" fillId="0" borderId="2" xfId="0" applyNumberFormat="1" applyFont="1" applyBorder="1"/>
    <xf numFmtId="169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7" fontId="1" fillId="0" borderId="0" xfId="0" applyNumberFormat="1" applyFont="1" applyFill="1" applyAlignment="1">
      <alignment horizontal="centerContinuous"/>
    </xf>
    <xf numFmtId="0" fontId="6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0" xfId="0" applyFont="1" applyBorder="1" applyProtection="1">
      <protection locked="0"/>
    </xf>
    <xf numFmtId="165" fontId="1" fillId="0" borderId="0" xfId="0" applyNumberFormat="1" applyFont="1" applyBorder="1" applyAlignment="1">
      <alignment horizontal="left"/>
    </xf>
    <xf numFmtId="168" fontId="1" fillId="0" borderId="14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9" fontId="3" fillId="0" borderId="0" xfId="0" applyNumberFormat="1" applyFont="1" applyFill="1" applyBorder="1"/>
    <xf numFmtId="169" fontId="1" fillId="0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1" xfId="0" applyFont="1" applyBorder="1"/>
    <xf numFmtId="3" fontId="1" fillId="0" borderId="1" xfId="0" applyNumberFormat="1" applyFont="1" applyFill="1" applyBorder="1"/>
    <xf numFmtId="169" fontId="1" fillId="0" borderId="1" xfId="0" applyNumberFormat="1" applyFont="1" applyBorder="1"/>
    <xf numFmtId="167" fontId="1" fillId="0" borderId="1" xfId="0" applyNumberFormat="1" applyFont="1" applyFill="1" applyBorder="1"/>
    <xf numFmtId="167" fontId="1" fillId="0" borderId="1" xfId="0" applyNumberFormat="1" applyFont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68" fontId="1" fillId="0" borderId="0" xfId="0" applyNumberFormat="1" applyFont="1" applyBorder="1" applyAlignment="1">
      <alignment horizontal="right"/>
    </xf>
    <xf numFmtId="168" fontId="1" fillId="0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8" fontId="1" fillId="0" borderId="2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9" fontId="1" fillId="0" borderId="1" xfId="0" applyNumberFormat="1" applyFont="1" applyFill="1" applyBorder="1"/>
    <xf numFmtId="168" fontId="1" fillId="0" borderId="1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9" fontId="1" fillId="0" borderId="0" xfId="0" applyNumberFormat="1" applyFont="1" applyBorder="1" applyAlignment="1">
      <alignment horizontal="center"/>
    </xf>
    <xf numFmtId="169" fontId="1" fillId="0" borderId="1" xfId="0" applyNumberFormat="1" applyFont="1" applyFill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2" xfId="0" applyNumberFormat="1" applyFont="1" applyFill="1" applyBorder="1"/>
    <xf numFmtId="164" fontId="1" fillId="0" borderId="0" xfId="0" applyNumberFormat="1" applyFont="1" applyBorder="1"/>
    <xf numFmtId="170" fontId="3" fillId="0" borderId="0" xfId="0" applyNumberFormat="1" applyFont="1" applyFill="1" applyBorder="1"/>
    <xf numFmtId="164" fontId="1" fillId="0" borderId="11" xfId="0" applyNumberFormat="1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right"/>
    </xf>
    <xf numFmtId="167" fontId="1" fillId="0" borderId="1" xfId="0" applyNumberFormat="1" applyFont="1" applyBorder="1"/>
    <xf numFmtId="5" fontId="1" fillId="0" borderId="0" xfId="0" applyNumberFormat="1" applyFont="1" applyBorder="1"/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65" fontId="1" fillId="0" borderId="0" xfId="0" applyNumberFormat="1" applyFont="1" applyAlignment="1">
      <alignment horizontal="right"/>
    </xf>
    <xf numFmtId="167" fontId="1" fillId="0" borderId="0" xfId="0" applyNumberFormat="1" applyFont="1"/>
    <xf numFmtId="5" fontId="1" fillId="0" borderId="0" xfId="0" applyNumberFormat="1" applyFont="1"/>
    <xf numFmtId="164" fontId="1" fillId="0" borderId="0" xfId="0" applyNumberFormat="1" applyFont="1" applyAlignment="1">
      <alignment horizontal="right"/>
    </xf>
    <xf numFmtId="5" fontId="1" fillId="0" borderId="2" xfId="0" applyNumberFormat="1" applyFont="1" applyBorder="1"/>
    <xf numFmtId="42" fontId="4" fillId="0" borderId="0" xfId="0" applyNumberFormat="1" applyFont="1"/>
    <xf numFmtId="3" fontId="1" fillId="0" borderId="0" xfId="0" applyNumberFormat="1" applyFont="1" applyFill="1"/>
    <xf numFmtId="169" fontId="1" fillId="0" borderId="0" xfId="0" applyNumberFormat="1" applyFont="1"/>
    <xf numFmtId="167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0" borderId="0" xfId="0" applyNumberFormat="1" applyFont="1" applyFill="1" applyBorder="1"/>
    <xf numFmtId="0" fontId="7" fillId="0" borderId="12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" fillId="0" borderId="17" xfId="0" applyFont="1" applyBorder="1"/>
    <xf numFmtId="0" fontId="1" fillId="0" borderId="20" xfId="0" applyFont="1" applyBorder="1"/>
    <xf numFmtId="0" fontId="7" fillId="0" borderId="16" xfId="0" applyFont="1" applyBorder="1"/>
    <xf numFmtId="0" fontId="7" fillId="0" borderId="19" xfId="0" applyFont="1" applyBorder="1"/>
    <xf numFmtId="0" fontId="1" fillId="0" borderId="22" xfId="0" applyFont="1" applyBorder="1"/>
    <xf numFmtId="0" fontId="1" fillId="0" borderId="23" xfId="0" applyFont="1" applyFill="1" applyBorder="1"/>
    <xf numFmtId="168" fontId="4" fillId="0" borderId="13" xfId="0" applyNumberFormat="1" applyFont="1" applyBorder="1" applyAlignment="1">
      <alignment horizontal="center"/>
    </xf>
    <xf numFmtId="166" fontId="1" fillId="0" borderId="2" xfId="0" applyNumberFormat="1" applyFont="1" applyBorder="1"/>
    <xf numFmtId="2" fontId="0" fillId="0" borderId="0" xfId="0" applyNumberFormat="1"/>
    <xf numFmtId="0" fontId="9" fillId="0" borderId="0" xfId="0" applyFont="1"/>
    <xf numFmtId="0" fontId="8" fillId="0" borderId="0" xfId="0" applyFont="1"/>
    <xf numFmtId="0" fontId="1" fillId="0" borderId="26" xfId="0" applyFont="1" applyFill="1" applyBorder="1"/>
    <xf numFmtId="167" fontId="1" fillId="0" borderId="26" xfId="0" applyNumberFormat="1" applyFont="1" applyBorder="1" applyAlignment="1">
      <alignment horizontal="center"/>
    </xf>
    <xf numFmtId="168" fontId="1" fillId="0" borderId="26" xfId="0" applyNumberFormat="1" applyFont="1" applyFill="1" applyBorder="1"/>
    <xf numFmtId="3" fontId="1" fillId="0" borderId="26" xfId="0" applyNumberFormat="1" applyFont="1" applyFill="1" applyBorder="1"/>
    <xf numFmtId="164" fontId="1" fillId="0" borderId="27" xfId="0" applyNumberFormat="1" applyFont="1" applyFill="1" applyBorder="1"/>
    <xf numFmtId="168" fontId="1" fillId="0" borderId="26" xfId="0" applyNumberFormat="1" applyFont="1" applyBorder="1"/>
    <xf numFmtId="0" fontId="1" fillId="0" borderId="26" xfId="0" applyFont="1" applyFill="1" applyBorder="1" applyAlignment="1">
      <alignment horizontal="center"/>
    </xf>
    <xf numFmtId="168" fontId="1" fillId="0" borderId="11" xfId="0" applyNumberFormat="1" applyFont="1" applyFill="1" applyBorder="1"/>
    <xf numFmtId="168" fontId="1" fillId="0" borderId="27" xfId="0" applyNumberFormat="1" applyFont="1" applyFill="1" applyBorder="1"/>
    <xf numFmtId="176" fontId="0" fillId="0" borderId="0" xfId="0" applyNumberFormat="1" applyFont="1"/>
    <xf numFmtId="168" fontId="1" fillId="0" borderId="24" xfId="0" applyNumberFormat="1" applyFont="1" applyFill="1" applyBorder="1"/>
    <xf numFmtId="0" fontId="1" fillId="0" borderId="11" xfId="0" applyFont="1" applyFill="1" applyBorder="1"/>
    <xf numFmtId="169" fontId="1" fillId="0" borderId="26" xfId="0" applyNumberFormat="1" applyFont="1" applyFill="1" applyBorder="1"/>
    <xf numFmtId="169" fontId="1" fillId="0" borderId="26" xfId="0" applyNumberFormat="1" applyFont="1" applyFill="1" applyBorder="1" applyAlignment="1">
      <alignment horizontal="right"/>
    </xf>
    <xf numFmtId="167" fontId="1" fillId="0" borderId="26" xfId="0" applyNumberFormat="1" applyFont="1" applyFill="1" applyBorder="1" applyAlignment="1">
      <alignment horizontal="center"/>
    </xf>
    <xf numFmtId="0" fontId="1" fillId="0" borderId="4" xfId="0" applyFont="1" applyFill="1" applyBorder="1"/>
    <xf numFmtId="166" fontId="1" fillId="0" borderId="0" xfId="0" applyNumberFormat="1" applyFont="1"/>
    <xf numFmtId="0" fontId="1" fillId="0" borderId="23" xfId="0" applyFont="1" applyBorder="1"/>
    <xf numFmtId="176" fontId="1" fillId="0" borderId="23" xfId="0" applyNumberFormat="1" applyFont="1" applyBorder="1"/>
    <xf numFmtId="168" fontId="1" fillId="0" borderId="24" xfId="0" applyNumberFormat="1" applyFont="1" applyBorder="1"/>
    <xf numFmtId="168" fontId="1" fillId="0" borderId="18" xfId="0" applyNumberFormat="1" applyFont="1" applyBorder="1"/>
    <xf numFmtId="168" fontId="1" fillId="0" borderId="21" xfId="0" applyNumberFormat="1" applyFont="1" applyBorder="1"/>
    <xf numFmtId="0" fontId="12" fillId="0" borderId="0" xfId="0" applyFont="1"/>
    <xf numFmtId="0" fontId="12" fillId="0" borderId="0" xfId="0" applyFont="1" applyAlignment="1">
      <alignment horizontal="center" wrapText="1"/>
    </xf>
    <xf numFmtId="37" fontId="12" fillId="0" borderId="0" xfId="0" applyNumberFormat="1" applyFont="1" applyAlignment="1">
      <alignment horizontal="center" wrapText="1"/>
    </xf>
    <xf numFmtId="0" fontId="0" fillId="0" borderId="0" xfId="0" applyBorder="1"/>
    <xf numFmtId="0" fontId="13" fillId="0" borderId="0" xfId="0" applyFont="1" applyFill="1" applyBorder="1"/>
    <xf numFmtId="0" fontId="0" fillId="0" borderId="0" xfId="0" applyFill="1" applyBorder="1"/>
    <xf numFmtId="0" fontId="13" fillId="0" borderId="0" xfId="0" quotePrefix="1" applyFont="1" applyFill="1" applyBorder="1" applyAlignment="1">
      <alignment horizontal="center" wrapText="1"/>
    </xf>
    <xf numFmtId="41" fontId="0" fillId="0" borderId="0" xfId="0" applyNumberFormat="1"/>
    <xf numFmtId="176" fontId="0" fillId="0" borderId="0" xfId="0" applyNumberFormat="1" applyFont="1" applyFill="1" applyBorder="1"/>
    <xf numFmtId="10" fontId="0" fillId="0" borderId="0" xfId="0" applyNumberFormat="1" applyFont="1"/>
    <xf numFmtId="176" fontId="0" fillId="0" borderId="0" xfId="0" applyNumberFormat="1"/>
    <xf numFmtId="0" fontId="0" fillId="0" borderId="0" xfId="0" applyFont="1" applyAlignment="1">
      <alignment horizontal="left" indent="1"/>
    </xf>
    <xf numFmtId="171" fontId="1" fillId="0" borderId="26" xfId="0" applyNumberFormat="1" applyFont="1" applyFill="1" applyBorder="1"/>
    <xf numFmtId="0" fontId="1" fillId="0" borderId="30" xfId="0" applyFont="1" applyBorder="1"/>
    <xf numFmtId="0" fontId="1" fillId="0" borderId="30" xfId="0" applyFont="1" applyFill="1" applyBorder="1"/>
    <xf numFmtId="0" fontId="1" fillId="0" borderId="7" xfId="0" applyFont="1" applyFill="1" applyBorder="1"/>
    <xf numFmtId="0" fontId="1" fillId="0" borderId="31" xfId="0" applyFont="1" applyFill="1" applyBorder="1"/>
    <xf numFmtId="0" fontId="2" fillId="0" borderId="2" xfId="0" applyFont="1" applyFill="1" applyBorder="1" applyAlignment="1"/>
    <xf numFmtId="0" fontId="2" fillId="0" borderId="29" xfId="0" applyFont="1" applyBorder="1" applyProtection="1">
      <protection locked="0"/>
    </xf>
    <xf numFmtId="3" fontId="1" fillId="0" borderId="28" xfId="0" applyNumberFormat="1" applyFont="1" applyFill="1" applyBorder="1"/>
    <xf numFmtId="0" fontId="8" fillId="0" borderId="0" xfId="0" applyFont="1" applyAlignment="1">
      <alignment horizontal="left" indent="1"/>
    </xf>
    <xf numFmtId="176" fontId="8" fillId="0" borderId="0" xfId="0" applyNumberFormat="1" applyFont="1" applyFill="1" applyBorder="1"/>
    <xf numFmtId="41" fontId="8" fillId="0" borderId="0" xfId="0" applyNumberFormat="1" applyFont="1"/>
    <xf numFmtId="176" fontId="8" fillId="0" borderId="0" xfId="0" applyNumberFormat="1" applyFont="1"/>
    <xf numFmtId="0" fontId="10" fillId="0" borderId="0" xfId="0" applyFont="1"/>
    <xf numFmtId="174" fontId="1" fillId="0" borderId="0" xfId="0" applyNumberFormat="1" applyFont="1" applyBorder="1"/>
    <xf numFmtId="176" fontId="0" fillId="0" borderId="28" xfId="0" applyNumberFormat="1" applyBorder="1"/>
    <xf numFmtId="0" fontId="10" fillId="0" borderId="28" xfId="0" applyFont="1" applyBorder="1"/>
    <xf numFmtId="39" fontId="9" fillId="0" borderId="0" xfId="0" applyNumberFormat="1" applyFont="1" applyFill="1" applyBorder="1"/>
    <xf numFmtId="176" fontId="0" fillId="0" borderId="0" xfId="0" applyNumberFormat="1" applyFont="1" applyBorder="1"/>
    <xf numFmtId="176" fontId="0" fillId="0" borderId="0" xfId="0" applyNumberForma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8" fillId="0" borderId="28" xfId="0" applyFont="1" applyBorder="1" applyAlignment="1">
      <alignment horizontal="left"/>
    </xf>
    <xf numFmtId="176" fontId="0" fillId="0" borderId="28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Fill="1"/>
    <xf numFmtId="43" fontId="0" fillId="0" borderId="0" xfId="0" applyNumberFormat="1" applyFont="1" applyBorder="1"/>
    <xf numFmtId="0" fontId="14" fillId="0" borderId="0" xfId="0" applyFont="1" applyBorder="1"/>
    <xf numFmtId="10" fontId="14" fillId="0" borderId="0" xfId="0" applyNumberFormat="1" applyFont="1" applyFill="1" applyBorder="1"/>
    <xf numFmtId="41" fontId="14" fillId="0" borderId="0" xfId="0" applyNumberFormat="1" applyFont="1"/>
    <xf numFmtId="0" fontId="14" fillId="0" borderId="0" xfId="0" applyFont="1"/>
    <xf numFmtId="39" fontId="14" fillId="0" borderId="0" xfId="0" applyNumberFormat="1" applyFont="1" applyFill="1" applyBorder="1"/>
    <xf numFmtId="0" fontId="14" fillId="0" borderId="0" xfId="0" applyFont="1" applyAlignment="1">
      <alignment horizontal="center"/>
    </xf>
    <xf numFmtId="176" fontId="14" fillId="0" borderId="0" xfId="0" applyNumberFormat="1" applyFont="1" applyBorder="1"/>
    <xf numFmtId="0" fontId="14" fillId="0" borderId="0" xfId="0" applyFont="1" applyBorder="1" applyAlignment="1">
      <alignment horizontal="left" wrapText="1"/>
    </xf>
    <xf numFmtId="164" fontId="1" fillId="0" borderId="32" xfId="0" applyNumberFormat="1" applyFont="1" applyBorder="1"/>
    <xf numFmtId="164" fontId="1" fillId="0" borderId="27" xfId="0" applyNumberFormat="1" applyFont="1" applyBorder="1"/>
    <xf numFmtId="167" fontId="5" fillId="0" borderId="0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0" fillId="0" borderId="25" xfId="0" quotePrefix="1" applyFont="1" applyBorder="1" applyAlignment="1">
      <alignment horizontal="center" wrapText="1"/>
    </xf>
    <xf numFmtId="0" fontId="10" fillId="0" borderId="25" xfId="0" quotePrefix="1" applyFont="1" applyBorder="1" applyAlignment="1">
      <alignment horizontal="left" wrapText="1"/>
    </xf>
    <xf numFmtId="0" fontId="15" fillId="0" borderId="0" xfId="0" quotePrefix="1" applyFont="1"/>
    <xf numFmtId="0" fontId="15" fillId="0" borderId="0" xfId="0" quotePrefix="1" applyFont="1" applyAlignment="1">
      <alignment horizontal="center"/>
    </xf>
    <xf numFmtId="0" fontId="17" fillId="0" borderId="0" xfId="0" quotePrefix="1" applyFont="1" applyAlignment="1">
      <alignment horizontal="left"/>
    </xf>
    <xf numFmtId="176" fontId="15" fillId="0" borderId="0" xfId="0" applyNumberFormat="1" applyFont="1"/>
    <xf numFmtId="176" fontId="15" fillId="0" borderId="34" xfId="0" applyNumberFormat="1" applyFont="1" applyBorder="1"/>
    <xf numFmtId="176" fontId="15" fillId="0" borderId="0" xfId="0" applyNumberFormat="1" applyFont="1" applyFill="1"/>
    <xf numFmtId="7" fontId="1" fillId="0" borderId="0" xfId="0" applyNumberFormat="1" applyFont="1"/>
    <xf numFmtId="39" fontId="9" fillId="0" borderId="0" xfId="0" applyNumberFormat="1" applyFont="1"/>
    <xf numFmtId="176" fontId="15" fillId="0" borderId="0" xfId="0" applyNumberFormat="1" applyFont="1" applyBorder="1"/>
    <xf numFmtId="176" fontId="0" fillId="0" borderId="0" xfId="0" applyNumberFormat="1" applyFont="1" applyFill="1"/>
    <xf numFmtId="176" fontId="0" fillId="0" borderId="0" xfId="0" applyNumberFormat="1" applyFill="1"/>
    <xf numFmtId="3" fontId="1" fillId="0" borderId="0" xfId="0" applyNumberFormat="1" applyFont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Protection="1">
      <protection locked="0"/>
    </xf>
    <xf numFmtId="168" fontId="1" fillId="0" borderId="30" xfId="0" applyNumberFormat="1" applyFont="1" applyBorder="1"/>
    <xf numFmtId="3" fontId="1" fillId="0" borderId="30" xfId="0" applyNumberFormat="1" applyFont="1" applyFill="1" applyBorder="1"/>
    <xf numFmtId="164" fontId="1" fillId="0" borderId="31" xfId="0" applyNumberFormat="1" applyFont="1" applyBorder="1"/>
    <xf numFmtId="0" fontId="2" fillId="0" borderId="29" xfId="0" applyFont="1" applyFill="1" applyBorder="1" applyProtection="1">
      <protection locked="0"/>
    </xf>
    <xf numFmtId="0" fontId="2" fillId="0" borderId="30" xfId="0" applyFont="1" applyBorder="1" applyProtection="1">
      <protection locked="0"/>
    </xf>
    <xf numFmtId="3" fontId="1" fillId="0" borderId="30" xfId="0" applyNumberFormat="1" applyFont="1" applyBorder="1"/>
    <xf numFmtId="0" fontId="2" fillId="0" borderId="30" xfId="0" applyFont="1" applyFill="1" applyBorder="1" applyProtection="1">
      <protection locked="0"/>
    </xf>
    <xf numFmtId="164" fontId="1" fillId="0" borderId="31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Continuous"/>
    </xf>
    <xf numFmtId="167" fontId="1" fillId="0" borderId="30" xfId="0" applyNumberFormat="1" applyFont="1" applyBorder="1" applyAlignment="1">
      <alignment horizontal="centerContinuous"/>
    </xf>
    <xf numFmtId="167" fontId="1" fillId="0" borderId="30" xfId="0" applyNumberFormat="1" applyFont="1" applyFill="1" applyBorder="1" applyAlignment="1">
      <alignment horizontal="centerContinuous"/>
    </xf>
    <xf numFmtId="167" fontId="1" fillId="0" borderId="28" xfId="0" applyNumberFormat="1" applyFont="1" applyBorder="1" applyAlignment="1">
      <alignment horizontal="left"/>
    </xf>
    <xf numFmtId="3" fontId="1" fillId="0" borderId="26" xfId="0" applyNumberFormat="1" applyFont="1" applyBorder="1" applyAlignment="1">
      <alignment horizontal="center"/>
    </xf>
    <xf numFmtId="3" fontId="1" fillId="0" borderId="26" xfId="0" applyNumberFormat="1" applyFont="1" applyFill="1" applyBorder="1" applyAlignment="1">
      <alignment horizontal="center"/>
    </xf>
    <xf numFmtId="169" fontId="1" fillId="0" borderId="26" xfId="0" applyNumberFormat="1" applyFont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26" xfId="0" applyBorder="1"/>
    <xf numFmtId="168" fontId="0" fillId="0" borderId="26" xfId="0" applyNumberFormat="1" applyBorder="1"/>
    <xf numFmtId="3" fontId="0" fillId="0" borderId="26" xfId="0" applyNumberFormat="1" applyBorder="1"/>
    <xf numFmtId="176" fontId="1" fillId="0" borderId="17" xfId="0" applyNumberFormat="1" applyFont="1" applyFill="1" applyBorder="1"/>
    <xf numFmtId="176" fontId="1" fillId="0" borderId="20" xfId="0" applyNumberFormat="1" applyFont="1" applyFill="1" applyBorder="1"/>
    <xf numFmtId="0" fontId="1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6" fontId="1" fillId="0" borderId="0" xfId="0" applyNumberFormat="1" applyFont="1"/>
    <xf numFmtId="176" fontId="1" fillId="0" borderId="0" xfId="0" applyNumberFormat="1" applyFont="1" applyFill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33" xfId="0" applyFont="1" applyFill="1" applyBorder="1"/>
    <xf numFmtId="0" fontId="1" fillId="0" borderId="28" xfId="0" applyFont="1" applyFill="1" applyBorder="1"/>
    <xf numFmtId="168" fontId="1" fillId="0" borderId="28" xfId="0" applyNumberFormat="1" applyFont="1" applyFill="1" applyBorder="1"/>
    <xf numFmtId="167" fontId="1" fillId="0" borderId="28" xfId="0" applyNumberFormat="1" applyFont="1" applyFill="1" applyBorder="1" applyAlignment="1">
      <alignment horizontal="center"/>
    </xf>
    <xf numFmtId="168" fontId="1" fillId="0" borderId="28" xfId="0" applyNumberFormat="1" applyFont="1" applyFill="1" applyBorder="1" applyAlignment="1">
      <alignment horizontal="center"/>
    </xf>
    <xf numFmtId="168" fontId="1" fillId="0" borderId="32" xfId="0" applyNumberFormat="1" applyFont="1" applyFill="1" applyBorder="1"/>
    <xf numFmtId="172" fontId="1" fillId="0" borderId="0" xfId="0" applyNumberFormat="1" applyFont="1" applyFill="1" applyBorder="1"/>
    <xf numFmtId="167" fontId="1" fillId="0" borderId="11" xfId="0" applyNumberFormat="1" applyFont="1" applyFill="1" applyBorder="1"/>
    <xf numFmtId="0" fontId="1" fillId="0" borderId="26" xfId="0" applyFont="1" applyFill="1" applyBorder="1" applyAlignment="1">
      <alignment horizontal="right"/>
    </xf>
    <xf numFmtId="172" fontId="1" fillId="0" borderId="26" xfId="0" applyNumberFormat="1" applyFont="1" applyFill="1" applyBorder="1"/>
    <xf numFmtId="167" fontId="1" fillId="0" borderId="26" xfId="0" applyNumberFormat="1" applyFont="1" applyFill="1" applyBorder="1"/>
    <xf numFmtId="167" fontId="1" fillId="0" borderId="27" xfId="0" applyNumberFormat="1" applyFont="1" applyFill="1" applyBorder="1"/>
    <xf numFmtId="0" fontId="2" fillId="0" borderId="3" xfId="0" applyFont="1" applyFill="1" applyBorder="1" applyProtection="1">
      <protection locked="0"/>
    </xf>
    <xf numFmtId="168" fontId="1" fillId="0" borderId="0" xfId="0" applyNumberFormat="1" applyFont="1" applyFill="1"/>
    <xf numFmtId="168" fontId="2" fillId="0" borderId="2" xfId="0" applyNumberFormat="1" applyFont="1" applyFill="1" applyBorder="1"/>
    <xf numFmtId="168" fontId="2" fillId="0" borderId="32" xfId="0" applyNumberFormat="1" applyFont="1" applyFill="1" applyBorder="1"/>
    <xf numFmtId="0" fontId="2" fillId="0" borderId="6" xfId="0" applyFont="1" applyFill="1" applyBorder="1"/>
    <xf numFmtId="168" fontId="1" fillId="0" borderId="7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0" xfId="0" applyFont="1" applyFill="1" applyBorder="1" applyProtection="1">
      <protection locked="0"/>
    </xf>
    <xf numFmtId="0" fontId="1" fillId="0" borderId="29" xfId="0" applyFont="1" applyFill="1" applyBorder="1" applyAlignment="1">
      <alignment horizontal="center"/>
    </xf>
    <xf numFmtId="0" fontId="2" fillId="0" borderId="0" xfId="0" applyFont="1" applyFill="1"/>
    <xf numFmtId="0" fontId="18" fillId="0" borderId="0" xfId="0" applyFont="1" applyFill="1"/>
    <xf numFmtId="167" fontId="19" fillId="0" borderId="26" xfId="0" applyNumberFormat="1" applyFont="1" applyFill="1" applyBorder="1" applyAlignment="1">
      <alignment horizontal="center" wrapText="1"/>
    </xf>
    <xf numFmtId="167" fontId="18" fillId="0" borderId="26" xfId="0" applyNumberFormat="1" applyFont="1" applyFill="1" applyBorder="1" applyAlignment="1">
      <alignment horizontal="center" wrapText="1"/>
    </xf>
    <xf numFmtId="3" fontId="18" fillId="0" borderId="28" xfId="0" applyNumberFormat="1" applyFont="1" applyFill="1" applyBorder="1"/>
    <xf numFmtId="0" fontId="18" fillId="0" borderId="0" xfId="0" applyFont="1" applyFill="1" applyBorder="1"/>
    <xf numFmtId="168" fontId="18" fillId="0" borderId="26" xfId="0" applyNumberFormat="1" applyFont="1" applyFill="1" applyBorder="1"/>
    <xf numFmtId="0" fontId="18" fillId="0" borderId="28" xfId="0" applyFont="1" applyFill="1" applyBorder="1"/>
    <xf numFmtId="168" fontId="18" fillId="0" borderId="0" xfId="0" applyNumberFormat="1" applyFont="1" applyFill="1" applyBorder="1"/>
    <xf numFmtId="168" fontId="18" fillId="0" borderId="2" xfId="0" applyNumberFormat="1" applyFont="1" applyFill="1" applyBorder="1"/>
    <xf numFmtId="0" fontId="18" fillId="0" borderId="26" xfId="0" applyFont="1" applyFill="1" applyBorder="1"/>
    <xf numFmtId="0" fontId="18" fillId="0" borderId="30" xfId="0" applyFont="1" applyFill="1" applyBorder="1"/>
    <xf numFmtId="3" fontId="18" fillId="0" borderId="0" xfId="0" applyNumberFormat="1" applyFont="1" applyFill="1" applyBorder="1"/>
    <xf numFmtId="169" fontId="18" fillId="0" borderId="0" xfId="0" applyNumberFormat="1" applyFont="1" applyFill="1" applyBorder="1"/>
    <xf numFmtId="168" fontId="18" fillId="0" borderId="2" xfId="0" applyNumberFormat="1" applyFont="1" applyFill="1" applyBorder="1" applyAlignment="1">
      <alignment horizontal="right"/>
    </xf>
    <xf numFmtId="3" fontId="18" fillId="0" borderId="2" xfId="0" applyNumberFormat="1" applyFont="1" applyFill="1" applyBorder="1"/>
    <xf numFmtId="168" fontId="18" fillId="0" borderId="28" xfId="0" applyNumberFormat="1" applyFont="1" applyFill="1" applyBorder="1" applyAlignment="1">
      <alignment horizontal="right"/>
    </xf>
    <xf numFmtId="168" fontId="18" fillId="0" borderId="0" xfId="0" applyNumberFormat="1" applyFont="1" applyFill="1" applyBorder="1" applyAlignment="1">
      <alignment horizontal="right"/>
    </xf>
    <xf numFmtId="168" fontId="18" fillId="0" borderId="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19" fillId="0" borderId="28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/>
    </xf>
    <xf numFmtId="0" fontId="19" fillId="0" borderId="28" xfId="0" applyFont="1" applyFill="1" applyBorder="1"/>
    <xf numFmtId="0" fontId="18" fillId="0" borderId="2" xfId="0" applyFont="1" applyFill="1" applyBorder="1"/>
    <xf numFmtId="167" fontId="18" fillId="0" borderId="0" xfId="0" applyNumberFormat="1" applyFont="1" applyFill="1" applyBorder="1"/>
    <xf numFmtId="171" fontId="18" fillId="0" borderId="26" xfId="0" applyNumberFormat="1" applyFont="1" applyFill="1" applyBorder="1"/>
    <xf numFmtId="0" fontId="19" fillId="0" borderId="30" xfId="0" applyFont="1" applyFill="1" applyBorder="1" applyProtection="1">
      <protection locked="0"/>
    </xf>
    <xf numFmtId="0" fontId="19" fillId="0" borderId="0" xfId="0" applyFont="1" applyFill="1" applyBorder="1"/>
    <xf numFmtId="0" fontId="18" fillId="0" borderId="0" xfId="0" applyFont="1" applyFill="1" applyBorder="1" applyProtection="1">
      <protection locked="0"/>
    </xf>
    <xf numFmtId="0" fontId="19" fillId="0" borderId="26" xfId="0" applyFont="1" applyFill="1" applyBorder="1"/>
    <xf numFmtId="0" fontId="18" fillId="0" borderId="30" xfId="0" applyFont="1" applyFill="1" applyBorder="1" applyAlignment="1">
      <alignment horizontal="center"/>
    </xf>
    <xf numFmtId="0" fontId="19" fillId="0" borderId="0" xfId="0" applyFont="1" applyFill="1" applyBorder="1" applyProtection="1">
      <protection locked="0"/>
    </xf>
    <xf numFmtId="0" fontId="19" fillId="0" borderId="0" xfId="0" applyFont="1" applyFill="1"/>
    <xf numFmtId="3" fontId="18" fillId="0" borderId="26" xfId="0" applyNumberFormat="1" applyFont="1" applyFill="1" applyBorder="1"/>
    <xf numFmtId="166" fontId="18" fillId="0" borderId="0" xfId="0" applyNumberFormat="1" applyFont="1" applyFill="1"/>
    <xf numFmtId="166" fontId="18" fillId="0" borderId="0" xfId="0" applyNumberFormat="1" applyFont="1" applyFill="1"/>
    <xf numFmtId="166" fontId="20" fillId="0" borderId="0" xfId="0" applyNumberFormat="1" applyFont="1"/>
    <xf numFmtId="166" fontId="21" fillId="0" borderId="25" xfId="0" quotePrefix="1" applyNumberFormat="1" applyFont="1" applyBorder="1" applyAlignment="1">
      <alignment horizontal="center" wrapText="1"/>
    </xf>
    <xf numFmtId="176" fontId="20" fillId="0" borderId="34" xfId="0" applyNumberFormat="1" applyFont="1" applyBorder="1"/>
    <xf numFmtId="0" fontId="20" fillId="0" borderId="0" xfId="0" applyFont="1"/>
    <xf numFmtId="176" fontId="20" fillId="0" borderId="0" xfId="0" applyNumberFormat="1" applyFont="1"/>
    <xf numFmtId="0" fontId="21" fillId="0" borderId="25" xfId="0" quotePrefix="1" applyFont="1" applyBorder="1" applyAlignment="1">
      <alignment horizontal="center" wrapText="1"/>
    </xf>
    <xf numFmtId="176" fontId="20" fillId="0" borderId="0" xfId="0" applyNumberFormat="1" applyFont="1" applyFill="1"/>
    <xf numFmtId="176" fontId="20" fillId="0" borderId="0" xfId="0" applyNumberFormat="1" applyFont="1" applyBorder="1"/>
    <xf numFmtId="0" fontId="22" fillId="0" borderId="0" xfId="0" applyFont="1" applyAlignment="1">
      <alignment horizontal="center"/>
    </xf>
    <xf numFmtId="176" fontId="22" fillId="0" borderId="0" xfId="0" applyNumberFormat="1" applyFont="1" applyBorder="1"/>
    <xf numFmtId="0" fontId="22" fillId="0" borderId="0" xfId="0" applyFont="1"/>
    <xf numFmtId="166" fontId="22" fillId="0" borderId="0" xfId="0" applyNumberFormat="1" applyFont="1"/>
    <xf numFmtId="176" fontId="22" fillId="0" borderId="0" xfId="0" applyNumberFormat="1" applyFont="1"/>
    <xf numFmtId="41" fontId="22" fillId="0" borderId="0" xfId="0" applyNumberFormat="1" applyFont="1"/>
    <xf numFmtId="176" fontId="22" fillId="0" borderId="0" xfId="0" applyNumberFormat="1" applyFont="1" applyFill="1"/>
    <xf numFmtId="0" fontId="23" fillId="0" borderId="0" xfId="0" applyFont="1"/>
    <xf numFmtId="166" fontId="23" fillId="0" borderId="0" xfId="0" applyNumberFormat="1" applyFont="1"/>
    <xf numFmtId="176" fontId="18" fillId="0" borderId="0" xfId="0" applyNumberFormat="1" applyFont="1" applyFill="1"/>
    <xf numFmtId="176" fontId="15" fillId="0" borderId="0" xfId="0" applyNumberFormat="1" applyFont="1" applyFill="1" applyBorder="1"/>
    <xf numFmtId="176" fontId="15" fillId="0" borderId="34" xfId="0" applyNumberFormat="1" applyFont="1" applyFill="1" applyBorder="1"/>
    <xf numFmtId="176" fontId="19" fillId="0" borderId="0" xfId="0" applyNumberFormat="1" applyFont="1" applyFill="1"/>
    <xf numFmtId="176" fontId="18" fillId="0" borderId="0" xfId="0" applyNumberFormat="1" applyFont="1" applyFill="1" applyBorder="1"/>
    <xf numFmtId="176" fontId="24" fillId="0" borderId="0" xfId="0" applyNumberFormat="1" applyFont="1" applyFill="1"/>
    <xf numFmtId="176" fontId="25" fillId="0" borderId="0" xfId="0" applyNumberFormat="1" applyFont="1" applyFill="1"/>
    <xf numFmtId="166" fontId="20" fillId="0" borderId="0" xfId="0" applyNumberFormat="1" applyFont="1" applyAlignment="1"/>
    <xf numFmtId="169" fontId="0" fillId="0" borderId="0" xfId="0" applyNumberFormat="1"/>
    <xf numFmtId="180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164" fontId="1" fillId="0" borderId="11" xfId="0" applyNumberFormat="1" applyFont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9" fontId="1" fillId="0" borderId="0" xfId="0" applyNumberFormat="1" applyFont="1" applyAlignment="1"/>
    <xf numFmtId="174" fontId="1" fillId="0" borderId="0" xfId="0" applyNumberFormat="1" applyFont="1" applyAlignment="1"/>
    <xf numFmtId="41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176" fontId="0" fillId="0" borderId="0" xfId="0" applyNumberFormat="1" applyFont="1" applyFill="1"/>
    <xf numFmtId="42" fontId="1" fillId="0" borderId="0" xfId="0" applyNumberFormat="1" applyFont="1" applyAlignment="1"/>
    <xf numFmtId="181" fontId="0" fillId="0" borderId="0" xfId="0" applyNumberFormat="1" applyFont="1" applyFill="1"/>
    <xf numFmtId="174" fontId="0" fillId="0" borderId="0" xfId="0" applyNumberFormat="1" applyFont="1" applyFill="1"/>
    <xf numFmtId="41" fontId="1" fillId="0" borderId="26" xfId="0" applyNumberFormat="1" applyFont="1" applyBorder="1" applyAlignment="1">
      <alignment horizontal="center" wrapText="1"/>
    </xf>
    <xf numFmtId="41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Continuous"/>
    </xf>
    <xf numFmtId="37" fontId="8" fillId="0" borderId="0" xfId="0" applyNumberFormat="1" applyFont="1"/>
    <xf numFmtId="10" fontId="1" fillId="0" borderId="0" xfId="0" applyNumberFormat="1" applyFont="1" applyAlignment="1"/>
    <xf numFmtId="5" fontId="1" fillId="0" borderId="2" xfId="0" applyNumberFormat="1" applyFont="1" applyFill="1" applyBorder="1"/>
    <xf numFmtId="5" fontId="4" fillId="0" borderId="0" xfId="0" applyNumberFormat="1" applyFont="1" applyFill="1"/>
    <xf numFmtId="41" fontId="4" fillId="0" borderId="0" xfId="0" applyNumberFormat="1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3" fontId="0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centerContinuous"/>
    </xf>
    <xf numFmtId="167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167" fontId="2" fillId="0" borderId="26" xfId="0" applyNumberFormat="1" applyFont="1" applyFill="1" applyBorder="1" applyAlignment="1">
      <alignment horizontal="center" wrapText="1"/>
    </xf>
    <xf numFmtId="167" fontId="2" fillId="0" borderId="26" xfId="0" applyNumberFormat="1" applyFont="1" applyFill="1" applyBorder="1" applyAlignment="1">
      <alignment horizontal="center" vertical="center" wrapText="1"/>
    </xf>
    <xf numFmtId="167" fontId="2" fillId="0" borderId="26" xfId="0" applyNumberFormat="1" applyFont="1" applyFill="1" applyBorder="1" applyAlignment="1">
      <alignment horizontal="center"/>
    </xf>
    <xf numFmtId="167" fontId="2" fillId="0" borderId="27" xfId="0" applyNumberFormat="1" applyFont="1" applyFill="1" applyBorder="1" applyAlignment="1">
      <alignment horizontal="center"/>
    </xf>
    <xf numFmtId="167" fontId="1" fillId="0" borderId="26" xfId="0" applyNumberFormat="1" applyFont="1" applyFill="1" applyBorder="1" applyAlignment="1">
      <alignment horizontal="center" wrapText="1"/>
    </xf>
    <xf numFmtId="167" fontId="1" fillId="0" borderId="27" xfId="0" applyNumberFormat="1" applyFont="1" applyFill="1" applyBorder="1" applyAlignment="1">
      <alignment horizontal="center"/>
    </xf>
    <xf numFmtId="168" fontId="2" fillId="0" borderId="11" xfId="0" applyNumberFormat="1" applyFont="1" applyFill="1" applyBorder="1"/>
    <xf numFmtId="168" fontId="1" fillId="0" borderId="26" xfId="0" applyNumberFormat="1" applyFont="1" applyFill="1" applyBorder="1" applyAlignment="1">
      <alignment horizontal="right"/>
    </xf>
    <xf numFmtId="169" fontId="1" fillId="0" borderId="4" xfId="0" applyNumberFormat="1" applyFont="1" applyFill="1" applyBorder="1"/>
    <xf numFmtId="0" fontId="1" fillId="0" borderId="5" xfId="0" applyFont="1" applyFill="1" applyBorder="1"/>
    <xf numFmtId="0" fontId="1" fillId="0" borderId="27" xfId="0" applyFont="1" applyFill="1" applyBorder="1"/>
    <xf numFmtId="168" fontId="1" fillId="0" borderId="11" xfId="0" applyNumberFormat="1" applyFont="1" applyFill="1" applyBorder="1" applyAlignment="1">
      <alignment horizontal="right"/>
    </xf>
    <xf numFmtId="168" fontId="2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72" fontId="1" fillId="0" borderId="1" xfId="0" applyNumberFormat="1" applyFont="1" applyFill="1" applyBorder="1"/>
    <xf numFmtId="0" fontId="1" fillId="0" borderId="30" xfId="0" applyFont="1" applyFill="1" applyBorder="1" applyAlignment="1">
      <alignment horizontal="center"/>
    </xf>
    <xf numFmtId="169" fontId="1" fillId="0" borderId="30" xfId="0" applyNumberFormat="1" applyFont="1" applyFill="1" applyBorder="1"/>
    <xf numFmtId="168" fontId="1" fillId="0" borderId="28" xfId="0" applyNumberFormat="1" applyFont="1" applyFill="1" applyBorder="1" applyAlignment="1">
      <alignment horizontal="right"/>
    </xf>
    <xf numFmtId="168" fontId="2" fillId="0" borderId="28" xfId="0" applyNumberFormat="1" applyFont="1" applyFill="1" applyBorder="1"/>
    <xf numFmtId="166" fontId="18" fillId="0" borderId="0" xfId="0" applyNumberFormat="1" applyFont="1" applyFill="1" applyBorder="1"/>
    <xf numFmtId="167" fontId="18" fillId="0" borderId="0" xfId="0" applyNumberFormat="1" applyFont="1" applyFill="1"/>
    <xf numFmtId="176" fontId="25" fillId="0" borderId="0" xfId="0" applyNumberFormat="1" applyFont="1" applyFill="1" applyBorder="1"/>
    <xf numFmtId="0" fontId="1" fillId="0" borderId="4" xfId="0" applyFont="1" applyBorder="1" applyProtection="1">
      <protection locked="0"/>
    </xf>
    <xf numFmtId="3" fontId="1" fillId="0" borderId="4" xfId="0" applyNumberFormat="1" applyFont="1" applyFill="1" applyBorder="1"/>
    <xf numFmtId="169" fontId="1" fillId="0" borderId="4" xfId="0" applyNumberFormat="1" applyFont="1" applyBorder="1"/>
    <xf numFmtId="168" fontId="1" fillId="0" borderId="4" xfId="0" applyNumberFormat="1" applyFont="1" applyBorder="1"/>
    <xf numFmtId="3" fontId="1" fillId="0" borderId="4" xfId="0" applyNumberFormat="1" applyFont="1" applyFill="1" applyBorder="1" applyProtection="1">
      <protection locked="0"/>
    </xf>
    <xf numFmtId="167" fontId="1" fillId="0" borderId="4" xfId="0" applyNumberFormat="1" applyFont="1" applyFill="1" applyBorder="1"/>
    <xf numFmtId="167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8" fontId="1" fillId="0" borderId="4" xfId="0" applyNumberFormat="1" applyFont="1" applyFill="1" applyBorder="1"/>
    <xf numFmtId="167" fontId="1" fillId="0" borderId="4" xfId="0" applyNumberFormat="1" applyFont="1" applyFill="1" applyBorder="1" applyAlignment="1">
      <alignment horizontal="right"/>
    </xf>
    <xf numFmtId="168" fontId="1" fillId="0" borderId="4" xfId="0" applyNumberFormat="1" applyFont="1" applyFill="1" applyBorder="1" applyAlignment="1">
      <alignment horizontal="right"/>
    </xf>
    <xf numFmtId="164" fontId="1" fillId="0" borderId="5" xfId="0" applyNumberFormat="1" applyFont="1" applyBorder="1"/>
    <xf numFmtId="0" fontId="1" fillId="0" borderId="4" xfId="0" applyFont="1" applyFill="1" applyBorder="1" applyProtection="1">
      <protection locked="0"/>
    </xf>
    <xf numFmtId="176" fontId="1" fillId="0" borderId="4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10" xfId="0" applyNumberFormat="1" applyFont="1" applyBorder="1" applyAlignment="1">
      <alignment horizontal="right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78" fontId="1" fillId="0" borderId="10" xfId="0" quotePrefix="1" applyNumberFormat="1" applyFont="1" applyBorder="1" applyAlignment="1">
      <alignment horizontal="right" vertical="center"/>
    </xf>
    <xf numFmtId="178" fontId="1" fillId="0" borderId="0" xfId="0" quotePrefix="1" applyNumberFormat="1" applyFont="1" applyBorder="1" applyAlignment="1">
      <alignment horizontal="right" vertical="center"/>
    </xf>
    <xf numFmtId="164" fontId="1" fillId="0" borderId="11" xfId="0" quotePrefix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8" fontId="1" fillId="0" borderId="10" xfId="0" quotePrefix="1" applyNumberFormat="1" applyFont="1" applyBorder="1" applyAlignment="1">
      <alignment horizontal="right" vertical="center"/>
    </xf>
    <xf numFmtId="8" fontId="1" fillId="0" borderId="0" xfId="0" quotePrefix="1" applyNumberFormat="1" applyFont="1" applyBorder="1" applyAlignment="1">
      <alignment horizontal="right" vertical="center"/>
    </xf>
    <xf numFmtId="179" fontId="1" fillId="0" borderId="10" xfId="0" quotePrefix="1" applyNumberFormat="1" applyFont="1" applyFill="1" applyBorder="1" applyAlignment="1">
      <alignment horizontal="right" vertical="center"/>
    </xf>
    <xf numFmtId="179" fontId="1" fillId="0" borderId="0" xfId="0" quotePrefix="1" applyNumberFormat="1" applyFont="1" applyFill="1" applyBorder="1" applyAlignment="1">
      <alignment horizontal="right" vertical="center"/>
    </xf>
    <xf numFmtId="0" fontId="1" fillId="0" borderId="11" xfId="0" applyFont="1" applyBorder="1" applyAlignment="1"/>
    <xf numFmtId="178" fontId="1" fillId="0" borderId="10" xfId="0" quotePrefix="1" applyNumberFormat="1" applyFont="1" applyFill="1" applyBorder="1" applyAlignment="1">
      <alignment horizontal="right" vertical="center"/>
    </xf>
    <xf numFmtId="178" fontId="1" fillId="0" borderId="0" xfId="0" quotePrefix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/>
    <xf numFmtId="179" fontId="1" fillId="0" borderId="6" xfId="0" quotePrefix="1" applyNumberFormat="1" applyFont="1" applyBorder="1" applyAlignment="1">
      <alignment horizontal="right" vertical="center"/>
    </xf>
    <xf numFmtId="179" fontId="1" fillId="0" borderId="26" xfId="0" quotePrefix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9" fontId="1" fillId="0" borderId="11" xfId="0" applyNumberFormat="1" applyFont="1" applyFill="1" applyBorder="1"/>
    <xf numFmtId="0" fontId="2" fillId="0" borderId="8" xfId="0" applyFont="1" applyFill="1" applyBorder="1"/>
    <xf numFmtId="0" fontId="19" fillId="0" borderId="4" xfId="0" applyFont="1" applyFill="1" applyBorder="1"/>
    <xf numFmtId="168" fontId="18" fillId="0" borderId="4" xfId="0" applyNumberFormat="1" applyFont="1" applyFill="1" applyBorder="1"/>
    <xf numFmtId="166" fontId="18" fillId="0" borderId="2" xfId="0" applyNumberFormat="1" applyFont="1" applyFill="1" applyBorder="1"/>
    <xf numFmtId="176" fontId="18" fillId="0" borderId="2" xfId="0" applyNumberFormat="1" applyFont="1" applyFill="1" applyBorder="1"/>
    <xf numFmtId="0" fontId="26" fillId="0" borderId="0" xfId="0" applyFont="1" applyAlignment="1">
      <alignment horizontal="center"/>
    </xf>
    <xf numFmtId="176" fontId="22" fillId="0" borderId="0" xfId="0" applyNumberFormat="1" applyFont="1"/>
    <xf numFmtId="179" fontId="1" fillId="0" borderId="10" xfId="0" quotePrefix="1" applyNumberFormat="1" applyFont="1" applyBorder="1" applyAlignment="1">
      <alignment vertical="center"/>
    </xf>
    <xf numFmtId="0" fontId="2" fillId="0" borderId="33" xfId="0" applyFont="1" applyBorder="1" applyAlignment="1">
      <alignment horizontal="right" vertical="center" wrapText="1"/>
    </xf>
    <xf numFmtId="179" fontId="1" fillId="0" borderId="11" xfId="0" quotePrefix="1" applyNumberFormat="1" applyFont="1" applyBorder="1" applyAlignment="1">
      <alignment horizontal="right" vertical="center"/>
    </xf>
    <xf numFmtId="8" fontId="1" fillId="0" borderId="11" xfId="0" quotePrefix="1" applyNumberFormat="1" applyFont="1" applyBorder="1" applyAlignment="1">
      <alignment horizontal="right" vertical="center"/>
    </xf>
    <xf numFmtId="179" fontId="1" fillId="0" borderId="11" xfId="0" quotePrefix="1" applyNumberFormat="1" applyFont="1" applyBorder="1" applyAlignment="1">
      <alignment vertical="center"/>
    </xf>
    <xf numFmtId="8" fontId="1" fillId="0" borderId="11" xfId="0" quotePrefix="1" applyNumberFormat="1" applyFont="1" applyBorder="1" applyAlignment="1">
      <alignment horizontal="center" vertical="center"/>
    </xf>
    <xf numFmtId="179" fontId="1" fillId="0" borderId="27" xfId="0" quotePrefix="1" applyNumberFormat="1" applyFont="1" applyBorder="1" applyAlignment="1">
      <alignment vertical="center"/>
    </xf>
    <xf numFmtId="164" fontId="1" fillId="0" borderId="11" xfId="0" quotePrefix="1" applyNumberFormat="1" applyFont="1" applyFill="1" applyBorder="1" applyAlignment="1">
      <alignment horizontal="center" vertical="center"/>
    </xf>
    <xf numFmtId="164" fontId="1" fillId="0" borderId="27" xfId="0" quotePrefix="1" applyNumberFormat="1" applyFont="1" applyFill="1" applyBorder="1" applyAlignment="1">
      <alignment horizontal="center" vertical="center"/>
    </xf>
    <xf numFmtId="164" fontId="1" fillId="0" borderId="0" xfId="0" quotePrefix="1" applyNumberFormat="1" applyFont="1" applyFill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/>
    </xf>
    <xf numFmtId="179" fontId="1" fillId="0" borderId="0" xfId="0" quotePrefix="1" applyNumberFormat="1" applyFont="1" applyBorder="1" applyAlignment="1">
      <alignment horizontal="right" vertical="center"/>
    </xf>
    <xf numFmtId="8" fontId="1" fillId="0" borderId="10" xfId="0" quotePrefix="1" applyNumberFormat="1" applyFont="1" applyBorder="1" applyAlignment="1">
      <alignment horizontal="center" vertical="center"/>
    </xf>
    <xf numFmtId="8" fontId="1" fillId="0" borderId="0" xfId="0" quotePrefix="1" applyNumberFormat="1" applyFont="1" applyBorder="1" applyAlignment="1">
      <alignment horizontal="center" vertical="center"/>
    </xf>
    <xf numFmtId="8" fontId="1" fillId="0" borderId="10" xfId="0" quotePrefix="1" applyNumberFormat="1" applyFont="1" applyBorder="1" applyAlignment="1">
      <alignment vertical="center"/>
    </xf>
    <xf numFmtId="8" fontId="1" fillId="0" borderId="0" xfId="0" quotePrefix="1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6" fontId="14" fillId="0" borderId="0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79" fontId="1" fillId="0" borderId="10" xfId="0" quotePrefix="1" applyNumberFormat="1" applyFont="1" applyBorder="1" applyAlignment="1">
      <alignment horizontal="center" vertical="center"/>
    </xf>
    <xf numFmtId="179" fontId="1" fillId="0" borderId="0" xfId="0" quotePrefix="1" applyNumberFormat="1" applyFont="1" applyBorder="1" applyAlignment="1">
      <alignment horizontal="center" vertical="center"/>
    </xf>
    <xf numFmtId="177" fontId="1" fillId="0" borderId="11" xfId="0" quotePrefix="1" applyNumberFormat="1" applyFont="1" applyBorder="1" applyAlignment="1">
      <alignment horizontal="center" vertical="center"/>
    </xf>
    <xf numFmtId="0" fontId="7" fillId="0" borderId="0" xfId="0" applyFont="1"/>
    <xf numFmtId="0" fontId="2" fillId="0" borderId="26" xfId="0" applyFont="1" applyBorder="1" applyAlignment="1">
      <alignment horizontal="left"/>
    </xf>
    <xf numFmtId="0" fontId="27" fillId="0" borderId="0" xfId="0" applyFont="1" applyFill="1"/>
    <xf numFmtId="0" fontId="7" fillId="0" borderId="26" xfId="0" applyFont="1" applyBorder="1"/>
    <xf numFmtId="0" fontId="28" fillId="0" borderId="26" xfId="0" applyFont="1" applyBorder="1"/>
    <xf numFmtId="168" fontId="30" fillId="0" borderId="13" xfId="0" applyNumberFormat="1" applyFont="1" applyFill="1" applyBorder="1" applyAlignment="1">
      <alignment horizontal="center"/>
    </xf>
    <xf numFmtId="41" fontId="1" fillId="0" borderId="0" xfId="0" applyNumberFormat="1" applyFont="1"/>
    <xf numFmtId="179" fontId="1" fillId="0" borderId="36" xfId="0" quotePrefix="1" applyNumberFormat="1" applyFont="1" applyBorder="1" applyAlignment="1">
      <alignment vertical="center"/>
    </xf>
    <xf numFmtId="10" fontId="30" fillId="0" borderId="0" xfId="0" applyNumberFormat="1" applyFont="1" applyBorder="1" applyAlignment="1">
      <alignment horizontal="center"/>
    </xf>
    <xf numFmtId="10" fontId="30" fillId="0" borderId="15" xfId="0" applyNumberFormat="1" applyFont="1" applyBorder="1" applyAlignment="1">
      <alignment horizontal="center"/>
    </xf>
    <xf numFmtId="10" fontId="7" fillId="0" borderId="15" xfId="2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10" fontId="1" fillId="0" borderId="15" xfId="2" applyNumberFormat="1" applyFont="1" applyFill="1" applyBorder="1" applyAlignment="1">
      <alignment horizontal="center"/>
    </xf>
    <xf numFmtId="0" fontId="32" fillId="0" borderId="0" xfId="0" applyFont="1" applyFill="1"/>
    <xf numFmtId="8" fontId="1" fillId="0" borderId="10" xfId="0" quotePrefix="1" applyNumberFormat="1" applyFont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/>
    </xf>
    <xf numFmtId="0" fontId="2" fillId="0" borderId="2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/>
    <xf numFmtId="41" fontId="0" fillId="0" borderId="0" xfId="0" applyNumberFormat="1" applyFill="1"/>
    <xf numFmtId="0" fontId="0" fillId="0" borderId="0" xfId="0" applyFill="1"/>
    <xf numFmtId="176" fontId="31" fillId="0" borderId="0" xfId="0" applyNumberFormat="1" applyFont="1" applyFill="1" applyBorder="1"/>
    <xf numFmtId="176" fontId="31" fillId="0" borderId="0" xfId="0" applyNumberFormat="1" applyFont="1" applyFill="1"/>
    <xf numFmtId="41" fontId="0" fillId="0" borderId="0" xfId="0" applyNumberFormat="1" applyFont="1" applyFill="1"/>
    <xf numFmtId="0" fontId="0" fillId="0" borderId="0" xfId="0" applyFont="1" applyFill="1"/>
    <xf numFmtId="10" fontId="0" fillId="0" borderId="0" xfId="0" applyNumberFormat="1" applyFont="1" applyFill="1"/>
    <xf numFmtId="43" fontId="0" fillId="0" borderId="0" xfId="1" applyFont="1" applyFill="1"/>
    <xf numFmtId="0" fontId="8" fillId="0" borderId="0" xfId="0" applyFont="1" applyFill="1"/>
    <xf numFmtId="169" fontId="32" fillId="0" borderId="0" xfId="0" applyNumberFormat="1" applyFont="1" applyFill="1" applyBorder="1"/>
    <xf numFmtId="10" fontId="32" fillId="0" borderId="0" xfId="2" applyNumberFormat="1" applyFont="1" applyFill="1"/>
    <xf numFmtId="10" fontId="32" fillId="0" borderId="1" xfId="2" applyNumberFormat="1" applyFont="1" applyFill="1" applyBorder="1"/>
    <xf numFmtId="182" fontId="32" fillId="0" borderId="0" xfId="0" applyNumberFormat="1" applyFont="1" applyFill="1"/>
    <xf numFmtId="182" fontId="5" fillId="0" borderId="0" xfId="0" applyNumberFormat="1" applyFont="1" applyFill="1"/>
    <xf numFmtId="10" fontId="0" fillId="0" borderId="0" xfId="2" applyNumberFormat="1" applyFont="1"/>
    <xf numFmtId="0" fontId="31" fillId="0" borderId="0" xfId="0" applyFont="1" applyAlignment="1">
      <alignment horizontal="left"/>
    </xf>
    <xf numFmtId="176" fontId="31" fillId="0" borderId="0" xfId="0" applyNumberFormat="1" applyFont="1"/>
    <xf numFmtId="0" fontId="28" fillId="0" borderId="0" xfId="0" applyFont="1" applyFill="1"/>
    <xf numFmtId="167" fontId="32" fillId="0" borderId="26" xfId="0" applyNumberFormat="1" applyFont="1" applyFill="1" applyBorder="1" applyAlignment="1">
      <alignment horizontal="center" wrapText="1"/>
    </xf>
    <xf numFmtId="168" fontId="32" fillId="0" borderId="28" xfId="0" applyNumberFormat="1" applyFont="1" applyFill="1" applyBorder="1"/>
    <xf numFmtId="168" fontId="32" fillId="0" borderId="26" xfId="0" applyNumberFormat="1" applyFont="1" applyFill="1" applyBorder="1"/>
    <xf numFmtId="168" fontId="32" fillId="0" borderId="0" xfId="0" applyNumberFormat="1" applyFont="1" applyFill="1"/>
    <xf numFmtId="168" fontId="32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82" fontId="7" fillId="0" borderId="0" xfId="0" applyNumberFormat="1" applyFont="1" applyFill="1"/>
    <xf numFmtId="168" fontId="32" fillId="0" borderId="30" xfId="0" applyNumberFormat="1" applyFont="1" applyFill="1" applyBorder="1"/>
    <xf numFmtId="179" fontId="32" fillId="0" borderId="10" xfId="0" quotePrefix="1" applyNumberFormat="1" applyFont="1" applyBorder="1" applyAlignment="1">
      <alignment horizontal="right" vertical="center"/>
    </xf>
    <xf numFmtId="8" fontId="32" fillId="0" borderId="10" xfId="0" quotePrefix="1" applyNumberFormat="1" applyFont="1" applyBorder="1" applyAlignment="1">
      <alignment horizontal="right" vertical="center"/>
    </xf>
    <xf numFmtId="179" fontId="32" fillId="0" borderId="10" xfId="0" quotePrefix="1" applyNumberFormat="1" applyFont="1" applyBorder="1" applyAlignment="1">
      <alignment vertical="center"/>
    </xf>
    <xf numFmtId="0" fontId="3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179" fontId="32" fillId="0" borderId="11" xfId="0" quotePrefix="1" applyNumberFormat="1" applyFont="1" applyBorder="1" applyAlignment="1">
      <alignment horizontal="right" vertical="center"/>
    </xf>
    <xf numFmtId="8" fontId="32" fillId="0" borderId="11" xfId="0" quotePrefix="1" applyNumberFormat="1" applyFont="1" applyBorder="1" applyAlignment="1">
      <alignment horizontal="right" vertical="center"/>
    </xf>
    <xf numFmtId="179" fontId="32" fillId="0" borderId="11" xfId="0" quotePrefix="1" applyNumberFormat="1" applyFont="1" applyBorder="1" applyAlignment="1">
      <alignment vertical="center"/>
    </xf>
    <xf numFmtId="176" fontId="31" fillId="2" borderId="0" xfId="0" applyNumberFormat="1" applyFont="1" applyFill="1" applyBorder="1"/>
    <xf numFmtId="176" fontId="0" fillId="2" borderId="0" xfId="0" applyNumberFormat="1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179" fontId="1" fillId="2" borderId="10" xfId="0" quotePrefix="1" applyNumberFormat="1" applyFont="1" applyFill="1" applyBorder="1" applyAlignment="1">
      <alignment horizontal="right" vertical="center"/>
    </xf>
    <xf numFmtId="179" fontId="1" fillId="2" borderId="0" xfId="0" quotePrefix="1" applyNumberFormat="1" applyFont="1" applyFill="1" applyBorder="1" applyAlignment="1">
      <alignment horizontal="right" vertical="center"/>
    </xf>
    <xf numFmtId="8" fontId="1" fillId="2" borderId="10" xfId="0" quotePrefix="1" applyNumberFormat="1" applyFont="1" applyFill="1" applyBorder="1" applyAlignment="1">
      <alignment horizontal="right" vertical="center"/>
    </xf>
    <xf numFmtId="8" fontId="1" fillId="2" borderId="0" xfId="0" quotePrefix="1" applyNumberFormat="1" applyFont="1" applyFill="1" applyBorder="1" applyAlignment="1">
      <alignment horizontal="right" vertical="center"/>
    </xf>
    <xf numFmtId="179" fontId="1" fillId="2" borderId="10" xfId="0" quotePrefix="1" applyNumberFormat="1" applyFont="1" applyFill="1" applyBorder="1" applyAlignment="1">
      <alignment vertical="center"/>
    </xf>
    <xf numFmtId="179" fontId="1" fillId="2" borderId="0" xfId="0" quotePrefix="1" applyNumberFormat="1" applyFont="1" applyFill="1" applyBorder="1" applyAlignment="1">
      <alignment vertical="center"/>
    </xf>
    <xf numFmtId="8" fontId="1" fillId="2" borderId="10" xfId="0" quotePrefix="1" applyNumberFormat="1" applyFont="1" applyFill="1" applyBorder="1" applyAlignment="1">
      <alignment horizontal="center" vertical="center"/>
    </xf>
    <xf numFmtId="8" fontId="1" fillId="2" borderId="0" xfId="0" quotePrefix="1" applyNumberFormat="1" applyFont="1" applyFill="1" applyBorder="1" applyAlignment="1">
      <alignment horizontal="center" vertical="center"/>
    </xf>
    <xf numFmtId="179" fontId="1" fillId="2" borderId="36" xfId="0" quotePrefix="1" applyNumberFormat="1" applyFont="1" applyFill="1" applyBorder="1" applyAlignment="1">
      <alignment vertical="center"/>
    </xf>
    <xf numFmtId="179" fontId="1" fillId="2" borderId="26" xfId="0" quotePrefix="1" applyNumberFormat="1" applyFont="1" applyFill="1" applyBorder="1" applyAlignment="1">
      <alignment vertical="center"/>
    </xf>
    <xf numFmtId="176" fontId="8" fillId="2" borderId="0" xfId="0" applyNumberFormat="1" applyFont="1" applyFill="1"/>
    <xf numFmtId="0" fontId="0" fillId="2" borderId="0" xfId="0" applyFill="1"/>
    <xf numFmtId="0" fontId="29" fillId="0" borderId="0" xfId="3"/>
    <xf numFmtId="0" fontId="33" fillId="0" borderId="0" xfId="3" applyFont="1" applyAlignment="1">
      <alignment horizontal="centerContinuous"/>
    </xf>
    <xf numFmtId="0" fontId="34" fillId="0" borderId="0" xfId="4" applyAlignment="1">
      <alignment horizontal="centerContinuous"/>
    </xf>
    <xf numFmtId="0" fontId="8" fillId="0" borderId="0" xfId="3" applyFont="1" applyAlignment="1">
      <alignment horizontal="centerContinuous"/>
    </xf>
    <xf numFmtId="0" fontId="29" fillId="0" borderId="13" xfId="3" applyBorder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0" fontId="8" fillId="0" borderId="0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29" fillId="0" borderId="26" xfId="3" applyBorder="1"/>
    <xf numFmtId="0" fontId="29" fillId="0" borderId="14" xfId="3" applyBorder="1"/>
    <xf numFmtId="0" fontId="8" fillId="0" borderId="0" xfId="3" applyFont="1" applyFill="1" applyBorder="1" applyAlignment="1">
      <alignment horizontal="center"/>
    </xf>
    <xf numFmtId="0" fontId="29" fillId="0" borderId="0" xfId="3" applyAlignment="1">
      <alignment horizontal="center"/>
    </xf>
    <xf numFmtId="0" fontId="8" fillId="0" borderId="0" xfId="3" applyFont="1"/>
    <xf numFmtId="44" fontId="29" fillId="0" borderId="0" xfId="5" applyFont="1"/>
    <xf numFmtId="43" fontId="29" fillId="0" borderId="0" xfId="3" applyNumberFormat="1"/>
    <xf numFmtId="43" fontId="29" fillId="0" borderId="0" xfId="3" applyNumberFormat="1" applyBorder="1"/>
    <xf numFmtId="43" fontId="29" fillId="0" borderId="0" xfId="3" applyNumberFormat="1" applyFill="1" applyBorder="1"/>
    <xf numFmtId="0" fontId="34" fillId="0" borderId="0" xfId="4"/>
    <xf numFmtId="0" fontId="8" fillId="0" borderId="37" xfId="3" applyFont="1" applyBorder="1"/>
    <xf numFmtId="43" fontId="8" fillId="0" borderId="37" xfId="3" applyNumberFormat="1" applyFont="1" applyBorder="1"/>
    <xf numFmtId="4" fontId="35" fillId="0" borderId="13" xfId="3" applyNumberFormat="1" applyFont="1" applyBorder="1" applyAlignment="1">
      <alignment horizontal="left"/>
    </xf>
    <xf numFmtId="4" fontId="35" fillId="0" borderId="0" xfId="3" applyNumberFormat="1" applyFont="1" applyBorder="1" applyAlignment="1">
      <alignment horizontal="left"/>
    </xf>
    <xf numFmtId="0" fontId="8" fillId="0" borderId="0" xfId="3" applyFont="1" applyBorder="1"/>
    <xf numFmtId="43" fontId="8" fillId="0" borderId="0" xfId="3" applyNumberFormat="1" applyFont="1" applyBorder="1"/>
    <xf numFmtId="43" fontId="8" fillId="0" borderId="0" xfId="3" applyNumberFormat="1" applyFont="1" applyFill="1" applyBorder="1"/>
    <xf numFmtId="0" fontId="8" fillId="0" borderId="13" xfId="3" applyFont="1" applyBorder="1"/>
    <xf numFmtId="0" fontId="29" fillId="0" borderId="0" xfId="3" applyFill="1"/>
    <xf numFmtId="0" fontId="29" fillId="0" borderId="0" xfId="3" applyBorder="1"/>
    <xf numFmtId="43" fontId="29" fillId="0" borderId="0" xfId="3" applyNumberFormat="1" applyFill="1"/>
    <xf numFmtId="0" fontId="8" fillId="0" borderId="30" xfId="3" applyFont="1" applyBorder="1"/>
    <xf numFmtId="43" fontId="8" fillId="0" borderId="30" xfId="3" applyNumberFormat="1" applyFont="1" applyBorder="1"/>
    <xf numFmtId="0" fontId="8" fillId="0" borderId="34" xfId="3" applyFont="1" applyBorder="1"/>
    <xf numFmtId="44" fontId="8" fillId="0" borderId="34" xfId="5" applyFont="1" applyBorder="1"/>
    <xf numFmtId="44" fontId="29" fillId="0" borderId="0" xfId="3" applyNumberFormat="1"/>
    <xf numFmtId="10" fontId="0" fillId="0" borderId="0" xfId="6" applyNumberFormat="1" applyFont="1"/>
    <xf numFmtId="10" fontId="29" fillId="0" borderId="0" xfId="7" applyNumberFormat="1" applyFont="1"/>
    <xf numFmtId="170" fontId="0" fillId="0" borderId="0" xfId="6" applyNumberFormat="1" applyFont="1"/>
    <xf numFmtId="176" fontId="0" fillId="2" borderId="0" xfId="0" applyNumberFormat="1" applyFill="1"/>
    <xf numFmtId="0" fontId="0" fillId="2" borderId="0" xfId="0" applyFill="1" applyBorder="1"/>
    <xf numFmtId="0" fontId="13" fillId="2" borderId="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5" fillId="2" borderId="0" xfId="0" applyFont="1" applyFill="1"/>
    <xf numFmtId="176" fontId="20" fillId="2" borderId="34" xfId="0" applyNumberFormat="1" applyFont="1" applyFill="1" applyBorder="1"/>
    <xf numFmtId="176" fontId="15" fillId="2" borderId="34" xfId="0" applyNumberFormat="1" applyFont="1" applyFill="1" applyBorder="1"/>
    <xf numFmtId="176" fontId="20" fillId="2" borderId="0" xfId="0" applyNumberFormat="1" applyFont="1" applyFill="1"/>
    <xf numFmtId="0" fontId="16" fillId="2" borderId="0" xfId="0" applyFont="1" applyFill="1"/>
    <xf numFmtId="0" fontId="15" fillId="0" borderId="0" xfId="0" applyFont="1" applyFill="1" applyBorder="1"/>
    <xf numFmtId="176" fontId="20" fillId="0" borderId="0" xfId="0" applyNumberFormat="1" applyFont="1" applyFill="1" applyBorder="1"/>
    <xf numFmtId="167" fontId="2" fillId="2" borderId="26" xfId="0" applyNumberFormat="1" applyFont="1" applyFill="1" applyBorder="1" applyAlignment="1">
      <alignment horizontal="center"/>
    </xf>
    <xf numFmtId="167" fontId="1" fillId="2" borderId="26" xfId="0" applyNumberFormat="1" applyFont="1" applyFill="1" applyBorder="1" applyAlignment="1">
      <alignment horizontal="center"/>
    </xf>
    <xf numFmtId="168" fontId="1" fillId="2" borderId="28" xfId="0" applyNumberFormat="1" applyFont="1" applyFill="1" applyBorder="1"/>
    <xf numFmtId="169" fontId="1" fillId="2" borderId="0" xfId="0" applyNumberFormat="1" applyFont="1" applyFill="1" applyBorder="1"/>
    <xf numFmtId="172" fontId="1" fillId="2" borderId="26" xfId="0" applyNumberFormat="1" applyFont="1" applyFill="1" applyBorder="1"/>
    <xf numFmtId="172" fontId="1" fillId="2" borderId="0" xfId="0" applyNumberFormat="1" applyFont="1" applyFill="1" applyBorder="1"/>
    <xf numFmtId="168" fontId="1" fillId="2" borderId="0" xfId="0" applyNumberFormat="1" applyFont="1" applyFill="1" applyBorder="1"/>
    <xf numFmtId="167" fontId="1" fillId="2" borderId="0" xfId="0" applyNumberFormat="1" applyFont="1" applyFill="1"/>
    <xf numFmtId="168" fontId="1" fillId="2" borderId="26" xfId="0" applyNumberFormat="1" applyFont="1" applyFill="1" applyBorder="1"/>
    <xf numFmtId="168" fontId="1" fillId="2" borderId="0" xfId="0" applyNumberFormat="1" applyFont="1" applyFill="1"/>
    <xf numFmtId="168" fontId="2" fillId="2" borderId="2" xfId="0" applyNumberFormat="1" applyFont="1" applyFill="1" applyBorder="1"/>
    <xf numFmtId="0" fontId="1" fillId="2" borderId="30" xfId="0" applyFont="1" applyFill="1" applyBorder="1"/>
    <xf numFmtId="167" fontId="1" fillId="2" borderId="26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26" xfId="0" applyFont="1" applyFill="1" applyBorder="1"/>
    <xf numFmtId="168" fontId="2" fillId="2" borderId="0" xfId="0" applyNumberFormat="1" applyFont="1" applyFill="1" applyBorder="1"/>
    <xf numFmtId="168" fontId="1" fillId="2" borderId="0" xfId="0" applyNumberFormat="1" applyFont="1" applyFill="1" applyBorder="1" applyAlignment="1">
      <alignment horizontal="right"/>
    </xf>
    <xf numFmtId="0" fontId="1" fillId="2" borderId="1" xfId="0" applyFont="1" applyFill="1" applyBorder="1"/>
    <xf numFmtId="10" fontId="7" fillId="2" borderId="0" xfId="2" applyNumberFormat="1" applyFont="1" applyFill="1"/>
    <xf numFmtId="10" fontId="7" fillId="2" borderId="1" xfId="2" applyNumberFormat="1" applyFont="1" applyFill="1" applyBorder="1"/>
    <xf numFmtId="182" fontId="7" fillId="2" borderId="0" xfId="0" applyNumberFormat="1" applyFont="1" applyFill="1"/>
    <xf numFmtId="168" fontId="2" fillId="2" borderId="28" xfId="0" applyNumberFormat="1" applyFont="1" applyFill="1" applyBorder="1"/>
    <xf numFmtId="168" fontId="1" fillId="2" borderId="4" xfId="0" applyNumberFormat="1" applyFont="1" applyFill="1" applyBorder="1"/>
    <xf numFmtId="0" fontId="36" fillId="0" borderId="0" xfId="4" applyFont="1"/>
    <xf numFmtId="0" fontId="37" fillId="0" borderId="0" xfId="4" applyFont="1"/>
    <xf numFmtId="0" fontId="38" fillId="0" borderId="0" xfId="4" applyFont="1"/>
    <xf numFmtId="0" fontId="36" fillId="0" borderId="26" xfId="4" applyFont="1" applyBorder="1" applyAlignment="1">
      <alignment horizontal="center"/>
    </xf>
    <xf numFmtId="0" fontId="37" fillId="0" borderId="0" xfId="4" applyFont="1" applyAlignment="1">
      <alignment horizontal="left" indent="1"/>
    </xf>
    <xf numFmtId="10" fontId="39" fillId="0" borderId="0" xfId="4" applyNumberFormat="1" applyFont="1" applyFill="1" applyBorder="1"/>
    <xf numFmtId="42" fontId="40" fillId="0" borderId="0" xfId="4" applyNumberFormat="1" applyFont="1" applyFill="1" applyBorder="1"/>
    <xf numFmtId="5" fontId="40" fillId="0" borderId="0" xfId="4" applyNumberFormat="1" applyFont="1" applyFill="1" applyBorder="1"/>
    <xf numFmtId="41" fontId="40" fillId="0" borderId="0" xfId="4" applyNumberFormat="1" applyFont="1" applyFill="1" applyBorder="1"/>
    <xf numFmtId="41" fontId="40" fillId="0" borderId="28" xfId="4" applyNumberFormat="1" applyFont="1" applyFill="1" applyBorder="1"/>
    <xf numFmtId="166" fontId="40" fillId="0" borderId="28" xfId="4" applyNumberFormat="1" applyFont="1" applyFill="1" applyBorder="1"/>
    <xf numFmtId="166" fontId="40" fillId="0" borderId="30" xfId="4" applyNumberFormat="1" applyFont="1" applyFill="1" applyBorder="1"/>
    <xf numFmtId="166" fontId="40" fillId="0" borderId="0" xfId="4" applyNumberFormat="1" applyFont="1" applyFill="1" applyBorder="1"/>
    <xf numFmtId="43" fontId="40" fillId="0" borderId="0" xfId="4" applyNumberFormat="1" applyFont="1" applyFill="1" applyBorder="1"/>
    <xf numFmtId="43" fontId="40" fillId="0" borderId="38" xfId="4" applyNumberFormat="1" applyFont="1" applyFill="1" applyBorder="1"/>
    <xf numFmtId="166" fontId="40" fillId="3" borderId="38" xfId="4" applyNumberFormat="1" applyFont="1" applyFill="1" applyBorder="1"/>
    <xf numFmtId="43" fontId="41" fillId="0" borderId="0" xfId="8" applyFont="1"/>
    <xf numFmtId="179" fontId="1" fillId="0" borderId="10" xfId="0" quotePrefix="1" applyNumberFormat="1" applyFont="1" applyBorder="1" applyAlignment="1">
      <alignment horizontal="center" vertical="center" wrapText="1"/>
    </xf>
    <xf numFmtId="179" fontId="1" fillId="0" borderId="6" xfId="0" quotePrefix="1" applyNumberFormat="1" applyFont="1" applyBorder="1" applyAlignment="1">
      <alignment horizontal="center" vertical="center" wrapText="1"/>
    </xf>
    <xf numFmtId="179" fontId="1" fillId="0" borderId="0" xfId="0" quotePrefix="1" applyNumberFormat="1" applyFont="1" applyBorder="1" applyAlignment="1">
      <alignment horizontal="center" vertical="center" wrapText="1"/>
    </xf>
    <xf numFmtId="179" fontId="1" fillId="0" borderId="26" xfId="0" quotePrefix="1" applyNumberFormat="1" applyFont="1" applyBorder="1" applyAlignment="1">
      <alignment horizontal="center" vertical="center" wrapText="1"/>
    </xf>
    <xf numFmtId="164" fontId="1" fillId="0" borderId="11" xfId="0" quotePrefix="1" applyNumberFormat="1" applyFont="1" applyFill="1" applyBorder="1" applyAlignment="1">
      <alignment horizontal="center" vertical="center"/>
    </xf>
    <xf numFmtId="164" fontId="1" fillId="0" borderId="27" xfId="0" quotePrefix="1" applyNumberFormat="1" applyFont="1" applyFill="1" applyBorder="1" applyAlignment="1">
      <alignment horizontal="center" vertical="center"/>
    </xf>
    <xf numFmtId="8" fontId="1" fillId="0" borderId="10" xfId="0" quotePrefix="1" applyNumberFormat="1" applyFont="1" applyBorder="1" applyAlignment="1">
      <alignment horizontal="center" vertical="center" wrapText="1"/>
    </xf>
    <xf numFmtId="8" fontId="1" fillId="0" borderId="6" xfId="0" quotePrefix="1" applyNumberFormat="1" applyFont="1" applyBorder="1" applyAlignment="1">
      <alignment horizontal="center" vertical="center" wrapText="1"/>
    </xf>
    <xf numFmtId="8" fontId="1" fillId="0" borderId="0" xfId="0" quotePrefix="1" applyNumberFormat="1" applyFont="1" applyBorder="1" applyAlignment="1">
      <alignment horizontal="center" vertical="center" wrapText="1"/>
    </xf>
    <xf numFmtId="8" fontId="1" fillId="0" borderId="26" xfId="0" quotePrefix="1" applyNumberFormat="1" applyFont="1" applyBorder="1" applyAlignment="1">
      <alignment horizontal="center" vertical="center" wrapText="1"/>
    </xf>
    <xf numFmtId="164" fontId="1" fillId="0" borderId="0" xfId="0" quotePrefix="1" applyNumberFormat="1" applyFont="1" applyFill="1" applyBorder="1" applyAlignment="1">
      <alignment horizontal="center" vertical="center"/>
    </xf>
    <xf numFmtId="164" fontId="1" fillId="0" borderId="26" xfId="0" quotePrefix="1" applyNumberFormat="1" applyFont="1" applyFill="1" applyBorder="1" applyAlignment="1">
      <alignment horizontal="center" vertical="center"/>
    </xf>
    <xf numFmtId="8" fontId="1" fillId="0" borderId="10" xfId="0" quotePrefix="1" applyNumberFormat="1" applyFont="1" applyBorder="1" applyAlignment="1">
      <alignment vertical="center" wrapText="1"/>
    </xf>
    <xf numFmtId="8" fontId="1" fillId="0" borderId="6" xfId="0" quotePrefix="1" applyNumberFormat="1" applyFont="1" applyBorder="1" applyAlignment="1">
      <alignment vertical="center" wrapText="1"/>
    </xf>
    <xf numFmtId="8" fontId="1" fillId="0" borderId="0" xfId="0" quotePrefix="1" applyNumberFormat="1" applyFont="1" applyBorder="1" applyAlignment="1">
      <alignment vertical="center" wrapText="1"/>
    </xf>
    <xf numFmtId="8" fontId="1" fillId="0" borderId="26" xfId="0" quotePrefix="1" applyNumberFormat="1" applyFont="1" applyBorder="1" applyAlignment="1">
      <alignment vertical="center" wrapText="1"/>
    </xf>
    <xf numFmtId="178" fontId="1" fillId="0" borderId="10" xfId="0" quotePrefix="1" applyNumberFormat="1" applyFont="1" applyFill="1" applyBorder="1" applyAlignment="1">
      <alignment horizontal="center" vertical="center"/>
    </xf>
    <xf numFmtId="178" fontId="1" fillId="0" borderId="6" xfId="0" quotePrefix="1" applyNumberFormat="1" applyFont="1" applyFill="1" applyBorder="1" applyAlignment="1">
      <alignment horizontal="center" vertical="center"/>
    </xf>
    <xf numFmtId="178" fontId="1" fillId="0" borderId="0" xfId="0" quotePrefix="1" applyNumberFormat="1" applyFont="1" applyFill="1" applyBorder="1" applyAlignment="1">
      <alignment horizontal="center" vertical="center"/>
    </xf>
    <xf numFmtId="178" fontId="1" fillId="0" borderId="26" xfId="0" quotePrefix="1" applyNumberFormat="1" applyFont="1" applyFill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 wrapText="1"/>
    </xf>
    <xf numFmtId="179" fontId="1" fillId="0" borderId="0" xfId="0" quotePrefix="1" applyNumberFormat="1" applyFont="1" applyBorder="1" applyAlignment="1">
      <alignment horizontal="right" vertical="center" wrapText="1"/>
    </xf>
    <xf numFmtId="179" fontId="1" fillId="0" borderId="10" xfId="0" quotePrefix="1" applyNumberFormat="1" applyFont="1" applyBorder="1" applyAlignment="1">
      <alignment horizontal="center" vertical="center"/>
    </xf>
    <xf numFmtId="179" fontId="1" fillId="0" borderId="0" xfId="0" quotePrefix="1" applyNumberFormat="1" applyFont="1" applyBorder="1" applyAlignment="1">
      <alignment horizontal="center" vertical="center"/>
    </xf>
    <xf numFmtId="164" fontId="1" fillId="0" borderId="11" xfId="0" quotePrefix="1" applyNumberFormat="1" applyFont="1" applyFill="1" applyBorder="1" applyAlignment="1">
      <alignment horizontal="center" vertical="center" wrapText="1"/>
    </xf>
    <xf numFmtId="8" fontId="1" fillId="0" borderId="10" xfId="0" quotePrefix="1" applyNumberFormat="1" applyFont="1" applyBorder="1" applyAlignment="1">
      <alignment horizontal="center" vertical="center"/>
    </xf>
    <xf numFmtId="8" fontId="1" fillId="0" borderId="0" xfId="0" quotePrefix="1" applyNumberFormat="1" applyFont="1" applyBorder="1" applyAlignment="1">
      <alignment horizontal="center" vertical="center"/>
    </xf>
    <xf numFmtId="164" fontId="1" fillId="0" borderId="0" xfId="0" quotePrefix="1" applyNumberFormat="1" applyFont="1" applyFill="1" applyBorder="1" applyAlignment="1">
      <alignment horizontal="center" vertical="center" wrapText="1"/>
    </xf>
    <xf numFmtId="8" fontId="1" fillId="0" borderId="10" xfId="0" quotePrefix="1" applyNumberFormat="1" applyFont="1" applyBorder="1" applyAlignment="1">
      <alignment vertical="center"/>
    </xf>
    <xf numFmtId="8" fontId="1" fillId="0" borderId="0" xfId="0" quotePrefix="1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9" fontId="1" fillId="0" borderId="10" xfId="0" quotePrefix="1" applyNumberFormat="1" applyFont="1" applyBorder="1" applyAlignment="1">
      <alignment horizontal="right" vertical="center"/>
    </xf>
    <xf numFmtId="179" fontId="1" fillId="0" borderId="0" xfId="0" quotePrefix="1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6" fillId="0" borderId="26" xfId="0" quotePrefix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167" fontId="1" fillId="0" borderId="30" xfId="0" applyNumberFormat="1" applyFont="1" applyBorder="1" applyAlignment="1">
      <alignment horizontal="center"/>
    </xf>
    <xf numFmtId="167" fontId="1" fillId="0" borderId="31" xfId="0" applyNumberFormat="1" applyFont="1" applyBorder="1" applyAlignment="1">
      <alignment horizontal="center"/>
    </xf>
  </cellXfs>
  <cellStyles count="9">
    <cellStyle name="Comma" xfId="1" builtinId="3"/>
    <cellStyle name="Comma 2" xfId="8"/>
    <cellStyle name="Currency 2" xfId="5"/>
    <cellStyle name="Normal" xfId="0" builtinId="0"/>
    <cellStyle name="Normal 2" xfId="3"/>
    <cellStyle name="Normal 3" xfId="4"/>
    <cellStyle name="Percent" xfId="2" builtinId="5"/>
    <cellStyle name="Percent 2" xfId="6"/>
    <cellStyle name="Percent 3" xfId="7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31"/>
  <sheetViews>
    <sheetView zoomScaleNormal="100" zoomScaleSheetLayoutView="175" workbookViewId="0">
      <selection activeCell="C22" sqref="C22"/>
    </sheetView>
  </sheetViews>
  <sheetFormatPr defaultRowHeight="12.75" x14ac:dyDescent="0.2"/>
  <cols>
    <col min="1" max="1" width="32" style="559" customWidth="1"/>
    <col min="2" max="2" width="16.85546875" style="559" customWidth="1"/>
    <col min="3" max="3" width="71.7109375" style="559" bestFit="1" customWidth="1"/>
    <col min="4" max="16384" width="9.140625" style="559"/>
  </cols>
  <sheetData>
    <row r="1" spans="1:3" s="447" customFormat="1" x14ac:dyDescent="0.2">
      <c r="A1" s="264" t="s">
        <v>0</v>
      </c>
    </row>
    <row r="2" spans="1:3" s="447" customFormat="1" x14ac:dyDescent="0.2">
      <c r="A2" s="264" t="s">
        <v>95</v>
      </c>
    </row>
    <row r="3" spans="1:3" s="447" customFormat="1" x14ac:dyDescent="0.2">
      <c r="A3" s="264" t="s">
        <v>260</v>
      </c>
    </row>
    <row r="4" spans="1:3" s="447" customFormat="1" x14ac:dyDescent="0.2">
      <c r="A4" s="555" t="s">
        <v>261</v>
      </c>
      <c r="B4" s="448"/>
    </row>
    <row r="5" spans="1:3" s="447" customFormat="1" x14ac:dyDescent="0.2"/>
    <row r="6" spans="1:3" s="447" customFormat="1" x14ac:dyDescent="0.2">
      <c r="A6" s="560" t="s">
        <v>262</v>
      </c>
      <c r="B6" s="560" t="s">
        <v>263</v>
      </c>
      <c r="C6" s="560" t="s">
        <v>13</v>
      </c>
    </row>
    <row r="7" spans="1:3" ht="15" x14ac:dyDescent="0.25">
      <c r="A7" s="561" t="s">
        <v>251</v>
      </c>
      <c r="B7" s="559" t="s">
        <v>264</v>
      </c>
      <c r="C7" s="448" t="s">
        <v>265</v>
      </c>
    </row>
    <row r="8" spans="1:3" ht="15" x14ac:dyDescent="0.25">
      <c r="A8" s="561" t="s">
        <v>252</v>
      </c>
      <c r="B8" s="559" t="s">
        <v>264</v>
      </c>
      <c r="C8" s="447" t="s">
        <v>266</v>
      </c>
    </row>
    <row r="9" spans="1:3" ht="15" x14ac:dyDescent="0.25">
      <c r="A9" s="561" t="s">
        <v>253</v>
      </c>
      <c r="B9" s="559" t="s">
        <v>264</v>
      </c>
      <c r="C9" s="447" t="s">
        <v>267</v>
      </c>
    </row>
    <row r="10" spans="1:3" ht="15" x14ac:dyDescent="0.25">
      <c r="A10" s="561" t="s">
        <v>254</v>
      </c>
      <c r="B10" s="559" t="s">
        <v>264</v>
      </c>
      <c r="C10" s="447" t="s">
        <v>268</v>
      </c>
    </row>
    <row r="11" spans="1:3" ht="15" x14ac:dyDescent="0.25">
      <c r="A11" s="561" t="s">
        <v>255</v>
      </c>
      <c r="B11" s="559" t="s">
        <v>264</v>
      </c>
      <c r="C11" s="447" t="s">
        <v>269</v>
      </c>
    </row>
    <row r="12" spans="1:3" ht="15" x14ac:dyDescent="0.25">
      <c r="A12" s="561" t="s">
        <v>256</v>
      </c>
      <c r="B12" s="559" t="s">
        <v>264</v>
      </c>
      <c r="C12" s="447" t="s">
        <v>270</v>
      </c>
    </row>
    <row r="13" spans="1:3" ht="15" x14ac:dyDescent="0.25">
      <c r="A13" s="561" t="s">
        <v>257</v>
      </c>
      <c r="B13" s="559" t="s">
        <v>264</v>
      </c>
      <c r="C13" s="447" t="s">
        <v>271</v>
      </c>
    </row>
    <row r="14" spans="1:3" ht="15" x14ac:dyDescent="0.25">
      <c r="A14" s="561" t="s">
        <v>258</v>
      </c>
      <c r="B14" s="559" t="s">
        <v>264</v>
      </c>
      <c r="C14" s="447" t="s">
        <v>272</v>
      </c>
    </row>
    <row r="15" spans="1:3" ht="15" x14ac:dyDescent="0.25">
      <c r="A15" s="561" t="s">
        <v>259</v>
      </c>
      <c r="B15" s="559" t="s">
        <v>264</v>
      </c>
      <c r="C15" s="447" t="s">
        <v>273</v>
      </c>
    </row>
    <row r="16" spans="1:3" x14ac:dyDescent="0.2">
      <c r="C16" s="447"/>
    </row>
    <row r="18" spans="1:2" x14ac:dyDescent="0.2">
      <c r="A18" s="563" t="s">
        <v>274</v>
      </c>
      <c r="B18" s="562"/>
    </row>
    <row r="19" spans="1:2" x14ac:dyDescent="0.2">
      <c r="A19" s="559" t="s">
        <v>277</v>
      </c>
    </row>
    <row r="20" spans="1:2" x14ac:dyDescent="0.2">
      <c r="A20" s="559" t="s">
        <v>281</v>
      </c>
    </row>
    <row r="21" spans="1:2" x14ac:dyDescent="0.2">
      <c r="A21" s="559" t="s">
        <v>278</v>
      </c>
    </row>
    <row r="22" spans="1:2" x14ac:dyDescent="0.2">
      <c r="A22" s="559" t="s">
        <v>282</v>
      </c>
    </row>
    <row r="23" spans="1:2" x14ac:dyDescent="0.2">
      <c r="A23" s="559" t="s">
        <v>283</v>
      </c>
    </row>
    <row r="26" spans="1:2" x14ac:dyDescent="0.2">
      <c r="A26" s="563" t="s">
        <v>275</v>
      </c>
      <c r="B26" s="562"/>
    </row>
    <row r="27" spans="1:2" x14ac:dyDescent="0.2">
      <c r="A27" s="559" t="s">
        <v>276</v>
      </c>
    </row>
    <row r="28" spans="1:2" x14ac:dyDescent="0.2">
      <c r="A28" s="559" t="s">
        <v>277</v>
      </c>
    </row>
    <row r="29" spans="1:2" x14ac:dyDescent="0.2">
      <c r="A29" s="559" t="s">
        <v>278</v>
      </c>
    </row>
    <row r="30" spans="1:2" x14ac:dyDescent="0.2">
      <c r="A30" s="559" t="s">
        <v>279</v>
      </c>
    </row>
    <row r="31" spans="1:2" x14ac:dyDescent="0.2">
      <c r="A31" s="559" t="s">
        <v>280</v>
      </c>
    </row>
  </sheetData>
  <phoneticPr fontId="11" type="noConversion"/>
  <hyperlinks>
    <hyperlink ref="A7" location="'Exh JDT-5 (JDT-Rate Spread)'!A1" display="Exh JDT-5 (JDT-Rate Spread)"/>
    <hyperlink ref="A8" location="'Exh JDT-5 (Rate Des Sum)'!A1" display="Exh JDT-5 (Rate Des Sum)"/>
    <hyperlink ref="A9" location="'Exh JDT-5 (JDT-RES_RD)'!A1" display="Exh JDT-5 (JDT-RES_RD)"/>
    <hyperlink ref="A10" location="'Exh JDT-5 (JDT-C&amp;I-RD)'!A1" display="Exh JDT-5 (JDT-C&amp;I-RD)"/>
    <hyperlink ref="A11" location="'Exh JDT-5 (JDT-INTRPL-RD)'!A1" display="Exh JDT-5 (JDT-INTRPL-RD)"/>
    <hyperlink ref="A12" location="'Exh JDT-5 (JDT-MYRP)'!A1" display="Exh JDT-5 (JDT-MYRP)"/>
    <hyperlink ref="A13" location="'Exh JDT-5 (JDT-MYRP-SUM)'!A1" display="Exh JDT-5 (JDT-MYRP-SUM)"/>
    <hyperlink ref="A14" location="'Exh JDT-5 (JDT-Balancing)'!A1" display="Exh JDT-5 (JDT-Balancing)"/>
    <hyperlink ref="A15" location="'Exh JDT-5 (JDT-Procmnt Chrg)'!A1" display="Exh JDT-5 (JDT-Procmnt Chrg)"/>
  </hyperlink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J25"/>
  <sheetViews>
    <sheetView zoomScale="90" zoomScaleNormal="90" zoomScaleSheetLayoutView="90" workbookViewId="0">
      <selection activeCell="G29" sqref="G29"/>
    </sheetView>
  </sheetViews>
  <sheetFormatPr defaultColWidth="9.140625" defaultRowHeight="12.75" x14ac:dyDescent="0.2"/>
  <cols>
    <col min="1" max="1" width="2.5703125" style="428" customWidth="1"/>
    <col min="2" max="2" width="5" style="428" bestFit="1" customWidth="1"/>
    <col min="3" max="3" width="46.42578125" style="428" bestFit="1" customWidth="1"/>
    <col min="4" max="4" width="15.28515625" style="428" customWidth="1"/>
    <col min="5" max="6" width="17.85546875" style="428" customWidth="1"/>
    <col min="7" max="7" width="16.42578125" style="428" customWidth="1"/>
    <col min="8" max="8" width="15.28515625" style="428" customWidth="1"/>
    <col min="9" max="9" width="16.85546875" style="428" customWidth="1"/>
    <col min="10" max="16384" width="9.140625" style="428"/>
  </cols>
  <sheetData>
    <row r="2" spans="2:10" ht="15" x14ac:dyDescent="0.25">
      <c r="B2" s="442"/>
      <c r="C2" s="490" t="str">
        <f>'Table of Contents'!$A$1</f>
        <v>Puget Sound Energy</v>
      </c>
      <c r="D2" s="441"/>
      <c r="E2" s="441"/>
      <c r="F2" s="441"/>
      <c r="G2" s="441"/>
      <c r="H2" s="441"/>
      <c r="I2" s="441"/>
    </row>
    <row r="3" spans="2:10" ht="15" x14ac:dyDescent="0.25">
      <c r="B3" s="442"/>
      <c r="C3" s="490" t="str">
        <f>'Table of Contents'!$A$2</f>
        <v>2022 Gas General Rate Case Filing</v>
      </c>
      <c r="D3" s="441"/>
      <c r="E3" s="441"/>
      <c r="F3" s="441"/>
      <c r="G3" s="441"/>
      <c r="H3" s="441"/>
      <c r="I3" s="441"/>
    </row>
    <row r="4" spans="2:10" ht="15" x14ac:dyDescent="0.25">
      <c r="B4" s="442"/>
      <c r="C4" s="490" t="str">
        <f>'Table of Contents'!$A$3</f>
        <v>Gas Rate Spread &amp; Design Work Paper</v>
      </c>
      <c r="D4" s="441"/>
      <c r="E4" s="441"/>
      <c r="F4" s="441"/>
      <c r="G4" s="441"/>
      <c r="H4" s="441"/>
      <c r="I4" s="441"/>
    </row>
    <row r="5" spans="2:10" ht="15" x14ac:dyDescent="0.25">
      <c r="B5" s="442"/>
      <c r="C5" s="490" t="s">
        <v>226</v>
      </c>
      <c r="D5" s="441"/>
      <c r="E5" s="441"/>
      <c r="F5" s="441"/>
      <c r="G5" s="441"/>
      <c r="H5" s="441"/>
      <c r="I5" s="441"/>
    </row>
    <row r="7" spans="2:10" ht="38.25" x14ac:dyDescent="0.2">
      <c r="B7" s="438" t="s">
        <v>150</v>
      </c>
      <c r="C7" s="440" t="s">
        <v>13</v>
      </c>
      <c r="D7" s="438" t="s">
        <v>2</v>
      </c>
      <c r="E7" s="439" t="s">
        <v>104</v>
      </c>
      <c r="F7" s="439" t="s">
        <v>105</v>
      </c>
      <c r="G7" s="438" t="s">
        <v>8</v>
      </c>
      <c r="H7" s="438" t="s">
        <v>106</v>
      </c>
      <c r="I7" s="438" t="s">
        <v>107</v>
      </c>
    </row>
    <row r="8" spans="2:10" x14ac:dyDescent="0.2">
      <c r="C8" s="433" t="s">
        <v>225</v>
      </c>
      <c r="D8" s="433" t="s">
        <v>224</v>
      </c>
      <c r="E8" s="433" t="s">
        <v>223</v>
      </c>
      <c r="F8" s="433" t="s">
        <v>222</v>
      </c>
      <c r="G8" s="433" t="s">
        <v>221</v>
      </c>
      <c r="H8" s="433" t="s">
        <v>220</v>
      </c>
      <c r="I8" s="433" t="s">
        <v>219</v>
      </c>
      <c r="J8" s="433"/>
    </row>
    <row r="10" spans="2:10" x14ac:dyDescent="0.2">
      <c r="B10" s="433">
        <v>1</v>
      </c>
      <c r="C10" s="428" t="s">
        <v>218</v>
      </c>
      <c r="D10" s="435">
        <f>SUM(E10:I10)</f>
        <v>1129896.9698845081</v>
      </c>
      <c r="E10" s="435">
        <v>757791.61902905267</v>
      </c>
      <c r="F10" s="435">
        <v>212885.16441372084</v>
      </c>
      <c r="G10" s="435">
        <v>66927.933936563146</v>
      </c>
      <c r="H10" s="435">
        <v>19660.200803611089</v>
      </c>
      <c r="I10" s="435">
        <v>72632.051701560209</v>
      </c>
    </row>
    <row r="11" spans="2:10" ht="15" x14ac:dyDescent="0.25">
      <c r="B11" s="433">
        <v>2</v>
      </c>
      <c r="C11" s="428" t="s">
        <v>216</v>
      </c>
      <c r="D11" s="437">
        <f t="shared" ref="D11:I11" si="0">D10/D19</f>
        <v>3.4005338274496221E-3</v>
      </c>
      <c r="E11" s="437">
        <f t="shared" si="0"/>
        <v>3.4109112455644824E-3</v>
      </c>
      <c r="F11" s="437">
        <f t="shared" si="0"/>
        <v>3.405182419877883E-3</v>
      </c>
      <c r="G11" s="437">
        <f t="shared" si="0"/>
        <v>3.3475784752607313E-3</v>
      </c>
      <c r="H11" s="437">
        <f t="shared" si="0"/>
        <v>3.4054426152025528E-3</v>
      </c>
      <c r="I11" s="437">
        <f t="shared" si="0"/>
        <v>3.3287746721378467E-3</v>
      </c>
    </row>
    <row r="13" spans="2:10" x14ac:dyDescent="0.2">
      <c r="B13" s="433">
        <v>3</v>
      </c>
      <c r="C13" s="428" t="s">
        <v>217</v>
      </c>
      <c r="D13" s="435">
        <f>SUM(E13:I13)</f>
        <v>3349736.9448001725</v>
      </c>
      <c r="E13" s="435">
        <v>2557196.2056071819</v>
      </c>
      <c r="F13" s="435">
        <v>486392.80692572094</v>
      </c>
      <c r="G13" s="435">
        <v>138761.71802179763</v>
      </c>
      <c r="H13" s="435">
        <v>59820.724529945008</v>
      </c>
      <c r="I13" s="435">
        <v>107565.48971552723</v>
      </c>
    </row>
    <row r="14" spans="2:10" ht="15" x14ac:dyDescent="0.25">
      <c r="B14" s="433">
        <v>4</v>
      </c>
      <c r="C14" s="428" t="s">
        <v>216</v>
      </c>
      <c r="D14" s="437">
        <f t="shared" ref="D14:I14" si="1">D13/D19</f>
        <v>1.0081356174461684E-2</v>
      </c>
      <c r="E14" s="437">
        <f t="shared" si="1"/>
        <v>1.151024777233114E-2</v>
      </c>
      <c r="F14" s="437">
        <f t="shared" si="1"/>
        <v>7.7800453585377865E-3</v>
      </c>
      <c r="G14" s="437">
        <f t="shared" si="1"/>
        <v>6.9405360828896142E-3</v>
      </c>
      <c r="H14" s="437">
        <f t="shared" si="1"/>
        <v>1.0361849638338886E-2</v>
      </c>
      <c r="I14" s="437">
        <f t="shared" si="1"/>
        <v>4.9297970988400374E-3</v>
      </c>
    </row>
    <row r="15" spans="2:10" ht="15" x14ac:dyDescent="0.25">
      <c r="B15" s="433"/>
      <c r="D15" s="436"/>
      <c r="E15" s="436"/>
      <c r="F15" s="436"/>
      <c r="G15" s="436"/>
      <c r="H15" s="436"/>
      <c r="I15" s="436"/>
    </row>
    <row r="16" spans="2:10" ht="15" x14ac:dyDescent="0.25">
      <c r="B16" s="433">
        <v>7</v>
      </c>
      <c r="C16" s="428" t="s">
        <v>227</v>
      </c>
      <c r="D16" s="435">
        <f>SUM(E16:I16)</f>
        <v>4479633.9146846803</v>
      </c>
      <c r="E16" s="434">
        <f>E13+E10</f>
        <v>3314987.8246362344</v>
      </c>
      <c r="F16" s="434">
        <f t="shared" ref="F16:I16" si="2">F13+F10</f>
        <v>699277.97133944184</v>
      </c>
      <c r="G16" s="434">
        <f t="shared" si="2"/>
        <v>205689.65195836077</v>
      </c>
      <c r="H16" s="434">
        <f t="shared" si="2"/>
        <v>79480.925333556093</v>
      </c>
      <c r="I16" s="434">
        <f t="shared" si="2"/>
        <v>180197.54141708743</v>
      </c>
    </row>
    <row r="17" spans="2:9" x14ac:dyDescent="0.2">
      <c r="B17" s="433">
        <v>8</v>
      </c>
      <c r="C17" s="428" t="s">
        <v>215</v>
      </c>
      <c r="D17" s="430">
        <f>D14+D11</f>
        <v>1.3481890001911306E-2</v>
      </c>
      <c r="E17" s="430">
        <f t="shared" ref="E17:I17" si="3">E14+E11</f>
        <v>1.4921159017895622E-2</v>
      </c>
      <c r="F17" s="430">
        <f t="shared" si="3"/>
        <v>1.1185227778415669E-2</v>
      </c>
      <c r="G17" s="430">
        <f t="shared" si="3"/>
        <v>1.0288114558150346E-2</v>
      </c>
      <c r="H17" s="430">
        <f t="shared" si="3"/>
        <v>1.3767292253541438E-2</v>
      </c>
      <c r="I17" s="430">
        <f t="shared" si="3"/>
        <v>8.258571770977885E-3</v>
      </c>
    </row>
    <row r="18" spans="2:9" x14ac:dyDescent="0.2">
      <c r="B18" s="433"/>
      <c r="D18" s="430"/>
      <c r="E18" s="430"/>
      <c r="F18" s="430"/>
      <c r="G18" s="430"/>
      <c r="H18" s="430"/>
      <c r="I18" s="430"/>
    </row>
    <row r="19" spans="2:9" x14ac:dyDescent="0.2">
      <c r="B19" s="433">
        <v>9</v>
      </c>
      <c r="C19" s="428" t="s">
        <v>214</v>
      </c>
      <c r="D19" s="432">
        <f>SUM(E19:I19)</f>
        <v>332270469.05512577</v>
      </c>
      <c r="E19" s="431">
        <f>'Exh JDT-5 (JDT-C&amp;I-RD)'!D13</f>
        <v>222166912.14539161</v>
      </c>
      <c r="F19" s="431">
        <f>'Exh JDT-5 (JDT-C&amp;I-RD)'!D49</f>
        <v>62517991.156948164</v>
      </c>
      <c r="G19" s="431">
        <f>'Exh JDT-5 (JDT-INTRPL-RD)'!D21</f>
        <v>19992939.502740219</v>
      </c>
      <c r="H19" s="431">
        <f>'Exh JDT-5 (JDT-INTRPL-RD)'!D67</f>
        <v>5773170.4876905456</v>
      </c>
      <c r="I19" s="431">
        <f>'Exh JDT-5 (JDT-INTRPL-RD)'!D116</f>
        <v>21819455.762355208</v>
      </c>
    </row>
    <row r="21" spans="2:9" x14ac:dyDescent="0.2">
      <c r="B21" s="433">
        <v>10</v>
      </c>
      <c r="C21" s="428" t="s">
        <v>213</v>
      </c>
      <c r="E21" s="430">
        <f>'Exh JDT-5 (JDT-C&amp;I-RD)'!$E$14</f>
        <v>1.371E-2</v>
      </c>
      <c r="F21" s="430">
        <f>'Exh JDT-5 (JDT-C&amp;I-RD)'!$E$50</f>
        <v>1.005E-2</v>
      </c>
      <c r="G21" s="430">
        <f>'Exh JDT-5 (JDT-INTRPL-RD)'!$E$14</f>
        <v>7.0499999999999998E-3</v>
      </c>
      <c r="H21" s="430">
        <f>'Exh JDT-5 (JDT-INTRPL-RD)'!$E$61</f>
        <v>1.222E-2</v>
      </c>
      <c r="I21" s="430">
        <f>'Exh JDT-5 (JDT-INTRPL-RD)'!$E$106</f>
        <v>8.43E-3</v>
      </c>
    </row>
    <row r="22" spans="2:9" x14ac:dyDescent="0.2">
      <c r="B22" s="433"/>
      <c r="E22" s="429"/>
    </row>
    <row r="23" spans="2:9" x14ac:dyDescent="0.2">
      <c r="B23" s="433">
        <v>11</v>
      </c>
      <c r="C23" s="428" t="s">
        <v>228</v>
      </c>
      <c r="E23" s="430">
        <f>'Exh JDT-5 (Rate Des Sum)'!N13</f>
        <v>1.4919999999999999E-2</v>
      </c>
      <c r="F23" s="430">
        <f>'Exh JDT-5 (Rate Des Sum)'!N16</f>
        <v>1.119E-2</v>
      </c>
      <c r="G23" s="430">
        <f>'Exh JDT-5 (Rate Des Sum)'!N24</f>
        <v>7.7999999999999996E-3</v>
      </c>
      <c r="H23" s="430">
        <f>'Exh JDT-5 (Rate Des Sum)'!N32</f>
        <v>1.222E-2</v>
      </c>
      <c r="I23" s="430">
        <f>'Exh JDT-5 (Rate Des Sum)'!N38</f>
        <v>9.3200000000000002E-3</v>
      </c>
    </row>
    <row r="24" spans="2:9" x14ac:dyDescent="0.2">
      <c r="B24" s="433"/>
    </row>
    <row r="25" spans="2:9" x14ac:dyDescent="0.2">
      <c r="B25" s="433">
        <v>12</v>
      </c>
      <c r="C25" s="428" t="s">
        <v>229</v>
      </c>
      <c r="E25" s="443">
        <f>E23/E21-1</f>
        <v>8.8256746900072791E-2</v>
      </c>
      <c r="F25" s="443">
        <f t="shared" ref="F25:I25" si="4">F23/F21-1</f>
        <v>0.11343283582089558</v>
      </c>
      <c r="G25" s="443">
        <f t="shared" si="4"/>
        <v>0.1063829787234043</v>
      </c>
      <c r="H25" s="443">
        <f t="shared" si="4"/>
        <v>0</v>
      </c>
      <c r="I25" s="443">
        <f t="shared" si="4"/>
        <v>0.1055753262158956</v>
      </c>
    </row>
  </sheetData>
  <printOptions horizontalCentered="1"/>
  <pageMargins left="0.75" right="0.75" top="1" bottom="1" header="0.5" footer="0.5"/>
  <pageSetup scale="78" orientation="landscape" r:id="rId1"/>
  <headerFooter alignWithMargins="0">
    <oddFooter>&amp;R&amp;A
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R31" sqref="R3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34"/>
  <sheetViews>
    <sheetView zoomScale="90" zoomScaleNormal="90" workbookViewId="0">
      <selection activeCell="K38" sqref="K38"/>
    </sheetView>
  </sheetViews>
  <sheetFormatPr defaultColWidth="8.85546875" defaultRowHeight="15" x14ac:dyDescent="0.25"/>
  <cols>
    <col min="1" max="1" width="8.85546875" style="629"/>
    <col min="2" max="2" width="39.85546875" style="629" bestFit="1" customWidth="1"/>
    <col min="3" max="3" width="20.42578125" style="629" bestFit="1" customWidth="1"/>
    <col min="4" max="4" width="17.28515625" style="629" bestFit="1" customWidth="1"/>
    <col min="5" max="5" width="14.5703125" style="629" customWidth="1"/>
    <col min="6" max="6" width="5.140625" style="629" customWidth="1"/>
    <col min="7" max="7" width="39.85546875" style="629" bestFit="1" customWidth="1"/>
    <col min="8" max="8" width="20.42578125" style="629" bestFit="1" customWidth="1"/>
    <col min="9" max="9" width="17.28515625" style="629" bestFit="1" customWidth="1"/>
    <col min="10" max="10" width="15.7109375" style="629" bestFit="1" customWidth="1"/>
    <col min="11" max="11" width="7.85546875" style="629" bestFit="1" customWidth="1"/>
    <col min="12" max="12" width="27.5703125" style="629" bestFit="1" customWidth="1"/>
    <col min="13" max="14" width="11.5703125" style="629" customWidth="1"/>
    <col min="15" max="16384" width="8.85546875" style="629"/>
  </cols>
  <sheetData>
    <row r="2" spans="1:12" ht="18.75" x14ac:dyDescent="0.3">
      <c r="B2" s="630" t="s">
        <v>299</v>
      </c>
      <c r="C2" s="631"/>
      <c r="D2" s="632"/>
      <c r="E2" s="632"/>
      <c r="F2" s="633"/>
      <c r="G2" s="630" t="s">
        <v>300</v>
      </c>
      <c r="H2" s="631"/>
      <c r="I2" s="632"/>
      <c r="J2" s="632"/>
    </row>
    <row r="3" spans="1:12" ht="18.75" x14ac:dyDescent="0.3">
      <c r="B3" s="630"/>
      <c r="C3" s="631"/>
      <c r="D3" s="632"/>
      <c r="E3" s="632"/>
      <c r="F3" s="633"/>
      <c r="G3" s="630"/>
      <c r="H3" s="631"/>
      <c r="I3" s="632"/>
      <c r="J3" s="632"/>
    </row>
    <row r="4" spans="1:12" x14ac:dyDescent="0.25">
      <c r="C4" s="634" t="s">
        <v>301</v>
      </c>
      <c r="D4" s="632" t="s">
        <v>302</v>
      </c>
      <c r="E4" s="635"/>
      <c r="F4" s="633"/>
      <c r="H4" s="634" t="s">
        <v>301</v>
      </c>
      <c r="I4" s="632" t="s">
        <v>302</v>
      </c>
      <c r="J4" s="635"/>
    </row>
    <row r="5" spans="1:12" x14ac:dyDescent="0.25">
      <c r="A5" s="634" t="s">
        <v>303</v>
      </c>
      <c r="C5" s="636" t="s">
        <v>304</v>
      </c>
      <c r="D5" s="636" t="s">
        <v>304</v>
      </c>
      <c r="E5" s="636" t="s">
        <v>305</v>
      </c>
      <c r="F5" s="633"/>
      <c r="H5" s="636" t="s">
        <v>304</v>
      </c>
      <c r="I5" s="636" t="s">
        <v>304</v>
      </c>
      <c r="J5" s="636" t="s">
        <v>305</v>
      </c>
    </row>
    <row r="6" spans="1:12" x14ac:dyDescent="0.25">
      <c r="A6" s="637" t="s">
        <v>306</v>
      </c>
      <c r="B6" s="638"/>
      <c r="C6" s="637" t="s">
        <v>307</v>
      </c>
      <c r="D6" s="637" t="s">
        <v>308</v>
      </c>
      <c r="E6" s="637" t="s">
        <v>309</v>
      </c>
      <c r="F6" s="639"/>
      <c r="G6" s="638"/>
      <c r="H6" s="637" t="s">
        <v>307</v>
      </c>
      <c r="I6" s="637" t="s">
        <v>308</v>
      </c>
      <c r="J6" s="637" t="s">
        <v>309</v>
      </c>
      <c r="L6" s="640"/>
    </row>
    <row r="7" spans="1:12" x14ac:dyDescent="0.25">
      <c r="A7" s="641">
        <v>1</v>
      </c>
      <c r="B7" s="642" t="s">
        <v>310</v>
      </c>
      <c r="C7" s="636"/>
      <c r="D7" s="636"/>
      <c r="E7" s="636"/>
      <c r="F7" s="633"/>
      <c r="G7" s="642" t="s">
        <v>310</v>
      </c>
      <c r="H7" s="636"/>
      <c r="I7" s="636"/>
      <c r="J7" s="636"/>
      <c r="L7" s="640"/>
    </row>
    <row r="8" spans="1:12" x14ac:dyDescent="0.25">
      <c r="A8" s="641">
        <f>A7+1</f>
        <v>2</v>
      </c>
      <c r="B8" s="629" t="s">
        <v>311</v>
      </c>
      <c r="C8" s="643">
        <v>488246218.25586998</v>
      </c>
      <c r="D8" s="643">
        <v>507875039.91432595</v>
      </c>
      <c r="E8" s="643">
        <f t="shared" ref="E8:E13" si="0">(D8-C8)*C$32/C$34</f>
        <v>1868032.5521136262</v>
      </c>
      <c r="F8" s="633"/>
      <c r="G8" s="629" t="s">
        <v>311</v>
      </c>
      <c r="H8" s="643">
        <v>275180706.80413002</v>
      </c>
      <c r="I8" s="643">
        <v>246950918.70567396</v>
      </c>
      <c r="J8" s="643">
        <f t="shared" ref="J8:J13" si="1">(I8-H8)*H$32/H$34</f>
        <v>-2677861.8839262975</v>
      </c>
      <c r="L8" s="644"/>
    </row>
    <row r="9" spans="1:12" x14ac:dyDescent="0.25">
      <c r="A9" s="641">
        <f t="shared" ref="A9:A34" si="2">A8+1</f>
        <v>3</v>
      </c>
      <c r="B9" s="629" t="s">
        <v>312</v>
      </c>
      <c r="C9" s="644">
        <v>-10030413.777323999</v>
      </c>
      <c r="D9" s="644">
        <v>-11915301.200613739</v>
      </c>
      <c r="E9" s="644">
        <f t="shared" si="0"/>
        <v>-179380.66405825096</v>
      </c>
      <c r="F9" s="633"/>
      <c r="G9" s="629" t="s">
        <v>312</v>
      </c>
      <c r="H9" s="644">
        <v>-5253997.1026760004</v>
      </c>
      <c r="I9" s="644">
        <v>-4907760.4821463246</v>
      </c>
      <c r="J9" s="644">
        <f t="shared" si="1"/>
        <v>32843.811852295883</v>
      </c>
    </row>
    <row r="10" spans="1:12" x14ac:dyDescent="0.25">
      <c r="A10" s="641">
        <f t="shared" si="2"/>
        <v>4</v>
      </c>
      <c r="B10" s="629" t="s">
        <v>313</v>
      </c>
      <c r="C10" s="645">
        <v>-4742307.5805559997</v>
      </c>
      <c r="D10" s="645">
        <v>-14030589.723037705</v>
      </c>
      <c r="E10" s="644">
        <f t="shared" si="0"/>
        <v>-883945.74556119123</v>
      </c>
      <c r="F10" s="633"/>
      <c r="G10" s="629" t="s">
        <v>313</v>
      </c>
      <c r="H10" s="645">
        <v>-1951090.2194439999</v>
      </c>
      <c r="I10" s="645">
        <v>-5259970.2769679548</v>
      </c>
      <c r="J10" s="644">
        <f t="shared" si="1"/>
        <v>-313878.50853233517</v>
      </c>
    </row>
    <row r="11" spans="1:12" x14ac:dyDescent="0.25">
      <c r="A11" s="641">
        <f t="shared" si="2"/>
        <v>5</v>
      </c>
      <c r="B11" s="629" t="s">
        <v>314</v>
      </c>
      <c r="C11" s="645">
        <v>0</v>
      </c>
      <c r="D11" s="645">
        <v>0</v>
      </c>
      <c r="E11" s="644">
        <f t="shared" si="0"/>
        <v>0</v>
      </c>
      <c r="F11" s="633"/>
      <c r="G11" s="629" t="s">
        <v>314</v>
      </c>
      <c r="H11" s="645">
        <v>0</v>
      </c>
      <c r="I11" s="645">
        <v>0</v>
      </c>
      <c r="J11" s="644">
        <f t="shared" si="1"/>
        <v>0</v>
      </c>
    </row>
    <row r="12" spans="1:12" x14ac:dyDescent="0.25">
      <c r="A12" s="641">
        <f t="shared" si="2"/>
        <v>6</v>
      </c>
      <c r="B12" s="629" t="s">
        <v>315</v>
      </c>
      <c r="C12" s="645">
        <v>2973871.9584680009</v>
      </c>
      <c r="D12" s="646">
        <v>2607017.0229187747</v>
      </c>
      <c r="E12" s="644">
        <f t="shared" si="0"/>
        <v>-34912.79168122042</v>
      </c>
      <c r="F12" s="633"/>
      <c r="G12" s="629" t="s">
        <v>315</v>
      </c>
      <c r="H12" s="645">
        <v>691150.87153200002</v>
      </c>
      <c r="I12" s="646">
        <v>906593.54143960041</v>
      </c>
      <c r="J12" s="644">
        <f t="shared" si="1"/>
        <v>20436.770970605743</v>
      </c>
    </row>
    <row r="13" spans="1:12" x14ac:dyDescent="0.25">
      <c r="A13" s="641">
        <f t="shared" si="2"/>
        <v>7</v>
      </c>
      <c r="B13" s="629" t="s">
        <v>316</v>
      </c>
      <c r="C13" s="645">
        <v>-9603810.1312885284</v>
      </c>
      <c r="D13" s="646">
        <v>-6276401.9387100171</v>
      </c>
      <c r="E13" s="644">
        <f t="shared" si="0"/>
        <v>316662.24932195758</v>
      </c>
      <c r="F13" s="633"/>
      <c r="G13" s="629" t="s">
        <v>316</v>
      </c>
      <c r="H13" s="645">
        <v>-4750426.2986774743</v>
      </c>
      <c r="I13" s="646">
        <v>-1423274.1576899998</v>
      </c>
      <c r="J13" s="644">
        <f t="shared" si="1"/>
        <v>315611.78813316778</v>
      </c>
      <c r="K13" s="647"/>
      <c r="L13" s="647"/>
    </row>
    <row r="14" spans="1:12" ht="15.75" thickBot="1" x14ac:dyDescent="0.3">
      <c r="A14" s="641">
        <f t="shared" si="2"/>
        <v>8</v>
      </c>
      <c r="B14" s="648" t="s">
        <v>317</v>
      </c>
      <c r="C14" s="649">
        <f>SUM(C8:C13)</f>
        <v>466843558.72516948</v>
      </c>
      <c r="D14" s="649">
        <f>SUM(D8:D13)</f>
        <v>478259764.07488322</v>
      </c>
      <c r="E14" s="649">
        <f>SUM(E8:E13)</f>
        <v>1086455.6001349213</v>
      </c>
      <c r="F14" s="650">
        <f>(D14-C14)*$C$32/$C$34-E14</f>
        <v>-6.28642737865448E-9</v>
      </c>
      <c r="G14" s="648" t="s">
        <v>317</v>
      </c>
      <c r="H14" s="649">
        <f>SUM(H8:H13)</f>
        <v>263916344.05486456</v>
      </c>
      <c r="I14" s="649">
        <f>SUM(I8:I13)</f>
        <v>236266507.3303093</v>
      </c>
      <c r="J14" s="649">
        <f>SUM(J8:J13)</f>
        <v>-2622848.0215025633</v>
      </c>
      <c r="K14" s="651">
        <f>(I14-H14)*$H$32/$H$34-J14</f>
        <v>0</v>
      </c>
    </row>
    <row r="15" spans="1:12" x14ac:dyDescent="0.25">
      <c r="A15" s="641">
        <f t="shared" si="2"/>
        <v>9</v>
      </c>
      <c r="B15" s="652"/>
      <c r="C15" s="653"/>
      <c r="D15" s="653"/>
      <c r="E15" s="654"/>
      <c r="F15" s="655"/>
      <c r="G15" s="652"/>
      <c r="H15" s="653"/>
      <c r="I15" s="653"/>
      <c r="J15" s="654"/>
      <c r="K15" s="652"/>
    </row>
    <row r="16" spans="1:12" x14ac:dyDescent="0.25">
      <c r="A16" s="641">
        <f t="shared" si="2"/>
        <v>10</v>
      </c>
      <c r="B16" s="642" t="s">
        <v>318</v>
      </c>
      <c r="E16" s="656"/>
      <c r="F16" s="633"/>
      <c r="G16" s="642" t="s">
        <v>318</v>
      </c>
      <c r="J16" s="656"/>
      <c r="K16" s="657"/>
    </row>
    <row r="17" spans="1:14" x14ac:dyDescent="0.25">
      <c r="A17" s="641">
        <f t="shared" si="2"/>
        <v>11</v>
      </c>
      <c r="B17" s="629" t="s">
        <v>319</v>
      </c>
      <c r="C17" s="644">
        <v>-10030413.777324</v>
      </c>
      <c r="D17" s="644">
        <v>-11915301.200613739</v>
      </c>
      <c r="E17" s="658">
        <f>(D17-C17)/C$34</f>
        <v>-2505316.537126408</v>
      </c>
      <c r="F17" s="633"/>
      <c r="G17" s="629" t="s">
        <v>319</v>
      </c>
      <c r="H17" s="644">
        <v>-5253997.1026760004</v>
      </c>
      <c r="I17" s="644">
        <v>-4907760.4821463246</v>
      </c>
      <c r="J17" s="658">
        <f>(I17-H17)/H$34</f>
        <v>458712.4560376521</v>
      </c>
      <c r="K17" s="657"/>
    </row>
    <row r="18" spans="1:14" x14ac:dyDescent="0.25">
      <c r="A18" s="641">
        <f t="shared" si="2"/>
        <v>12</v>
      </c>
      <c r="B18" s="629" t="s">
        <v>320</v>
      </c>
      <c r="C18" s="645">
        <v>2106386.8932380402</v>
      </c>
      <c r="D18" s="645">
        <f>D17*-C33</f>
        <v>2502213.2521288851</v>
      </c>
      <c r="E18" s="658">
        <f>(D18-C18)/C$34</f>
        <v>526116.47279654548</v>
      </c>
      <c r="F18" s="633"/>
      <c r="G18" s="629" t="s">
        <v>320</v>
      </c>
      <c r="H18" s="645">
        <v>1103339.3915619601</v>
      </c>
      <c r="I18" s="645">
        <f>I17*-H33</f>
        <v>1030629.7012507281</v>
      </c>
      <c r="J18" s="658">
        <f>(I18-H18)/H$34</f>
        <v>-96329.615767907031</v>
      </c>
      <c r="K18" s="657"/>
    </row>
    <row r="19" spans="1:14" x14ac:dyDescent="0.25">
      <c r="A19" s="641">
        <f t="shared" si="2"/>
        <v>13</v>
      </c>
      <c r="B19" s="629" t="s">
        <v>321</v>
      </c>
      <c r="C19" s="645">
        <v>2973871.9584680009</v>
      </c>
      <c r="D19" s="646">
        <v>2607017.0229187747</v>
      </c>
      <c r="E19" s="658">
        <f>(D19-C19)/C$34</f>
        <v>-487608.8223634137</v>
      </c>
      <c r="F19" s="633"/>
      <c r="G19" s="629" t="s">
        <v>321</v>
      </c>
      <c r="H19" s="645">
        <v>691150.87153200095</v>
      </c>
      <c r="I19" s="646">
        <v>906593.54143960041</v>
      </c>
      <c r="J19" s="658">
        <f>(I19-H19)/H$34</f>
        <v>285429.76215929689</v>
      </c>
      <c r="K19" s="657"/>
    </row>
    <row r="20" spans="1:14" x14ac:dyDescent="0.25">
      <c r="A20" s="641">
        <f t="shared" si="2"/>
        <v>14</v>
      </c>
      <c r="B20" s="629" t="s">
        <v>322</v>
      </c>
      <c r="C20" s="645">
        <v>-375232.61574703921</v>
      </c>
      <c r="D20" s="646">
        <v>681838.94392494205</v>
      </c>
      <c r="E20" s="658">
        <f>(D20-C20)/C$34</f>
        <v>1405016.9928716912</v>
      </c>
      <c r="F20" s="633"/>
      <c r="G20" s="629" t="s">
        <v>322</v>
      </c>
      <c r="H20" s="645">
        <v>193331.15524704225</v>
      </c>
      <c r="I20" s="646">
        <v>106594.0745903159</v>
      </c>
      <c r="J20" s="658">
        <f>(I20-H20)/H$34</f>
        <v>-114913.83908702605</v>
      </c>
      <c r="K20" s="657"/>
    </row>
    <row r="21" spans="1:14" x14ac:dyDescent="0.25">
      <c r="A21" s="641">
        <f t="shared" si="2"/>
        <v>15</v>
      </c>
      <c r="B21" s="659" t="s">
        <v>323</v>
      </c>
      <c r="C21" s="660">
        <f>SUM(C17:C20)</f>
        <v>-5325387.5413649986</v>
      </c>
      <c r="D21" s="660">
        <f>SUM(D17:D20)</f>
        <v>-6124231.9816411361</v>
      </c>
      <c r="E21" s="660">
        <f>SUM(E17:E20)</f>
        <v>-1061791.8938215852</v>
      </c>
      <c r="F21" s="633"/>
      <c r="G21" s="659" t="s">
        <v>323</v>
      </c>
      <c r="H21" s="660">
        <f>SUM(H17:H20)</f>
        <v>-3266175.6843349971</v>
      </c>
      <c r="I21" s="660">
        <f>SUM(I17:I20)</f>
        <v>-2863943.16486568</v>
      </c>
      <c r="J21" s="660">
        <f>SUM(J17:J20)</f>
        <v>532898.76334201591</v>
      </c>
      <c r="K21" s="657"/>
    </row>
    <row r="22" spans="1:14" x14ac:dyDescent="0.25">
      <c r="A22" s="641">
        <f t="shared" si="2"/>
        <v>16</v>
      </c>
      <c r="F22" s="633"/>
      <c r="K22" s="657"/>
    </row>
    <row r="23" spans="1:14" x14ac:dyDescent="0.25">
      <c r="A23" s="641">
        <f t="shared" si="2"/>
        <v>17</v>
      </c>
      <c r="B23" s="629" t="s">
        <v>324</v>
      </c>
      <c r="C23" s="645">
        <f>C14*C31*C33</f>
        <v>2499947.2569732824</v>
      </c>
      <c r="D23" s="645">
        <f>D14*C31*C33</f>
        <v>2561081.0366209992</v>
      </c>
      <c r="E23" s="658">
        <f>(D23-C23)/C$34</f>
        <v>81256.560596682131</v>
      </c>
      <c r="F23" s="633"/>
      <c r="G23" s="629" t="s">
        <v>324</v>
      </c>
      <c r="H23" s="645">
        <f>H14*H31*H33</f>
        <v>1413272.0224137995</v>
      </c>
      <c r="I23" s="645">
        <f>I14*H31*H33</f>
        <v>1265207.1467538062</v>
      </c>
      <c r="J23" s="658">
        <f>(I23-H23)/H$34</f>
        <v>-196164.12227857855</v>
      </c>
      <c r="K23" s="657"/>
    </row>
    <row r="24" spans="1:14" ht="15.75" thickBot="1" x14ac:dyDescent="0.3">
      <c r="A24" s="641">
        <f t="shared" si="2"/>
        <v>18</v>
      </c>
      <c r="B24" s="648" t="s">
        <v>325</v>
      </c>
      <c r="C24" s="649">
        <f>C21+C23</f>
        <v>-2825440.2843917161</v>
      </c>
      <c r="D24" s="649">
        <f>D21+D23</f>
        <v>-3563150.9450201369</v>
      </c>
      <c r="E24" s="649">
        <f>E21+E23</f>
        <v>-980535.33322490309</v>
      </c>
      <c r="F24" s="633"/>
      <c r="G24" s="648" t="s">
        <v>325</v>
      </c>
      <c r="H24" s="649">
        <f>H21+H23</f>
        <v>-1852903.6619211975</v>
      </c>
      <c r="I24" s="649">
        <f>I21+I23</f>
        <v>-1598736.0181118739</v>
      </c>
      <c r="J24" s="649">
        <f>J21+J23</f>
        <v>336734.64106343733</v>
      </c>
      <c r="K24" s="657"/>
    </row>
    <row r="25" spans="1:14" x14ac:dyDescent="0.25">
      <c r="A25" s="641">
        <f t="shared" si="2"/>
        <v>19</v>
      </c>
      <c r="C25" s="644"/>
      <c r="D25" s="644"/>
      <c r="E25" s="644"/>
      <c r="F25" s="633"/>
      <c r="H25" s="644"/>
      <c r="I25" s="644"/>
      <c r="J25" s="644"/>
      <c r="K25" s="657"/>
    </row>
    <row r="26" spans="1:14" x14ac:dyDescent="0.25">
      <c r="A26" s="641">
        <f t="shared" si="2"/>
        <v>20</v>
      </c>
      <c r="B26" s="629" t="s">
        <v>326</v>
      </c>
      <c r="C26" s="645">
        <f>C14*C32</f>
        <v>33425998.804722134</v>
      </c>
      <c r="D26" s="645">
        <f>D14*C32</f>
        <v>34243399.107761636</v>
      </c>
      <c r="E26" s="645"/>
      <c r="F26" s="650">
        <f>(D26-C26)/C34-E14</f>
        <v>-8.3819031715393066E-9</v>
      </c>
      <c r="G26" s="629" t="s">
        <v>326</v>
      </c>
      <c r="H26" s="645">
        <f>H14*H32</f>
        <v>18896410.2343283</v>
      </c>
      <c r="I26" s="645">
        <f>I14*H32</f>
        <v>16916681.924850143</v>
      </c>
      <c r="J26" s="645"/>
      <c r="K26" s="651">
        <f>(I26-H26)/H34-J14</f>
        <v>0</v>
      </c>
    </row>
    <row r="27" spans="1:14" ht="15.75" thickBot="1" x14ac:dyDescent="0.3">
      <c r="A27" s="641">
        <f t="shared" si="2"/>
        <v>21</v>
      </c>
      <c r="B27" s="648" t="s">
        <v>327</v>
      </c>
      <c r="C27" s="649">
        <f>C26-C24</f>
        <v>36251439.089113846</v>
      </c>
      <c r="D27" s="649">
        <f>D26-D24</f>
        <v>37806550.052781776</v>
      </c>
      <c r="E27" s="645"/>
      <c r="F27" s="650">
        <f>E27/C34</f>
        <v>0</v>
      </c>
      <c r="G27" s="648" t="s">
        <v>327</v>
      </c>
      <c r="H27" s="649">
        <f>H26-H24</f>
        <v>20749313.896249495</v>
      </c>
      <c r="I27" s="649">
        <f>I26-I24</f>
        <v>18515417.942962017</v>
      </c>
      <c r="J27" s="645"/>
      <c r="K27" s="651">
        <f>J27/H34</f>
        <v>0</v>
      </c>
    </row>
    <row r="28" spans="1:14" x14ac:dyDescent="0.25">
      <c r="A28" s="641">
        <f t="shared" si="2"/>
        <v>22</v>
      </c>
      <c r="C28" s="644"/>
      <c r="D28" s="644"/>
      <c r="E28" s="644"/>
      <c r="F28" s="633"/>
      <c r="H28" s="644"/>
      <c r="I28" s="644"/>
      <c r="J28" s="644"/>
      <c r="K28" s="657"/>
      <c r="M28" s="647"/>
      <c r="N28" s="647"/>
    </row>
    <row r="29" spans="1:14" ht="15.75" thickBot="1" x14ac:dyDescent="0.3">
      <c r="A29" s="641">
        <f t="shared" si="2"/>
        <v>23</v>
      </c>
      <c r="B29" s="661" t="s">
        <v>328</v>
      </c>
      <c r="C29" s="662">
        <f>C27/C34</f>
        <v>48183954.501683176</v>
      </c>
      <c r="D29" s="662">
        <f>D27/C34</f>
        <v>50250945.435043</v>
      </c>
      <c r="E29" s="662">
        <f>E14-E24</f>
        <v>2066990.9333598244</v>
      </c>
      <c r="F29" s="650">
        <f>(D29-C29)-E29</f>
        <v>0</v>
      </c>
      <c r="G29" s="661" t="s">
        <v>328</v>
      </c>
      <c r="H29" s="662">
        <f>H27/H34</f>
        <v>27489780.612703871</v>
      </c>
      <c r="I29" s="662">
        <f>I27/H34</f>
        <v>24530197.950137872</v>
      </c>
      <c r="J29" s="662">
        <f>J14-J24</f>
        <v>-2959582.6625660006</v>
      </c>
      <c r="K29" s="651">
        <f>(I29-H29)-J29</f>
        <v>0</v>
      </c>
      <c r="M29" s="647"/>
      <c r="N29" s="647"/>
    </row>
    <row r="30" spans="1:14" ht="15.75" thickTop="1" x14ac:dyDescent="0.25">
      <c r="A30" s="641">
        <f t="shared" si="2"/>
        <v>24</v>
      </c>
      <c r="E30" s="663"/>
      <c r="F30" s="633"/>
    </row>
    <row r="31" spans="1:14" x14ac:dyDescent="0.25">
      <c r="A31" s="641">
        <f t="shared" si="2"/>
        <v>25</v>
      </c>
      <c r="B31" s="629" t="s">
        <v>329</v>
      </c>
      <c r="C31" s="664">
        <v>2.5499999999999998E-2</v>
      </c>
      <c r="E31" s="665"/>
      <c r="F31" s="633"/>
      <c r="G31" s="629" t="s">
        <v>329</v>
      </c>
      <c r="H31" s="664">
        <v>2.5499999999999998E-2</v>
      </c>
      <c r="J31" s="665"/>
      <c r="K31" s="665"/>
    </row>
    <row r="32" spans="1:14" x14ac:dyDescent="0.25">
      <c r="A32" s="641">
        <f t="shared" si="2"/>
        <v>26</v>
      </c>
      <c r="B32" s="629" t="s">
        <v>330</v>
      </c>
      <c r="C32" s="664">
        <v>7.1599999999999997E-2</v>
      </c>
      <c r="F32" s="633"/>
      <c r="G32" s="629" t="s">
        <v>330</v>
      </c>
      <c r="H32" s="664">
        <v>7.1599999999999997E-2</v>
      </c>
    </row>
    <row r="33" spans="1:8" x14ac:dyDescent="0.25">
      <c r="A33" s="641">
        <f t="shared" si="2"/>
        <v>27</v>
      </c>
      <c r="B33" s="629" t="s">
        <v>331</v>
      </c>
      <c r="C33" s="664">
        <v>0.21</v>
      </c>
      <c r="F33" s="633"/>
      <c r="G33" s="629" t="s">
        <v>331</v>
      </c>
      <c r="H33" s="664">
        <v>0.21</v>
      </c>
    </row>
    <row r="34" spans="1:8" x14ac:dyDescent="0.25">
      <c r="A34" s="641">
        <f t="shared" si="2"/>
        <v>28</v>
      </c>
      <c r="B34" s="629" t="s">
        <v>332</v>
      </c>
      <c r="C34" s="666">
        <v>0.752355</v>
      </c>
      <c r="F34" s="633"/>
      <c r="G34" s="629" t="s">
        <v>332</v>
      </c>
      <c r="H34" s="666">
        <v>0.75480100000000006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6"/>
  <sheetViews>
    <sheetView topLeftCell="A10" workbookViewId="0">
      <selection activeCell="D27" sqref="D27"/>
    </sheetView>
  </sheetViews>
  <sheetFormatPr defaultRowHeight="15" x14ac:dyDescent="0.25"/>
  <cols>
    <col min="1" max="1" width="4.5703125" style="647" customWidth="1"/>
    <col min="2" max="2" width="50.5703125" style="647" bestFit="1" customWidth="1"/>
    <col min="3" max="4" width="13.140625" style="647" bestFit="1" customWidth="1"/>
    <col min="5" max="16384" width="9.140625" style="647"/>
  </cols>
  <sheetData>
    <row r="1" spans="1:4" x14ac:dyDescent="0.25">
      <c r="A1" s="703" t="s">
        <v>334</v>
      </c>
      <c r="B1" s="704"/>
      <c r="C1" s="704"/>
      <c r="D1" s="704"/>
    </row>
    <row r="2" spans="1:4" x14ac:dyDescent="0.25">
      <c r="A2" s="703" t="s">
        <v>335</v>
      </c>
      <c r="B2" s="704"/>
      <c r="C2" s="704"/>
      <c r="D2" s="704"/>
    </row>
    <row r="3" spans="1:4" x14ac:dyDescent="0.25">
      <c r="A3" s="703" t="s">
        <v>336</v>
      </c>
      <c r="B3" s="704"/>
      <c r="C3" s="704"/>
      <c r="D3" s="704"/>
    </row>
    <row r="4" spans="1:4" x14ac:dyDescent="0.25">
      <c r="A4" s="703"/>
      <c r="B4" s="704"/>
      <c r="C4" s="704"/>
      <c r="D4" s="704"/>
    </row>
    <row r="5" spans="1:4" x14ac:dyDescent="0.25">
      <c r="A5" s="705" t="s">
        <v>337</v>
      </c>
      <c r="B5" s="704"/>
      <c r="C5" s="704"/>
      <c r="D5" s="704"/>
    </row>
    <row r="6" spans="1:4" x14ac:dyDescent="0.25">
      <c r="A6" s="704"/>
      <c r="B6" s="704"/>
      <c r="C6" s="704"/>
      <c r="D6" s="704"/>
    </row>
    <row r="7" spans="1:4" x14ac:dyDescent="0.25">
      <c r="A7" s="706" t="s">
        <v>338</v>
      </c>
      <c r="B7" s="706" t="s">
        <v>339</v>
      </c>
      <c r="C7" s="706">
        <v>2022</v>
      </c>
      <c r="D7" s="706">
        <v>2023</v>
      </c>
    </row>
    <row r="8" spans="1:4" x14ac:dyDescent="0.25">
      <c r="A8" s="704"/>
      <c r="B8" s="704"/>
      <c r="C8" s="704"/>
      <c r="D8" s="704"/>
    </row>
    <row r="9" spans="1:4" x14ac:dyDescent="0.25">
      <c r="A9" s="707">
        <v>9</v>
      </c>
      <c r="B9" s="704" t="s">
        <v>329</v>
      </c>
      <c r="C9" s="708">
        <v>2.6200000000000001E-2</v>
      </c>
      <c r="D9" s="708">
        <v>2.5499999999999998E-2</v>
      </c>
    </row>
    <row r="10" spans="1:4" x14ac:dyDescent="0.25">
      <c r="A10" s="707">
        <v>10</v>
      </c>
      <c r="B10" s="704" t="s">
        <v>330</v>
      </c>
      <c r="C10" s="708">
        <v>7.2300000000000003E-2</v>
      </c>
      <c r="D10" s="708">
        <v>7.1599999999999997E-2</v>
      </c>
    </row>
    <row r="11" spans="1:4" x14ac:dyDescent="0.25">
      <c r="A11" s="707">
        <v>11</v>
      </c>
      <c r="B11" s="704" t="s">
        <v>331</v>
      </c>
      <c r="C11" s="708">
        <v>0.21</v>
      </c>
      <c r="D11" s="708">
        <v>0.21</v>
      </c>
    </row>
    <row r="12" spans="1:4" x14ac:dyDescent="0.25">
      <c r="A12" s="707">
        <v>12</v>
      </c>
      <c r="B12" s="704" t="s">
        <v>332</v>
      </c>
      <c r="C12" s="708">
        <v>0.75480100000000006</v>
      </c>
      <c r="D12" s="708">
        <v>0.75480100000000006</v>
      </c>
    </row>
    <row r="13" spans="1:4" x14ac:dyDescent="0.25">
      <c r="A13" s="707">
        <v>13</v>
      </c>
      <c r="B13" s="704" t="s">
        <v>340</v>
      </c>
      <c r="C13" s="709">
        <v>263916344.05486456</v>
      </c>
      <c r="D13" s="709">
        <v>334493403.3409487</v>
      </c>
    </row>
    <row r="14" spans="1:4" x14ac:dyDescent="0.25">
      <c r="A14" s="707">
        <v>14</v>
      </c>
      <c r="B14" s="704"/>
      <c r="C14" s="709"/>
      <c r="D14" s="710"/>
    </row>
    <row r="15" spans="1:4" x14ac:dyDescent="0.25">
      <c r="A15" s="707">
        <v>15</v>
      </c>
      <c r="B15" s="704" t="s">
        <v>341</v>
      </c>
      <c r="C15" s="709">
        <v>-4562846.2311439998</v>
      </c>
      <c r="D15" s="709">
        <v>-15825245.001215998</v>
      </c>
    </row>
    <row r="16" spans="1:4" x14ac:dyDescent="0.25">
      <c r="A16" s="707">
        <v>16</v>
      </c>
      <c r="B16" s="704" t="s">
        <v>342</v>
      </c>
      <c r="C16" s="711">
        <v>1296670.5468090023</v>
      </c>
      <c r="D16" s="711">
        <v>3645192.0389554403</v>
      </c>
    </row>
    <row r="17" spans="1:4" x14ac:dyDescent="0.25">
      <c r="A17" s="707">
        <v>17</v>
      </c>
      <c r="B17" s="704" t="s">
        <v>343</v>
      </c>
      <c r="C17" s="712">
        <f>SUM(C15:C16)</f>
        <v>-3266175.6843349976</v>
      </c>
      <c r="D17" s="712">
        <f t="shared" ref="D17" si="0">SUM(D15:D16)</f>
        <v>-12180052.962260557</v>
      </c>
    </row>
    <row r="18" spans="1:4" x14ac:dyDescent="0.25">
      <c r="A18" s="707">
        <v>18</v>
      </c>
      <c r="B18" s="704" t="s">
        <v>344</v>
      </c>
      <c r="C18" s="711">
        <f>C13*C9*C11</f>
        <v>1452067.7249898647</v>
      </c>
      <c r="D18" s="711">
        <f t="shared" ref="D18" si="1">D13*D9*D11</f>
        <v>1791212.1748907804</v>
      </c>
    </row>
    <row r="19" spans="1:4" x14ac:dyDescent="0.25">
      <c r="A19" s="707">
        <v>19</v>
      </c>
      <c r="B19" s="704" t="s">
        <v>345</v>
      </c>
      <c r="C19" s="712">
        <f>SUM(C17:C18)</f>
        <v>-1814107.9593451328</v>
      </c>
      <c r="D19" s="712">
        <f t="shared" ref="D19" si="2">SUM(D17:D18)</f>
        <v>-10388840.787369777</v>
      </c>
    </row>
    <row r="20" spans="1:4" x14ac:dyDescent="0.25">
      <c r="A20" s="707">
        <v>20</v>
      </c>
      <c r="B20" s="704" t="s">
        <v>346</v>
      </c>
      <c r="C20" s="711">
        <f>C13*C10</f>
        <v>19081151.675166707</v>
      </c>
      <c r="D20" s="711">
        <f t="shared" ref="D20" si="3">D13*D10</f>
        <v>23949727.679211926</v>
      </c>
    </row>
    <row r="21" spans="1:4" x14ac:dyDescent="0.25">
      <c r="A21" s="707">
        <v>21</v>
      </c>
      <c r="B21" s="704" t="s">
        <v>327</v>
      </c>
      <c r="C21" s="713">
        <f>C20-C19</f>
        <v>20895259.63451184</v>
      </c>
      <c r="D21" s="713">
        <f t="shared" ref="D21" si="4">D20-D19</f>
        <v>34338568.466581702</v>
      </c>
    </row>
    <row r="22" spans="1:4" x14ac:dyDescent="0.25">
      <c r="A22" s="707">
        <v>22</v>
      </c>
      <c r="B22" s="704" t="s">
        <v>347</v>
      </c>
      <c r="C22" s="714">
        <f>C21/C12</f>
        <v>27683137.190480456</v>
      </c>
      <c r="D22" s="714">
        <f t="shared" ref="D22" si="5">D21/D12</f>
        <v>45493538.650030538</v>
      </c>
    </row>
    <row r="23" spans="1:4" x14ac:dyDescent="0.25">
      <c r="A23" s="707">
        <v>23</v>
      </c>
      <c r="B23" s="704" t="s">
        <v>348</v>
      </c>
      <c r="C23" s="715">
        <f>C22</f>
        <v>27683137.190480456</v>
      </c>
      <c r="D23" s="715">
        <f>C22</f>
        <v>27683137.190480456</v>
      </c>
    </row>
    <row r="24" spans="1:4" x14ac:dyDescent="0.25">
      <c r="A24" s="707">
        <v>24</v>
      </c>
      <c r="B24" s="704"/>
      <c r="C24" s="716"/>
      <c r="D24" s="716"/>
    </row>
    <row r="25" spans="1:4" ht="15.75" thickBot="1" x14ac:dyDescent="0.3">
      <c r="A25" s="707">
        <v>25</v>
      </c>
      <c r="B25" s="704" t="s">
        <v>349</v>
      </c>
      <c r="C25" s="717">
        <f>C22-C23</f>
        <v>0</v>
      </c>
      <c r="D25" s="718">
        <f>D22-D23</f>
        <v>17810401.459550083</v>
      </c>
    </row>
    <row r="26" spans="1:4" ht="15.75" thickTop="1" x14ac:dyDescent="0.25">
      <c r="A26" s="707">
        <v>26</v>
      </c>
      <c r="B26" s="704" t="s">
        <v>350</v>
      </c>
      <c r="D26" s="719">
        <v>6.9849193096160889E-9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2:O98"/>
  <sheetViews>
    <sheetView zoomScale="90" zoomScaleNormal="90" zoomScaleSheetLayoutView="85" workbookViewId="0">
      <pane xSplit="4" ySplit="8" topLeftCell="E63" activePane="bottomRight" state="frozen"/>
      <selection activeCell="U28" sqref="U28"/>
      <selection pane="topRight" activeCell="U28" sqref="U28"/>
      <selection pane="bottomLeft" activeCell="U28" sqref="U28"/>
      <selection pane="bottomRight" activeCell="G91" sqref="G91"/>
    </sheetView>
  </sheetViews>
  <sheetFormatPr defaultRowHeight="15" outlineLevelRow="1" x14ac:dyDescent="0.25"/>
  <cols>
    <col min="1" max="1" width="5.5703125" customWidth="1"/>
    <col min="2" max="2" width="44" customWidth="1"/>
    <col min="3" max="3" width="21.5703125" bestFit="1" customWidth="1"/>
    <col min="4" max="4" width="6.5703125" customWidth="1"/>
    <col min="5" max="5" width="5.5703125" customWidth="1"/>
    <col min="6" max="6" width="19.85546875" bestFit="1" customWidth="1"/>
    <col min="7" max="7" width="18.85546875" bestFit="1" customWidth="1"/>
    <col min="8" max="8" width="16.28515625" customWidth="1"/>
    <col min="9" max="9" width="17.85546875" bestFit="1" customWidth="1"/>
    <col min="10" max="10" width="16.28515625" customWidth="1"/>
    <col min="11" max="11" width="17.85546875" customWidth="1"/>
    <col min="12" max="12" width="16.28515625" customWidth="1"/>
    <col min="13" max="13" width="4" customWidth="1"/>
    <col min="14" max="14" width="17" bestFit="1" customWidth="1"/>
    <col min="15" max="15" width="14" bestFit="1" customWidth="1"/>
  </cols>
  <sheetData>
    <row r="2" spans="1:13" x14ac:dyDescent="0.25">
      <c r="B2" s="264" t="str">
        <f>'Table of Contents'!$A$1</f>
        <v>Puget Sound Energy</v>
      </c>
    </row>
    <row r="3" spans="1:13" x14ac:dyDescent="0.25">
      <c r="B3" s="264" t="str">
        <f>'Table of Contents'!$A$2</f>
        <v>2022 Gas General Rate Case Filing</v>
      </c>
    </row>
    <row r="4" spans="1:13" x14ac:dyDescent="0.25">
      <c r="B4" s="264" t="str">
        <f>'Table of Contents'!$A$3</f>
        <v>Gas Rate Spread &amp; Design Work Paper</v>
      </c>
    </row>
    <row r="5" spans="1:13" x14ac:dyDescent="0.25">
      <c r="B5" s="264" t="s">
        <v>139</v>
      </c>
    </row>
    <row r="6" spans="1:13" x14ac:dyDescent="0.25">
      <c r="B6" s="264"/>
    </row>
    <row r="8" spans="1:13" ht="51.75" x14ac:dyDescent="0.4">
      <c r="A8" s="281" t="s">
        <v>150</v>
      </c>
      <c r="B8" s="228" t="s">
        <v>13</v>
      </c>
      <c r="C8" s="229" t="s">
        <v>2</v>
      </c>
      <c r="D8" s="230" t="s">
        <v>98</v>
      </c>
      <c r="E8" s="229"/>
      <c r="F8" s="230" t="s">
        <v>7</v>
      </c>
      <c r="G8" s="230" t="s">
        <v>104</v>
      </c>
      <c r="H8" s="230" t="s">
        <v>105</v>
      </c>
      <c r="I8" s="230" t="s">
        <v>8</v>
      </c>
      <c r="J8" s="230" t="s">
        <v>106</v>
      </c>
      <c r="K8" s="230" t="s">
        <v>107</v>
      </c>
      <c r="L8" s="230" t="s">
        <v>5</v>
      </c>
    </row>
    <row r="9" spans="1:13" x14ac:dyDescent="0.25">
      <c r="D9" s="235" t="str">
        <f>IFERROR(IF(C9="","",IF(C9=0,0,IF(ABS(C9-SUM($F9:$L9))&lt;1,0,1))),1)</f>
        <v/>
      </c>
    </row>
    <row r="10" spans="1:13" x14ac:dyDescent="0.25">
      <c r="A10" s="261">
        <f>IF(B10="","",MAX(A$1:A9)+1)</f>
        <v>1</v>
      </c>
      <c r="B10" s="259" t="s">
        <v>138</v>
      </c>
      <c r="C10" s="215">
        <v>2479982097.015286</v>
      </c>
      <c r="D10" s="235">
        <f t="shared" ref="D10:D75" si="0">IFERROR(IF(C10="","",IF(C10=0,0,IF(ABS(C10-SUM($F10:$L10))&lt;1,0,1))),1)</f>
        <v>0</v>
      </c>
      <c r="E10" s="250"/>
      <c r="F10" s="215">
        <v>1578792311.3445001</v>
      </c>
      <c r="G10" s="215">
        <v>672558532.13824582</v>
      </c>
      <c r="H10" s="215">
        <v>109092957.14304021</v>
      </c>
      <c r="I10" s="215">
        <v>54780248.462351561</v>
      </c>
      <c r="J10" s="215">
        <v>5472879.5457234848</v>
      </c>
      <c r="K10" s="215">
        <v>55199147.567036271</v>
      </c>
      <c r="L10" s="215">
        <v>4086020.8143873857</v>
      </c>
      <c r="M10" s="249"/>
    </row>
    <row r="11" spans="1:13" x14ac:dyDescent="0.25">
      <c r="A11" s="261" t="str">
        <f>IF(B11="","",MAX(A$1:A10)+1)</f>
        <v/>
      </c>
      <c r="C11" s="215"/>
      <c r="D11" s="235" t="str">
        <f t="shared" si="0"/>
        <v/>
      </c>
      <c r="F11" s="215"/>
      <c r="G11" s="215"/>
      <c r="H11" s="215"/>
      <c r="I11" s="215"/>
      <c r="J11" s="215"/>
      <c r="K11" s="215"/>
      <c r="L11" s="215"/>
    </row>
    <row r="12" spans="1:13" x14ac:dyDescent="0.25">
      <c r="A12" s="261">
        <f>IF(B12="","",MAX(A$1:A11)+1)</f>
        <v>2</v>
      </c>
      <c r="B12" s="260" t="s">
        <v>135</v>
      </c>
      <c r="C12" s="215">
        <v>505230012.57985079</v>
      </c>
      <c r="D12" s="235">
        <f t="shared" si="0"/>
        <v>0</v>
      </c>
      <c r="F12" s="215">
        <v>373297420.9992581</v>
      </c>
      <c r="G12" s="215">
        <v>111423891.32188874</v>
      </c>
      <c r="H12" s="215">
        <v>16099373.816760825</v>
      </c>
      <c r="I12" s="215">
        <v>1951708.4759720333</v>
      </c>
      <c r="J12" s="215">
        <v>1141594.4005907846</v>
      </c>
      <c r="K12" s="215">
        <v>1316023.5653802969</v>
      </c>
      <c r="L12" s="215">
        <v>0</v>
      </c>
    </row>
    <row r="13" spans="1:13" x14ac:dyDescent="0.25">
      <c r="A13" s="261">
        <f>IF(B13="","",MAX(A$1:A12)+1)</f>
        <v>3</v>
      </c>
      <c r="B13" s="260" t="s">
        <v>136</v>
      </c>
      <c r="C13" s="215">
        <v>17393364.781592574</v>
      </c>
      <c r="D13" s="235">
        <f t="shared" si="0"/>
        <v>0</v>
      </c>
      <c r="F13" s="215">
        <v>0</v>
      </c>
      <c r="G13" s="215">
        <v>23614.13409035069</v>
      </c>
      <c r="H13" s="215">
        <v>4220060.4380970374</v>
      </c>
      <c r="I13" s="215">
        <v>6736111.6716514546</v>
      </c>
      <c r="J13" s="215">
        <v>354888.86008747591</v>
      </c>
      <c r="K13" s="215">
        <v>4379365.2253098423</v>
      </c>
      <c r="L13" s="215">
        <v>1679324.4523564125</v>
      </c>
    </row>
    <row r="14" spans="1:13" x14ac:dyDescent="0.25">
      <c r="A14" s="261">
        <f>IF(B14="","",MAX(A$1:A13)+1)</f>
        <v>4</v>
      </c>
      <c r="B14" s="260" t="s">
        <v>137</v>
      </c>
      <c r="C14" s="215">
        <v>4050270.1499999203</v>
      </c>
      <c r="D14" s="235">
        <f t="shared" si="0"/>
        <v>0</v>
      </c>
      <c r="F14" s="215">
        <v>3435955.7452309728</v>
      </c>
      <c r="G14" s="215">
        <v>570810.32727385894</v>
      </c>
      <c r="H14" s="215">
        <v>20149.575148323551</v>
      </c>
      <c r="I14" s="215">
        <v>21487.775853206404</v>
      </c>
      <c r="J14" s="215">
        <v>1177.091016426275</v>
      </c>
      <c r="K14" s="215">
        <v>678.83397261518985</v>
      </c>
      <c r="L14" s="215">
        <v>10.801504568895325</v>
      </c>
    </row>
    <row r="15" spans="1:13" x14ac:dyDescent="0.25">
      <c r="A15" s="261">
        <f>IF(B15="","",MAX(A$1:A14)+1)</f>
        <v>5</v>
      </c>
      <c r="B15" s="262" t="s">
        <v>56</v>
      </c>
      <c r="C15" s="263">
        <f>SUM(C12:C14)</f>
        <v>526673647.51144326</v>
      </c>
      <c r="D15" s="235">
        <f t="shared" si="0"/>
        <v>0</v>
      </c>
      <c r="F15" s="263">
        <f>SUM(F12:F14)</f>
        <v>376733376.74448907</v>
      </c>
      <c r="G15" s="263">
        <f t="shared" ref="G15:L15" si="1">SUM(G12:G14)</f>
        <v>112018315.78325295</v>
      </c>
      <c r="H15" s="263">
        <f t="shared" si="1"/>
        <v>20339583.830006182</v>
      </c>
      <c r="I15" s="263">
        <f t="shared" si="1"/>
        <v>8709307.923476696</v>
      </c>
      <c r="J15" s="263">
        <f t="shared" si="1"/>
        <v>1497660.3516946868</v>
      </c>
      <c r="K15" s="263">
        <f t="shared" si="1"/>
        <v>5696067.6246627541</v>
      </c>
      <c r="L15" s="263">
        <f t="shared" si="1"/>
        <v>1679335.2538609814</v>
      </c>
    </row>
    <row r="16" spans="1:13" x14ac:dyDescent="0.25">
      <c r="A16" s="261">
        <f>IF(B16="","",MAX(A$1:A15)+1)</f>
        <v>6</v>
      </c>
      <c r="B16" s="118" t="s">
        <v>126</v>
      </c>
      <c r="C16" s="203">
        <f>SUM(C12:C13)/C21</f>
        <v>0.9214194083912397</v>
      </c>
      <c r="D16" s="235"/>
      <c r="E16" s="203"/>
      <c r="F16" s="203">
        <f>SUM(F12:F13)/F21</f>
        <v>1.0067449316265176</v>
      </c>
      <c r="G16" s="203">
        <f t="shared" ref="G16:L16" si="2">SUM(G12:G13)/G21</f>
        <v>0.77131172076876142</v>
      </c>
      <c r="H16" s="203">
        <f t="shared" si="2"/>
        <v>0.83400607593798715</v>
      </c>
      <c r="I16" s="203">
        <f t="shared" si="2"/>
        <v>0.70179644352919224</v>
      </c>
      <c r="J16" s="203">
        <f t="shared" si="2"/>
        <v>1.1593407876782997</v>
      </c>
      <c r="K16" s="203">
        <f t="shared" si="2"/>
        <v>0.44762238157501322</v>
      </c>
      <c r="L16" s="203">
        <f t="shared" si="2"/>
        <v>1.4615574177129793</v>
      </c>
    </row>
    <row r="17" spans="1:14" x14ac:dyDescent="0.25">
      <c r="A17" s="261">
        <f>IF(B17="","",MAX(A$1:A16)+1)</f>
        <v>7</v>
      </c>
      <c r="B17" s="204" t="s">
        <v>130</v>
      </c>
      <c r="C17" s="203">
        <f>C16/$C$16</f>
        <v>1</v>
      </c>
      <c r="D17" s="235"/>
      <c r="F17" s="203">
        <f>F16/$C$16</f>
        <v>1.0926022639182875</v>
      </c>
      <c r="G17" s="203">
        <f t="shared" ref="G17:L17" si="3">G16/$C$16</f>
        <v>0.83709081200648883</v>
      </c>
      <c r="H17" s="203">
        <f t="shared" si="3"/>
        <v>0.90513187408774831</v>
      </c>
      <c r="I17" s="203">
        <f t="shared" si="3"/>
        <v>0.76164712522661082</v>
      </c>
      <c r="J17" s="203">
        <f t="shared" si="3"/>
        <v>1.2582118165955078</v>
      </c>
      <c r="K17" s="203">
        <f t="shared" si="3"/>
        <v>0.48579656288827627</v>
      </c>
      <c r="L17" s="203">
        <f t="shared" si="3"/>
        <v>1.5862021186039463</v>
      </c>
    </row>
    <row r="18" spans="1:14" x14ac:dyDescent="0.25">
      <c r="A18" s="261" t="str">
        <f>IF(B18="","",MAX(A$1:A17)+1)</f>
        <v/>
      </c>
      <c r="B18" s="204"/>
      <c r="C18" s="203"/>
      <c r="D18" s="235" t="str">
        <f t="shared" si="0"/>
        <v/>
      </c>
      <c r="F18" s="203"/>
      <c r="G18" s="203"/>
      <c r="H18" s="203"/>
      <c r="I18" s="203"/>
      <c r="J18" s="203"/>
      <c r="K18" s="203"/>
      <c r="L18" s="203"/>
    </row>
    <row r="19" spans="1:14" x14ac:dyDescent="0.25">
      <c r="A19" s="261">
        <f>IF(B19="","",MAX(A$1:A18)+1)</f>
        <v>8</v>
      </c>
      <c r="B19" s="112" t="s">
        <v>230</v>
      </c>
      <c r="D19" s="235" t="str">
        <f t="shared" si="0"/>
        <v/>
      </c>
    </row>
    <row r="20" spans="1:14" x14ac:dyDescent="0.25">
      <c r="A20" s="261">
        <f>IF(B20="","",MAX(A$1:A19)+1)</f>
        <v>9</v>
      </c>
      <c r="B20" s="204" t="s">
        <v>131</v>
      </c>
      <c r="C20" s="581">
        <v>44570424.507699192</v>
      </c>
      <c r="D20" s="235">
        <f t="shared" si="0"/>
        <v>0</v>
      </c>
      <c r="F20" s="215">
        <v>-2500996.5303996205</v>
      </c>
      <c r="G20" s="215">
        <v>33043369.575584128</v>
      </c>
      <c r="H20" s="215">
        <v>4044218.2904848903</v>
      </c>
      <c r="I20" s="215">
        <v>3691581.6400718149</v>
      </c>
      <c r="J20" s="215">
        <v>-205677.9370122801</v>
      </c>
      <c r="K20" s="215">
        <v>7028257.3564266078</v>
      </c>
      <c r="L20" s="215">
        <v>-530327.88745635445</v>
      </c>
    </row>
    <row r="21" spans="1:14" x14ac:dyDescent="0.25">
      <c r="A21" s="261">
        <f>IF(B21="","",MAX(A$1:A20)+1)</f>
        <v>10</v>
      </c>
      <c r="B21" s="204" t="s">
        <v>127</v>
      </c>
      <c r="C21" s="215">
        <v>567193801.86914253</v>
      </c>
      <c r="D21" s="235">
        <f t="shared" si="0"/>
        <v>0</v>
      </c>
      <c r="F21" s="215">
        <v>370796424.46885848</v>
      </c>
      <c r="G21" s="215">
        <v>144490875.03156322</v>
      </c>
      <c r="H21" s="215">
        <v>24363652.545342751</v>
      </c>
      <c r="I21" s="215">
        <v>12379401.787695304</v>
      </c>
      <c r="J21" s="215">
        <v>1290805.3236659805</v>
      </c>
      <c r="K21" s="215">
        <v>12723646.147116747</v>
      </c>
      <c r="L21" s="215">
        <v>1148996.5649000581</v>
      </c>
      <c r="N21" s="238"/>
    </row>
    <row r="22" spans="1:14" x14ac:dyDescent="0.25">
      <c r="A22" s="261">
        <f>IF(B22="","",MAX(A$1:A21)+1)</f>
        <v>11</v>
      </c>
      <c r="B22" s="204" t="s">
        <v>132</v>
      </c>
      <c r="C22" s="215">
        <v>4050270.1499999203</v>
      </c>
      <c r="D22" s="235">
        <f t="shared" si="0"/>
        <v>0</v>
      </c>
      <c r="F22" s="215">
        <v>3435955.7452309728</v>
      </c>
      <c r="G22" s="215">
        <v>570810.32727385894</v>
      </c>
      <c r="H22" s="215">
        <v>20149.575148323551</v>
      </c>
      <c r="I22" s="215">
        <v>21487.775853206404</v>
      </c>
      <c r="J22" s="215">
        <v>1177.091016426275</v>
      </c>
      <c r="K22" s="215">
        <v>678.83397261518985</v>
      </c>
      <c r="L22" s="215">
        <v>10.801504568895325</v>
      </c>
    </row>
    <row r="23" spans="1:14" x14ac:dyDescent="0.25">
      <c r="A23" s="261">
        <f>IF(B23="","",MAX(A$1:A22)+1)</f>
        <v>12</v>
      </c>
      <c r="B23" s="255" t="s">
        <v>128</v>
      </c>
      <c r="C23" s="254">
        <f>SUM(C21:C22)</f>
        <v>571244072.01914251</v>
      </c>
      <c r="D23" s="235">
        <f t="shared" si="0"/>
        <v>0</v>
      </c>
      <c r="F23" s="254">
        <f t="shared" ref="F23:L23" si="4">SUM(F21:F22)</f>
        <v>374232380.21408945</v>
      </c>
      <c r="G23" s="254">
        <f t="shared" si="4"/>
        <v>145061685.35883707</v>
      </c>
      <c r="H23" s="254">
        <f t="shared" si="4"/>
        <v>24383802.120491073</v>
      </c>
      <c r="I23" s="254">
        <f t="shared" si="4"/>
        <v>12400889.563548509</v>
      </c>
      <c r="J23" s="254">
        <f t="shared" si="4"/>
        <v>1291982.4146824067</v>
      </c>
      <c r="K23" s="254">
        <f t="shared" si="4"/>
        <v>12724324.981089361</v>
      </c>
      <c r="L23" s="254">
        <f t="shared" si="4"/>
        <v>1149007.366404627</v>
      </c>
    </row>
    <row r="24" spans="1:14" x14ac:dyDescent="0.25">
      <c r="A24" s="261">
        <f>IF(B24="","",MAX(A$1:A23)+1)</f>
        <v>13</v>
      </c>
      <c r="B24" s="204" t="s">
        <v>129</v>
      </c>
      <c r="C24" s="237">
        <f>C23/C15-1</f>
        <v>8.4626266604179934E-2</v>
      </c>
      <c r="D24" s="235"/>
      <c r="F24" s="237">
        <f t="shared" ref="F24:L24" si="5">F23/F15-1</f>
        <v>-6.6386380522261978E-3</v>
      </c>
      <c r="G24" s="237">
        <f t="shared" si="5"/>
        <v>0.29498184600026089</v>
      </c>
      <c r="H24" s="237">
        <f t="shared" si="5"/>
        <v>0.19883485937006329</v>
      </c>
      <c r="I24" s="237">
        <f t="shared" si="5"/>
        <v>0.42386624431096687</v>
      </c>
      <c r="J24" s="237">
        <f t="shared" si="5"/>
        <v>-0.13733283169280941</v>
      </c>
      <c r="K24" s="237">
        <f t="shared" si="5"/>
        <v>1.2338788475747298</v>
      </c>
      <c r="L24" s="237">
        <f t="shared" si="5"/>
        <v>-0.3157963165705423</v>
      </c>
    </row>
    <row r="25" spans="1:14" x14ac:dyDescent="0.25">
      <c r="A25" s="261">
        <f>IF(B25="","",MAX(A$1:A24)+1)</f>
        <v>14</v>
      </c>
      <c r="B25" s="204" t="s">
        <v>170</v>
      </c>
      <c r="C25" s="256">
        <f>C23/C$23</f>
        <v>1</v>
      </c>
      <c r="D25" s="235"/>
      <c r="F25" s="256">
        <f t="shared" ref="F25:L25" si="6">F23/F$23</f>
        <v>1</v>
      </c>
      <c r="G25" s="256">
        <f t="shared" si="6"/>
        <v>1</v>
      </c>
      <c r="H25" s="256">
        <f t="shared" si="6"/>
        <v>1</v>
      </c>
      <c r="I25" s="256">
        <f t="shared" si="6"/>
        <v>1</v>
      </c>
      <c r="J25" s="256">
        <f t="shared" si="6"/>
        <v>1</v>
      </c>
      <c r="K25" s="256">
        <f t="shared" si="6"/>
        <v>1</v>
      </c>
      <c r="L25" s="256">
        <f t="shared" si="6"/>
        <v>1</v>
      </c>
    </row>
    <row r="26" spans="1:14" x14ac:dyDescent="0.25">
      <c r="A26" s="261" t="str">
        <f>IF(B26="","",MAX(A$1:A25)+1)</f>
        <v/>
      </c>
      <c r="B26" s="204"/>
      <c r="C26" s="203"/>
      <c r="D26" s="235" t="str">
        <f t="shared" si="0"/>
        <v/>
      </c>
      <c r="F26" s="203"/>
      <c r="G26" s="203"/>
      <c r="H26" s="203"/>
      <c r="I26" s="203"/>
      <c r="J26" s="203"/>
      <c r="K26" s="203"/>
      <c r="L26" s="203"/>
    </row>
    <row r="27" spans="1:14" x14ac:dyDescent="0.25">
      <c r="A27" s="261">
        <f>IF(B27="","",MAX(A$1:A26)+1)</f>
        <v>15</v>
      </c>
      <c r="B27" s="252" t="s">
        <v>142</v>
      </c>
      <c r="C27" s="215">
        <f>SUM(F27:L27)</f>
        <v>524994312.25758237</v>
      </c>
      <c r="D27" s="235">
        <f t="shared" si="0"/>
        <v>0</v>
      </c>
      <c r="F27" s="292">
        <f t="shared" ref="F27:K27" si="7">F15</f>
        <v>376733376.74448907</v>
      </c>
      <c r="G27" s="292">
        <f t="shared" si="7"/>
        <v>112018315.78325295</v>
      </c>
      <c r="H27" s="292">
        <f t="shared" si="7"/>
        <v>20339583.830006182</v>
      </c>
      <c r="I27" s="292">
        <f t="shared" si="7"/>
        <v>8709307.923476696</v>
      </c>
      <c r="J27" s="292">
        <f t="shared" si="7"/>
        <v>1497660.3516946868</v>
      </c>
      <c r="K27" s="292">
        <f t="shared" si="7"/>
        <v>5696067.6246627541</v>
      </c>
      <c r="L27" s="292"/>
    </row>
    <row r="28" spans="1:14" x14ac:dyDescent="0.25">
      <c r="A28" s="261" t="str">
        <f>IF(B28="","",MAX(A$1:A27)+1)</f>
        <v/>
      </c>
      <c r="B28" s="204"/>
      <c r="D28" s="235" t="str">
        <f t="shared" si="0"/>
        <v/>
      </c>
    </row>
    <row r="29" spans="1:14" x14ac:dyDescent="0.25">
      <c r="A29" s="261">
        <f>IF(B29="","",MAX(A$1:A28)+1)</f>
        <v>16</v>
      </c>
      <c r="B29" s="112" t="s">
        <v>231</v>
      </c>
      <c r="D29" s="235" t="str">
        <f t="shared" si="0"/>
        <v/>
      </c>
    </row>
    <row r="30" spans="1:14" x14ac:dyDescent="0.25">
      <c r="A30" s="261">
        <f>IF(B30="","",MAX(A$1:A29)+1)</f>
        <v>17</v>
      </c>
      <c r="B30" s="204" t="s">
        <v>131</v>
      </c>
      <c r="C30" s="580">
        <f>$C$34*C27</f>
        <v>44570424.507699192</v>
      </c>
      <c r="D30" s="235">
        <f t="shared" si="0"/>
        <v>0</v>
      </c>
      <c r="E30" s="231"/>
      <c r="F30" s="257">
        <f>$C$34*F27-($L$30*F27/$C$27)</f>
        <v>31969355.512996815</v>
      </c>
      <c r="G30" s="257">
        <f t="shared" ref="G30:J30" si="8">$C$34*G27-($L$30*G27/$C$27)</f>
        <v>9505803.2611503731</v>
      </c>
      <c r="H30" s="257">
        <f t="shared" si="8"/>
        <v>1726004.1891347521</v>
      </c>
      <c r="I30" s="257">
        <f t="shared" si="8"/>
        <v>739066.34894902376</v>
      </c>
      <c r="J30" s="257">
        <f t="shared" si="8"/>
        <v>127090.50797354836</v>
      </c>
      <c r="K30" s="257">
        <f>$C$34*K27-($L$30*K27/$C$27)</f>
        <v>483364.68749467836</v>
      </c>
      <c r="L30" s="257">
        <f>L41</f>
        <v>19740.000000000015</v>
      </c>
    </row>
    <row r="31" spans="1:14" x14ac:dyDescent="0.25">
      <c r="A31" s="261">
        <f>IF(B31="","",MAX(A$1:A30)+1)</f>
        <v>18</v>
      </c>
      <c r="B31" s="204" t="s">
        <v>133</v>
      </c>
      <c r="C31" s="258">
        <f>C30+C12+C13</f>
        <v>567193801.86914253</v>
      </c>
      <c r="D31" s="235">
        <f t="shared" si="0"/>
        <v>0</v>
      </c>
      <c r="E31" s="231"/>
      <c r="F31" s="258">
        <f>F30+F12+F13</f>
        <v>405266776.51225489</v>
      </c>
      <c r="G31" s="258">
        <f t="shared" ref="G31:L31" si="9">G30+G12+G13</f>
        <v>120953308.71712947</v>
      </c>
      <c r="H31" s="258">
        <f t="shared" si="9"/>
        <v>22045438.443992615</v>
      </c>
      <c r="I31" s="258">
        <f t="shared" si="9"/>
        <v>9426886.4965725113</v>
      </c>
      <c r="J31" s="258">
        <f t="shared" si="9"/>
        <v>1623573.7686518088</v>
      </c>
      <c r="K31" s="258">
        <f t="shared" si="9"/>
        <v>6178753.4781848174</v>
      </c>
      <c r="L31" s="258">
        <f t="shared" si="9"/>
        <v>1699064.4523564125</v>
      </c>
    </row>
    <row r="32" spans="1:14" x14ac:dyDescent="0.25">
      <c r="A32" s="261">
        <f>IF(B32="","",MAX(A$1:A31)+1)</f>
        <v>19</v>
      </c>
      <c r="B32" s="204" t="s">
        <v>132</v>
      </c>
      <c r="C32" s="215">
        <f>C22</f>
        <v>4050270.1499999203</v>
      </c>
      <c r="D32" s="235">
        <f t="shared" si="0"/>
        <v>0</v>
      </c>
      <c r="F32" s="215">
        <f>F22</f>
        <v>3435955.7452309728</v>
      </c>
      <c r="G32" s="215">
        <f t="shared" ref="G32:L32" si="10">G22</f>
        <v>570810.32727385894</v>
      </c>
      <c r="H32" s="215">
        <f t="shared" si="10"/>
        <v>20149.575148323551</v>
      </c>
      <c r="I32" s="215">
        <f t="shared" si="10"/>
        <v>21487.775853206404</v>
      </c>
      <c r="J32" s="215">
        <f t="shared" si="10"/>
        <v>1177.091016426275</v>
      </c>
      <c r="K32" s="215">
        <f t="shared" si="10"/>
        <v>678.83397261518985</v>
      </c>
      <c r="L32" s="215">
        <f t="shared" si="10"/>
        <v>10.801504568895325</v>
      </c>
    </row>
    <row r="33" spans="1:12" x14ac:dyDescent="0.25">
      <c r="A33" s="261">
        <f>IF(B33="","",MAX(A$1:A32)+1)</f>
        <v>20</v>
      </c>
      <c r="B33" s="255" t="s">
        <v>134</v>
      </c>
      <c r="C33" s="254">
        <f>SUM(C31:C32)</f>
        <v>571244072.01914251</v>
      </c>
      <c r="D33" s="235">
        <f t="shared" si="0"/>
        <v>0</v>
      </c>
      <c r="F33" s="254">
        <f t="shared" ref="F33:L33" si="11">SUM(F31:F32)</f>
        <v>408702732.25748587</v>
      </c>
      <c r="G33" s="254">
        <f t="shared" si="11"/>
        <v>121524119.04440333</v>
      </c>
      <c r="H33" s="254">
        <f t="shared" si="11"/>
        <v>22065588.019140936</v>
      </c>
      <c r="I33" s="254">
        <f t="shared" si="11"/>
        <v>9448374.2724257186</v>
      </c>
      <c r="J33" s="254">
        <f t="shared" si="11"/>
        <v>1624750.8596682351</v>
      </c>
      <c r="K33" s="254">
        <f t="shared" si="11"/>
        <v>6179432.3121574325</v>
      </c>
      <c r="L33" s="254">
        <f t="shared" si="11"/>
        <v>1699075.2538609814</v>
      </c>
    </row>
    <row r="34" spans="1:12" x14ac:dyDescent="0.25">
      <c r="A34" s="261">
        <f>IF(B34="","",MAX(A$1:A33)+1)</f>
        <v>21</v>
      </c>
      <c r="B34" s="204" t="s">
        <v>140</v>
      </c>
      <c r="C34" s="237">
        <f>C20/C27</f>
        <v>8.4896966437669197E-2</v>
      </c>
      <c r="D34" s="235">
        <f t="shared" si="0"/>
        <v>0</v>
      </c>
      <c r="F34" s="266">
        <f>F33/F15-1</f>
        <v>8.4859366030314076E-2</v>
      </c>
      <c r="G34" s="266">
        <f t="shared" ref="G34:L34" si="12">G33/G15-1</f>
        <v>8.4859366030314076E-2</v>
      </c>
      <c r="H34" s="266">
        <f t="shared" si="12"/>
        <v>8.4859366030314076E-2</v>
      </c>
      <c r="I34" s="266">
        <f t="shared" si="12"/>
        <v>8.4859366030313854E-2</v>
      </c>
      <c r="J34" s="266">
        <f t="shared" si="12"/>
        <v>8.4859366030314076E-2</v>
      </c>
      <c r="K34" s="266">
        <f t="shared" si="12"/>
        <v>8.4859366030314076E-2</v>
      </c>
      <c r="L34" s="266">
        <f t="shared" si="12"/>
        <v>1.1754651106510972E-2</v>
      </c>
    </row>
    <row r="35" spans="1:12" x14ac:dyDescent="0.25">
      <c r="A35" s="261">
        <f>IF(B35="","",MAX(A$1:A34)+1)</f>
        <v>22</v>
      </c>
      <c r="B35" s="204" t="s">
        <v>130</v>
      </c>
      <c r="C35" s="256">
        <f>C31/C$21</f>
        <v>1</v>
      </c>
      <c r="D35" s="235"/>
      <c r="F35" s="256">
        <f>F31/F$21</f>
        <v>1.0929630108833248</v>
      </c>
      <c r="G35" s="256">
        <f t="shared" ref="G35:L35" si="13">G31/G$21</f>
        <v>0.83709998081683634</v>
      </c>
      <c r="H35" s="256">
        <f t="shared" si="13"/>
        <v>0.9048494844097883</v>
      </c>
      <c r="I35" s="256">
        <f t="shared" si="13"/>
        <v>0.76149774102513657</v>
      </c>
      <c r="J35" s="256">
        <f t="shared" si="13"/>
        <v>1.2577990955605465</v>
      </c>
      <c r="K35" s="256">
        <f t="shared" si="13"/>
        <v>0.48561186052670596</v>
      </c>
      <c r="L35" s="256">
        <f t="shared" si="13"/>
        <v>1.4787376257336333</v>
      </c>
    </row>
    <row r="36" spans="1:12" x14ac:dyDescent="0.25">
      <c r="A36" s="261" t="str">
        <f>IF(B36="","",MAX(A$1:A35)+1)</f>
        <v/>
      </c>
      <c r="B36" s="112"/>
      <c r="D36" s="235" t="str">
        <f t="shared" si="0"/>
        <v/>
      </c>
    </row>
    <row r="37" spans="1:12" x14ac:dyDescent="0.25">
      <c r="A37" s="261">
        <f>IF(B37="","",MAX(A$1:A36)+1)</f>
        <v>23</v>
      </c>
      <c r="B37" s="112" t="s">
        <v>169</v>
      </c>
      <c r="D37" s="235" t="str">
        <f t="shared" si="0"/>
        <v/>
      </c>
    </row>
    <row r="38" spans="1:12" outlineLevel="1" x14ac:dyDescent="0.25">
      <c r="A38" s="261"/>
      <c r="B38" s="268" t="s">
        <v>140</v>
      </c>
      <c r="C38" s="269">
        <f>C34</f>
        <v>8.4896966437669197E-2</v>
      </c>
      <c r="D38" s="270"/>
      <c r="E38" s="271"/>
      <c r="F38" s="272"/>
      <c r="G38" s="272"/>
      <c r="H38" s="272"/>
      <c r="I38" s="272"/>
      <c r="J38" s="272"/>
      <c r="K38" s="272"/>
      <c r="L38" s="272"/>
    </row>
    <row r="39" spans="1:12" outlineLevel="1" x14ac:dyDescent="0.25">
      <c r="A39" s="261"/>
      <c r="B39" s="268" t="s">
        <v>146</v>
      </c>
      <c r="C39" s="273"/>
      <c r="D39" s="270"/>
      <c r="E39" s="271"/>
      <c r="F39" s="272">
        <v>0.8</v>
      </c>
      <c r="G39" s="272">
        <v>1.25</v>
      </c>
      <c r="H39" s="272">
        <v>1.25</v>
      </c>
      <c r="I39" s="272">
        <v>1.5</v>
      </c>
      <c r="J39" s="272">
        <v>0</v>
      </c>
      <c r="K39" s="272">
        <v>1.5</v>
      </c>
      <c r="L39" s="272">
        <v>0</v>
      </c>
    </row>
    <row r="40" spans="1:12" outlineLevel="1" x14ac:dyDescent="0.25">
      <c r="A40" s="261"/>
      <c r="B40" s="268" t="s">
        <v>145</v>
      </c>
      <c r="C40" s="272"/>
      <c r="D40" s="270"/>
      <c r="E40" s="271"/>
      <c r="F40" s="269">
        <f>$C$38*F39</f>
        <v>6.7917573150135357E-2</v>
      </c>
      <c r="G40" s="269">
        <f t="shared" ref="G40:L40" si="14">$C$38*G39</f>
        <v>0.1061212080470865</v>
      </c>
      <c r="H40" s="269">
        <f t="shared" si="14"/>
        <v>0.1061212080470865</v>
      </c>
      <c r="I40" s="269">
        <f t="shared" si="14"/>
        <v>0.1273454496565038</v>
      </c>
      <c r="J40" s="269">
        <f t="shared" si="14"/>
        <v>0</v>
      </c>
      <c r="K40" s="269">
        <f t="shared" si="14"/>
        <v>0.1273454496565038</v>
      </c>
      <c r="L40" s="269">
        <f t="shared" si="14"/>
        <v>0</v>
      </c>
    </row>
    <row r="41" spans="1:12" outlineLevel="1" x14ac:dyDescent="0.25">
      <c r="A41" s="261"/>
      <c r="B41" s="268" t="s">
        <v>147</v>
      </c>
      <c r="C41" s="274">
        <f>SUM(F41:L41)</f>
        <v>41486995.901324026</v>
      </c>
      <c r="D41" s="270"/>
      <c r="E41" s="271"/>
      <c r="F41" s="274">
        <f t="shared" ref="F41:K41" si="15">F40*F27</f>
        <v>25586816.673141338</v>
      </c>
      <c r="G41" s="274">
        <f t="shared" si="15"/>
        <v>11887518.994318821</v>
      </c>
      <c r="H41" s="274">
        <f t="shared" si="15"/>
        <v>2158461.2072152426</v>
      </c>
      <c r="I41" s="274">
        <f t="shared" si="15"/>
        <v>1109090.7337120911</v>
      </c>
      <c r="J41" s="274">
        <f t="shared" si="15"/>
        <v>0</v>
      </c>
      <c r="K41" s="274">
        <f t="shared" si="15"/>
        <v>725368.29293653194</v>
      </c>
      <c r="L41" s="553">
        <v>19740.000000000015</v>
      </c>
    </row>
    <row r="42" spans="1:12" outlineLevel="1" x14ac:dyDescent="0.25">
      <c r="A42" s="261"/>
      <c r="B42" s="275" t="s">
        <v>91</v>
      </c>
      <c r="C42" s="274">
        <f>C30-C41</f>
        <v>3083428.6063751653</v>
      </c>
      <c r="D42" s="270"/>
      <c r="E42" s="271"/>
      <c r="F42" s="272"/>
      <c r="G42" s="272"/>
      <c r="H42" s="272"/>
      <c r="I42" s="272"/>
      <c r="J42" s="272"/>
      <c r="K42" s="272"/>
      <c r="L42" s="272"/>
    </row>
    <row r="43" spans="1:12" outlineLevel="1" x14ac:dyDescent="0.25">
      <c r="A43" s="261"/>
      <c r="B43" s="268" t="s">
        <v>144</v>
      </c>
      <c r="C43" s="274"/>
      <c r="D43" s="270"/>
      <c r="E43" s="271"/>
      <c r="F43" s="274">
        <f>C42</f>
        <v>3083428.6063751653</v>
      </c>
      <c r="G43" s="274"/>
      <c r="H43" s="274"/>
      <c r="I43" s="274"/>
      <c r="J43" s="274"/>
      <c r="K43" s="274"/>
      <c r="L43" s="274"/>
    </row>
    <row r="44" spans="1:12" x14ac:dyDescent="0.25">
      <c r="A44" s="261">
        <f>IF(B44="","",MAX(A$1:A43)+1)</f>
        <v>24</v>
      </c>
      <c r="B44" s="204" t="s">
        <v>143</v>
      </c>
      <c r="C44" s="257"/>
      <c r="D44" s="235"/>
      <c r="F44" s="449">
        <f>F50/$C$38</f>
        <v>0.89640679091156739</v>
      </c>
      <c r="G44" s="449">
        <f t="shared" ref="G44:L44" si="16">G50/$C$38</f>
        <v>1.2499999999999984</v>
      </c>
      <c r="H44" s="449">
        <f t="shared" si="16"/>
        <v>1.2500000000000036</v>
      </c>
      <c r="I44" s="449">
        <f t="shared" si="16"/>
        <v>1.4999999999999953</v>
      </c>
      <c r="J44" s="267">
        <f t="shared" si="16"/>
        <v>0</v>
      </c>
      <c r="K44" s="449">
        <f>K50/$C$38</f>
        <v>1.5000000000000007</v>
      </c>
      <c r="L44" s="267">
        <f t="shared" si="16"/>
        <v>0.13845784601904662</v>
      </c>
    </row>
    <row r="45" spans="1:12" x14ac:dyDescent="0.25">
      <c r="A45" s="261">
        <f>IF(B45="","",MAX(A$1:A44)+1)</f>
        <v>25</v>
      </c>
      <c r="B45" s="204" t="s">
        <v>129</v>
      </c>
      <c r="C45" s="257"/>
      <c r="D45" s="235"/>
      <c r="F45" s="237">
        <f>$C$38*F44</f>
        <v>7.6102217242518089E-2</v>
      </c>
      <c r="G45" s="237">
        <f t="shared" ref="G45:L45" si="17">$C$38*G44</f>
        <v>0.10612120804708636</v>
      </c>
      <c r="H45" s="237">
        <f>$C$38*H44</f>
        <v>0.1061212080470868</v>
      </c>
      <c r="I45" s="237">
        <f t="shared" si="17"/>
        <v>0.12734544965650341</v>
      </c>
      <c r="J45" s="237">
        <f t="shared" si="17"/>
        <v>0</v>
      </c>
      <c r="K45" s="237">
        <f t="shared" si="17"/>
        <v>0.12734544965650385</v>
      </c>
      <c r="L45" s="237">
        <f t="shared" si="17"/>
        <v>1.175465110651097E-2</v>
      </c>
    </row>
    <row r="46" spans="1:12" x14ac:dyDescent="0.25">
      <c r="A46" s="261">
        <f>IF(B46="","",MAX(A$1:A45)+1)</f>
        <v>26</v>
      </c>
      <c r="B46" s="204" t="s">
        <v>131</v>
      </c>
      <c r="C46" s="580">
        <f>SUM(F46:L46)</f>
        <v>44570424.507699192</v>
      </c>
      <c r="D46" s="235">
        <f t="shared" si="0"/>
        <v>0</v>
      </c>
      <c r="E46" s="231"/>
      <c r="F46" s="257">
        <f>F41+F43</f>
        <v>28670245.279516503</v>
      </c>
      <c r="G46" s="257">
        <f>G41+G43</f>
        <v>11887518.994318821</v>
      </c>
      <c r="H46" s="257">
        <f t="shared" ref="H46:L46" si="18">H41+H43</f>
        <v>2158461.2072152426</v>
      </c>
      <c r="I46" s="257">
        <f t="shared" si="18"/>
        <v>1109090.7337120911</v>
      </c>
      <c r="J46" s="257">
        <f t="shared" si="18"/>
        <v>0</v>
      </c>
      <c r="K46" s="257">
        <f t="shared" si="18"/>
        <v>725368.29293653194</v>
      </c>
      <c r="L46" s="257">
        <f t="shared" si="18"/>
        <v>19740.000000000015</v>
      </c>
    </row>
    <row r="47" spans="1:12" x14ac:dyDescent="0.25">
      <c r="A47" s="261">
        <f>IF(B47="","",MAX(A$1:A46)+1)</f>
        <v>27</v>
      </c>
      <c r="B47" s="204" t="s">
        <v>133</v>
      </c>
      <c r="C47" s="257">
        <f>SUM(F47:L47)</f>
        <v>567193801.86914265</v>
      </c>
      <c r="D47" s="235">
        <f t="shared" si="0"/>
        <v>0</v>
      </c>
      <c r="E47" s="231"/>
      <c r="F47" s="258">
        <f>F46+F12+F13</f>
        <v>401967666.27877462</v>
      </c>
      <c r="G47" s="258">
        <f t="shared" ref="G47:L47" si="19">G46+G12+G13</f>
        <v>123335024.45029791</v>
      </c>
      <c r="H47" s="258">
        <f t="shared" si="19"/>
        <v>22477895.462073106</v>
      </c>
      <c r="I47" s="258">
        <f t="shared" si="19"/>
        <v>9796910.8813355789</v>
      </c>
      <c r="J47" s="258">
        <f t="shared" si="19"/>
        <v>1496483.2606782606</v>
      </c>
      <c r="K47" s="258">
        <f t="shared" si="19"/>
        <v>6420757.0836266708</v>
      </c>
      <c r="L47" s="258">
        <f t="shared" si="19"/>
        <v>1699064.4523564125</v>
      </c>
    </row>
    <row r="48" spans="1:12" x14ac:dyDescent="0.25">
      <c r="A48" s="261">
        <f>IF(B48="","",MAX(A$1:A47)+1)</f>
        <v>28</v>
      </c>
      <c r="B48" s="204" t="s">
        <v>132</v>
      </c>
      <c r="C48" s="215">
        <f>C32</f>
        <v>4050270.1499999203</v>
      </c>
      <c r="D48" s="235">
        <f t="shared" si="0"/>
        <v>0</v>
      </c>
      <c r="F48" s="215">
        <f>F32</f>
        <v>3435955.7452309728</v>
      </c>
      <c r="G48" s="215">
        <f t="shared" ref="G48:L48" si="20">G32</f>
        <v>570810.32727385894</v>
      </c>
      <c r="H48" s="215">
        <f t="shared" si="20"/>
        <v>20149.575148323551</v>
      </c>
      <c r="I48" s="215">
        <f t="shared" si="20"/>
        <v>21487.775853206404</v>
      </c>
      <c r="J48" s="215">
        <f t="shared" si="20"/>
        <v>1177.091016426275</v>
      </c>
      <c r="K48" s="215">
        <f t="shared" si="20"/>
        <v>678.83397261518985</v>
      </c>
      <c r="L48" s="215">
        <f t="shared" si="20"/>
        <v>10.801504568895325</v>
      </c>
    </row>
    <row r="49" spans="1:12" x14ac:dyDescent="0.25">
      <c r="A49" s="261">
        <f>IF(B49="","",MAX(A$1:A48)+1)</f>
        <v>29</v>
      </c>
      <c r="B49" s="255" t="s">
        <v>134</v>
      </c>
      <c r="C49" s="254">
        <f>SUM(C47:C48)</f>
        <v>571244072.01914263</v>
      </c>
      <c r="D49" s="235">
        <f t="shared" si="0"/>
        <v>0</v>
      </c>
      <c r="F49" s="254">
        <f>SUM(F47:F48)</f>
        <v>405403622.02400559</v>
      </c>
      <c r="G49" s="254">
        <f t="shared" ref="G49" si="21">SUM(G47:G48)</f>
        <v>123905834.77757177</v>
      </c>
      <c r="H49" s="254">
        <f t="shared" ref="H49" si="22">SUM(H47:H48)</f>
        <v>22498045.037221432</v>
      </c>
      <c r="I49" s="254">
        <f t="shared" ref="I49" si="23">SUM(I47:I48)</f>
        <v>9818398.6571887843</v>
      </c>
      <c r="J49" s="254">
        <f t="shared" ref="J49" si="24">SUM(J47:J48)</f>
        <v>1497660.3516946868</v>
      </c>
      <c r="K49" s="254">
        <f t="shared" ref="K49" si="25">SUM(K47:K48)</f>
        <v>6421435.917599286</v>
      </c>
      <c r="L49" s="254">
        <f t="shared" ref="L49" si="26">SUM(L47:L48)</f>
        <v>1699075.2538609814</v>
      </c>
    </row>
    <row r="50" spans="1:12" x14ac:dyDescent="0.25">
      <c r="A50" s="261">
        <f>IF(B50="","",MAX(A$1:A49)+1)</f>
        <v>30</v>
      </c>
      <c r="B50" s="204" t="s">
        <v>129</v>
      </c>
      <c r="C50" s="237">
        <f>C49/C15-1</f>
        <v>8.4626266604180156E-2</v>
      </c>
      <c r="D50" s="235">
        <f t="shared" si="0"/>
        <v>0</v>
      </c>
      <c r="F50" s="237">
        <f>F49/F15-1</f>
        <v>7.6102217242518089E-2</v>
      </c>
      <c r="G50" s="237">
        <f t="shared" ref="G50:L50" si="27">G49/G15-1</f>
        <v>0.10612120804708636</v>
      </c>
      <c r="H50" s="237">
        <f>H49/H15-1</f>
        <v>0.1061212080470868</v>
      </c>
      <c r="I50" s="237">
        <f t="shared" si="27"/>
        <v>0.12734544965650341</v>
      </c>
      <c r="J50" s="237">
        <f t="shared" si="27"/>
        <v>0</v>
      </c>
      <c r="K50" s="237">
        <f t="shared" si="27"/>
        <v>0.12734544965650385</v>
      </c>
      <c r="L50" s="237">
        <f t="shared" si="27"/>
        <v>1.1754651106510972E-2</v>
      </c>
    </row>
    <row r="51" spans="1:12" x14ac:dyDescent="0.25">
      <c r="A51" s="261">
        <f>IF(B51="","",MAX(A$1:A50)+1)</f>
        <v>31</v>
      </c>
      <c r="B51" s="204" t="s">
        <v>168</v>
      </c>
      <c r="C51" s="256">
        <f>C47/C$21</f>
        <v>1.0000000000000002</v>
      </c>
      <c r="D51" s="235"/>
      <c r="F51" s="256">
        <f>F47/F$21</f>
        <v>1.0840656482989741</v>
      </c>
      <c r="G51" s="256">
        <f t="shared" ref="G51:L51" si="28">G47/G$21</f>
        <v>0.85358348354770541</v>
      </c>
      <c r="H51" s="256">
        <f t="shared" si="28"/>
        <v>0.9225995741090095</v>
      </c>
      <c r="I51" s="256">
        <f t="shared" si="28"/>
        <v>0.79138806941974926</v>
      </c>
      <c r="J51" s="256">
        <f t="shared" si="28"/>
        <v>1.1593407876782997</v>
      </c>
      <c r="K51" s="256">
        <f t="shared" si="28"/>
        <v>0.50463184918747939</v>
      </c>
      <c r="L51" s="256">
        <f t="shared" si="28"/>
        <v>1.4787376257336333</v>
      </c>
    </row>
    <row r="52" spans="1:12" x14ac:dyDescent="0.25">
      <c r="A52" s="261">
        <f>IF(B52="","",MAX(A$1:A51)+1)</f>
        <v>32</v>
      </c>
      <c r="B52" s="204" t="s">
        <v>167</v>
      </c>
      <c r="C52" s="290">
        <f>C17</f>
        <v>1</v>
      </c>
      <c r="D52" s="235"/>
      <c r="F52" s="290">
        <f t="shared" ref="F52:L52" si="29">F17</f>
        <v>1.0926022639182875</v>
      </c>
      <c r="G52" s="290">
        <f t="shared" si="29"/>
        <v>0.83709081200648883</v>
      </c>
      <c r="H52" s="290">
        <f t="shared" si="29"/>
        <v>0.90513187408774831</v>
      </c>
      <c r="I52" s="290">
        <f t="shared" si="29"/>
        <v>0.76164712522661082</v>
      </c>
      <c r="J52" s="290">
        <f t="shared" si="29"/>
        <v>1.2582118165955078</v>
      </c>
      <c r="K52" s="290">
        <f t="shared" si="29"/>
        <v>0.48579656288827627</v>
      </c>
      <c r="L52" s="290">
        <f t="shared" si="29"/>
        <v>1.5862021186039463</v>
      </c>
    </row>
    <row r="53" spans="1:12" x14ac:dyDescent="0.25">
      <c r="A53" s="261"/>
      <c r="B53" s="204"/>
      <c r="C53" s="204"/>
      <c r="D53" s="235"/>
      <c r="F53" s="204"/>
      <c r="G53" s="204"/>
      <c r="H53" s="204"/>
      <c r="I53" s="204"/>
      <c r="J53" s="204"/>
      <c r="K53" s="204"/>
      <c r="L53" s="204"/>
    </row>
    <row r="54" spans="1:12" x14ac:dyDescent="0.25">
      <c r="A54" s="576">
        <f>IF(B54="","",MAX(A$1:A53)+1)</f>
        <v>33</v>
      </c>
      <c r="B54" s="595" t="s">
        <v>293</v>
      </c>
      <c r="C54" s="577"/>
      <c r="D54" s="578"/>
      <c r="E54" s="579"/>
      <c r="F54" s="577"/>
      <c r="G54" s="577"/>
      <c r="H54" s="577"/>
      <c r="I54" s="577"/>
      <c r="J54" s="577"/>
      <c r="K54" s="577"/>
      <c r="L54" s="577"/>
    </row>
    <row r="55" spans="1:12" x14ac:dyDescent="0.25">
      <c r="A55" s="576">
        <f>IF(B55="","",MAX(A$1:A54)+1)</f>
        <v>34</v>
      </c>
      <c r="B55" s="577" t="s">
        <v>290</v>
      </c>
      <c r="C55" s="236">
        <f>SUM(F55:L55)</f>
        <v>44570424.507699199</v>
      </c>
      <c r="D55" s="582"/>
      <c r="E55" s="583"/>
      <c r="F55" s="434">
        <f>AVERAGE(F30,F46)</f>
        <v>30319800.396256659</v>
      </c>
      <c r="G55" s="434">
        <f t="shared" ref="G55:K55" si="30">AVERAGE(G30,G46)</f>
        <v>10696661.127734598</v>
      </c>
      <c r="H55" s="434">
        <f t="shared" si="30"/>
        <v>1942232.6981749972</v>
      </c>
      <c r="I55" s="434">
        <f t="shared" si="30"/>
        <v>924078.54133055743</v>
      </c>
      <c r="J55" s="434">
        <f t="shared" si="30"/>
        <v>63545.25398677418</v>
      </c>
      <c r="K55" s="434">
        <f t="shared" si="30"/>
        <v>604366.49021560512</v>
      </c>
      <c r="L55" s="434">
        <f>L41</f>
        <v>19740.000000000015</v>
      </c>
    </row>
    <row r="56" spans="1:12" x14ac:dyDescent="0.25">
      <c r="A56" s="576">
        <f>IF(B56="","",MAX(A$1:A55)+1)</f>
        <v>35</v>
      </c>
      <c r="B56" s="577" t="s">
        <v>133</v>
      </c>
      <c r="C56" s="236">
        <f t="shared" ref="C56:C58" si="31">SUM(F56:L56)</f>
        <v>567193801.86914253</v>
      </c>
      <c r="D56" s="582"/>
      <c r="E56" s="583"/>
      <c r="F56" s="434">
        <f>F12+F13+F55</f>
        <v>403617221.39551479</v>
      </c>
      <c r="G56" s="434">
        <f t="shared" ref="G56:L56" si="32">G12+G13+G55</f>
        <v>122144166.5837137</v>
      </c>
      <c r="H56" s="434">
        <f t="shared" si="32"/>
        <v>22261666.953032859</v>
      </c>
      <c r="I56" s="434">
        <f t="shared" si="32"/>
        <v>9611898.688954046</v>
      </c>
      <c r="J56" s="434">
        <f t="shared" si="32"/>
        <v>1560028.5146650348</v>
      </c>
      <c r="K56" s="434">
        <f t="shared" si="32"/>
        <v>6299755.2809057441</v>
      </c>
      <c r="L56" s="434">
        <f t="shared" si="32"/>
        <v>1699064.4523564125</v>
      </c>
    </row>
    <row r="57" spans="1:12" x14ac:dyDescent="0.25">
      <c r="A57" s="576">
        <f>IF(B57="","",MAX(A$1:A56)+1)</f>
        <v>36</v>
      </c>
      <c r="B57" s="577" t="s">
        <v>132</v>
      </c>
      <c r="C57" s="236">
        <f t="shared" si="31"/>
        <v>4050270.1499999715</v>
      </c>
      <c r="D57" s="582"/>
      <c r="E57" s="583"/>
      <c r="F57" s="434">
        <f>F14</f>
        <v>3435955.7452309728</v>
      </c>
      <c r="G57" s="434">
        <f t="shared" ref="G57:L57" si="33">G14</f>
        <v>570810.32727385894</v>
      </c>
      <c r="H57" s="434">
        <f t="shared" si="33"/>
        <v>20149.575148323551</v>
      </c>
      <c r="I57" s="434">
        <f t="shared" si="33"/>
        <v>21487.775853206404</v>
      </c>
      <c r="J57" s="434">
        <f t="shared" si="33"/>
        <v>1177.091016426275</v>
      </c>
      <c r="K57" s="434">
        <f t="shared" si="33"/>
        <v>678.83397261518985</v>
      </c>
      <c r="L57" s="434">
        <f t="shared" si="33"/>
        <v>10.801504568895325</v>
      </c>
    </row>
    <row r="58" spans="1:12" x14ac:dyDescent="0.25">
      <c r="A58" s="576">
        <f>IF(B58="","",MAX(A$1:A57)+1)</f>
        <v>37</v>
      </c>
      <c r="B58" s="577" t="s">
        <v>284</v>
      </c>
      <c r="C58" s="236">
        <f t="shared" si="31"/>
        <v>571244072.01914251</v>
      </c>
      <c r="D58" s="582"/>
      <c r="E58" s="583"/>
      <c r="F58" s="434">
        <f>SUM(F56:F57)</f>
        <v>407053177.14074576</v>
      </c>
      <c r="G58" s="434">
        <f t="shared" ref="G58:L58" si="34">SUM(G56:G57)</f>
        <v>122714976.91098756</v>
      </c>
      <c r="H58" s="434">
        <f t="shared" si="34"/>
        <v>22281816.52818118</v>
      </c>
      <c r="I58" s="434">
        <f t="shared" si="34"/>
        <v>9633386.4648072533</v>
      </c>
      <c r="J58" s="434">
        <f t="shared" si="34"/>
        <v>1561205.605681461</v>
      </c>
      <c r="K58" s="434">
        <f t="shared" si="34"/>
        <v>6300434.1148783593</v>
      </c>
      <c r="L58" s="434">
        <f t="shared" si="34"/>
        <v>1699075.2538609814</v>
      </c>
    </row>
    <row r="59" spans="1:12" x14ac:dyDescent="0.25">
      <c r="A59" s="576">
        <f>IF(B59="","",MAX(A$1:A58)+1)</f>
        <v>38</v>
      </c>
      <c r="B59" s="577" t="s">
        <v>285</v>
      </c>
      <c r="C59" s="584">
        <f>C58/C15-1</f>
        <v>8.4626266604179934E-2</v>
      </c>
      <c r="D59" s="582"/>
      <c r="E59" s="583"/>
      <c r="F59" s="584">
        <f>F58/F15-1</f>
        <v>8.0480791636416082E-2</v>
      </c>
      <c r="G59" s="584">
        <f t="shared" ref="G59:L59" si="35">G58/G15-1</f>
        <v>9.5490287038700439E-2</v>
      </c>
      <c r="H59" s="584">
        <f t="shared" si="35"/>
        <v>9.5490287038700439E-2</v>
      </c>
      <c r="I59" s="584">
        <f t="shared" si="35"/>
        <v>0.10610240784340896</v>
      </c>
      <c r="J59" s="584">
        <f t="shared" si="35"/>
        <v>4.2429683015157149E-2</v>
      </c>
      <c r="K59" s="584">
        <f t="shared" si="35"/>
        <v>0.10610240784340896</v>
      </c>
      <c r="L59" s="584">
        <f t="shared" si="35"/>
        <v>1.1754651106510972E-2</v>
      </c>
    </row>
    <row r="60" spans="1:12" x14ac:dyDescent="0.25">
      <c r="A60" s="576">
        <f>IF(B60="","",MAX(A$1:A59)+1)</f>
        <v>39</v>
      </c>
      <c r="B60" s="577" t="s">
        <v>286</v>
      </c>
      <c r="C60" s="585">
        <f>C56/C21</f>
        <v>1</v>
      </c>
      <c r="D60" s="582"/>
      <c r="E60" s="583"/>
      <c r="F60" s="585">
        <f>F56/F21</f>
        <v>1.0885143295911495</v>
      </c>
      <c r="G60" s="585">
        <f t="shared" ref="G60:L60" si="36">G56/G21</f>
        <v>0.84534173218227093</v>
      </c>
      <c r="H60" s="585">
        <f t="shared" si="36"/>
        <v>0.91372452925939884</v>
      </c>
      <c r="I60" s="585">
        <f t="shared" si="36"/>
        <v>0.77644290522244297</v>
      </c>
      <c r="J60" s="585">
        <f t="shared" si="36"/>
        <v>1.2085699416194233</v>
      </c>
      <c r="K60" s="585">
        <f t="shared" si="36"/>
        <v>0.49512185485709265</v>
      </c>
      <c r="L60" s="585">
        <f t="shared" si="36"/>
        <v>1.4787376257336333</v>
      </c>
    </row>
    <row r="61" spans="1:12" x14ac:dyDescent="0.25">
      <c r="A61" s="261"/>
      <c r="B61" s="204"/>
      <c r="C61" s="204"/>
      <c r="D61" s="235"/>
      <c r="F61" s="204"/>
      <c r="G61" s="204"/>
      <c r="H61" s="204"/>
      <c r="I61" s="204"/>
      <c r="J61" s="204"/>
      <c r="K61" s="204"/>
      <c r="L61" s="204"/>
    </row>
    <row r="62" spans="1:12" x14ac:dyDescent="0.25">
      <c r="A62" s="261">
        <f>IF(B62="","",MAX(A$1:A61)+1)</f>
        <v>40</v>
      </c>
      <c r="B62" s="259" t="s">
        <v>141</v>
      </c>
      <c r="C62" s="233"/>
      <c r="D62" s="235" t="str">
        <f t="shared" si="0"/>
        <v/>
      </c>
    </row>
    <row r="63" spans="1:12" x14ac:dyDescent="0.25">
      <c r="A63" s="261" t="str">
        <f>IF(B63="","",MAX(A$1:A62)+1)</f>
        <v/>
      </c>
      <c r="B63" s="265"/>
      <c r="C63" s="233"/>
      <c r="D63" s="235" t="str">
        <f t="shared" si="0"/>
        <v/>
      </c>
    </row>
    <row r="64" spans="1:12" x14ac:dyDescent="0.25">
      <c r="A64" s="261">
        <f>IF(B64="","",MAX(A$1:A63)+1)</f>
        <v>41</v>
      </c>
      <c r="B64" s="586" t="s">
        <v>287</v>
      </c>
      <c r="C64" s="581">
        <f>SUM(F64:L64)</f>
        <v>44550684.507699199</v>
      </c>
      <c r="D64" s="582">
        <f t="shared" si="0"/>
        <v>0</v>
      </c>
      <c r="E64" s="583"/>
      <c r="F64" s="434">
        <f>F55</f>
        <v>30319800.396256659</v>
      </c>
      <c r="G64" s="434">
        <f t="shared" ref="G64:K64" si="37">G55</f>
        <v>10696661.127734598</v>
      </c>
      <c r="H64" s="434">
        <f t="shared" si="37"/>
        <v>1942232.6981749972</v>
      </c>
      <c r="I64" s="434">
        <f t="shared" si="37"/>
        <v>924078.54133055743</v>
      </c>
      <c r="J64" s="434">
        <f t="shared" si="37"/>
        <v>63545.25398677418</v>
      </c>
      <c r="K64" s="434">
        <f t="shared" si="37"/>
        <v>604366.49021560512</v>
      </c>
      <c r="L64" s="215"/>
    </row>
    <row r="65" spans="1:15" x14ac:dyDescent="0.25">
      <c r="A65" s="261">
        <f>IF(B65="","",MAX(A$1:A64)+1)</f>
        <v>42</v>
      </c>
      <c r="B65" s="583" t="s">
        <v>288</v>
      </c>
      <c r="C65" s="584">
        <f>SUM(F65:K65)</f>
        <v>0.99999999999999978</v>
      </c>
      <c r="D65" s="582">
        <f t="shared" si="0"/>
        <v>0</v>
      </c>
      <c r="E65" s="583"/>
      <c r="F65" s="584">
        <f>F64/$C$64</f>
        <v>0.68056867658266451</v>
      </c>
      <c r="G65" s="584">
        <f t="shared" ref="G65:K65" si="38">G64/$C$64</f>
        <v>0.24010093775070981</v>
      </c>
      <c r="H65" s="584">
        <f t="shared" si="38"/>
        <v>4.359602371180947E-2</v>
      </c>
      <c r="I65" s="584">
        <f t="shared" si="38"/>
        <v>2.074218503131774E-2</v>
      </c>
      <c r="J65" s="584">
        <f t="shared" si="38"/>
        <v>1.4263586449674496E-3</v>
      </c>
      <c r="K65" s="584">
        <f t="shared" si="38"/>
        <v>1.3565818278530808E-2</v>
      </c>
      <c r="L65" s="237"/>
      <c r="N65" s="670" t="s">
        <v>296</v>
      </c>
      <c r="O65" s="671"/>
    </row>
    <row r="66" spans="1:15" x14ac:dyDescent="0.25">
      <c r="A66" s="261" t="str">
        <f>IF(B66="","",MAX(A$1:A65)+1)</f>
        <v/>
      </c>
      <c r="B66" s="205"/>
      <c r="C66" s="234"/>
      <c r="D66" s="235" t="str">
        <f t="shared" si="0"/>
        <v/>
      </c>
      <c r="N66" s="670" t="s">
        <v>297</v>
      </c>
      <c r="O66" s="670" t="s">
        <v>298</v>
      </c>
    </row>
    <row r="67" spans="1:15" x14ac:dyDescent="0.25">
      <c r="A67" s="261">
        <f>IF(B67="","",MAX(A$1:A66)+1)</f>
        <v>43</v>
      </c>
      <c r="B67" s="205" t="s">
        <v>99</v>
      </c>
      <c r="C67" s="234"/>
      <c r="D67" s="235" t="str">
        <f t="shared" si="0"/>
        <v/>
      </c>
      <c r="N67" s="628"/>
      <c r="O67" s="628"/>
    </row>
    <row r="68" spans="1:15" x14ac:dyDescent="0.25">
      <c r="A68" s="261">
        <f>IF(B68="","",MAX(A$1:A67)+1)</f>
        <v>44</v>
      </c>
      <c r="B68" s="239" t="s">
        <v>109</v>
      </c>
      <c r="C68" s="612">
        <f>N68+'Rev Req Comparison'!I29</f>
        <v>24520280.186461706</v>
      </c>
      <c r="D68" s="235"/>
      <c r="F68" s="238"/>
      <c r="G68" s="238"/>
      <c r="H68" s="238"/>
      <c r="I68" s="238"/>
      <c r="J68" s="238"/>
      <c r="K68" s="238"/>
      <c r="N68" s="612">
        <v>-9917.7636761665344</v>
      </c>
      <c r="O68" s="667">
        <f>C68-N68</f>
        <v>24530197.950137872</v>
      </c>
    </row>
    <row r="69" spans="1:15" x14ac:dyDescent="0.25">
      <c r="A69" s="261">
        <f>IF(B69="","",MAX(A$1:A68)+1)</f>
        <v>45</v>
      </c>
      <c r="B69" s="239" t="s">
        <v>108</v>
      </c>
      <c r="C69" s="613">
        <f>'Exh JDT-5 (JDT-MYRP-SUM)'!G22</f>
        <v>1575791.6865457892</v>
      </c>
      <c r="D69" s="235"/>
      <c r="F69" s="292"/>
      <c r="G69" s="292"/>
      <c r="H69" s="292"/>
      <c r="I69" s="292"/>
      <c r="J69" s="292"/>
      <c r="K69" s="292"/>
      <c r="N69" s="613">
        <v>1575791.6865457892</v>
      </c>
      <c r="O69" s="667">
        <f t="shared" ref="O69:O82" si="39">C69-N69</f>
        <v>0</v>
      </c>
    </row>
    <row r="70" spans="1:15" x14ac:dyDescent="0.25">
      <c r="A70" s="261">
        <f>IF(B70="","",MAX(A$1:A69)+1)</f>
        <v>46</v>
      </c>
      <c r="B70" s="248" t="s">
        <v>110</v>
      </c>
      <c r="C70" s="627">
        <f>C68-C69</f>
        <v>22944488.499915916</v>
      </c>
      <c r="D70" s="235">
        <f t="shared" si="0"/>
        <v>0</v>
      </c>
      <c r="E70" s="205"/>
      <c r="F70" s="251">
        <f>$C$70*F65</f>
        <v>15615300.17325394</v>
      </c>
      <c r="G70" s="251">
        <f t="shared" ref="G70:J70" si="40">$C$70*G65</f>
        <v>5508993.2050401885</v>
      </c>
      <c r="H70" s="251">
        <f t="shared" si="40"/>
        <v>1000288.464697674</v>
      </c>
      <c r="I70" s="251">
        <f t="shared" si="40"/>
        <v>475918.82591419795</v>
      </c>
      <c r="J70" s="251">
        <f t="shared" si="40"/>
        <v>32727.069526211297</v>
      </c>
      <c r="K70" s="251">
        <f>$C$70*K65</f>
        <v>311260.76148369926</v>
      </c>
      <c r="L70" s="238"/>
      <c r="N70" s="627">
        <v>-1585709.4502219558</v>
      </c>
      <c r="O70" s="667">
        <f t="shared" si="39"/>
        <v>24530197.950137872</v>
      </c>
    </row>
    <row r="71" spans="1:15" x14ac:dyDescent="0.25">
      <c r="A71" s="261" t="str">
        <f>IF(B71="","",MAX(A$1:A70)+1)</f>
        <v/>
      </c>
      <c r="B71" s="239"/>
      <c r="C71" s="613"/>
      <c r="D71" s="235" t="str">
        <f t="shared" si="0"/>
        <v/>
      </c>
      <c r="F71" s="238"/>
      <c r="G71" s="238"/>
      <c r="H71" s="238"/>
      <c r="I71" s="238"/>
      <c r="J71" s="238"/>
      <c r="K71" s="238"/>
      <c r="L71" s="238"/>
      <c r="N71" s="613"/>
      <c r="O71" s="667"/>
    </row>
    <row r="72" spans="1:15" x14ac:dyDescent="0.25">
      <c r="A72" s="261">
        <f>IF(B72="","",MAX(A$1:A71)+1)</f>
        <v>47</v>
      </c>
      <c r="B72" s="239" t="s">
        <v>117</v>
      </c>
      <c r="C72" s="612">
        <f>N72+'Rev Req Comparison'!I29+'Gas Rev Req for COS'!D25</f>
        <v>15224484.40180378</v>
      </c>
      <c r="D72" s="235"/>
      <c r="F72" s="238"/>
      <c r="G72" s="238"/>
      <c r="H72" s="238"/>
      <c r="I72" s="238"/>
      <c r="J72" s="238"/>
      <c r="K72" s="238"/>
      <c r="L72" s="238"/>
      <c r="N72" s="612">
        <v>-27116115.007884175</v>
      </c>
      <c r="O72" s="667">
        <f t="shared" si="39"/>
        <v>42340599.409687951</v>
      </c>
    </row>
    <row r="73" spans="1:15" x14ac:dyDescent="0.25">
      <c r="A73" s="261">
        <f>IF(B73="","",MAX(A$1:A72)+1)</f>
        <v>48</v>
      </c>
      <c r="B73" s="239" t="s">
        <v>108</v>
      </c>
      <c r="C73" s="613">
        <f>'Exh JDT-5 (JDT-MYRP-SUM)'!L22</f>
        <v>1922469.5871946216</v>
      </c>
      <c r="D73" s="235"/>
      <c r="F73" s="293"/>
      <c r="G73" s="293"/>
      <c r="H73" s="293"/>
      <c r="I73" s="293"/>
      <c r="J73" s="293"/>
      <c r="K73" s="293"/>
      <c r="L73" s="238"/>
      <c r="N73" s="613">
        <v>1922469.5871946216</v>
      </c>
      <c r="O73" s="667">
        <f t="shared" si="39"/>
        <v>0</v>
      </c>
    </row>
    <row r="74" spans="1:15" x14ac:dyDescent="0.25">
      <c r="A74" s="261">
        <f>IF(B74="","",MAX(A$1:A73)+1)</f>
        <v>49</v>
      </c>
      <c r="B74" s="248" t="s">
        <v>118</v>
      </c>
      <c r="C74" s="627">
        <f>C72-C73</f>
        <v>13302014.814609159</v>
      </c>
      <c r="D74" s="235">
        <f t="shared" si="0"/>
        <v>0</v>
      </c>
      <c r="E74" s="205"/>
      <c r="F74" s="251">
        <f>$C$74*F65</f>
        <v>9052934.6182615533</v>
      </c>
      <c r="G74" s="251">
        <f t="shared" ref="G74:K74" si="41">$C$74*G65</f>
        <v>3193826.2309614932</v>
      </c>
      <c r="H74" s="251">
        <f t="shared" si="41"/>
        <v>579914.95327254175</v>
      </c>
      <c r="I74" s="251">
        <f t="shared" si="41"/>
        <v>275912.85257395293</v>
      </c>
      <c r="J74" s="251">
        <f t="shared" si="41"/>
        <v>18973.443826302861</v>
      </c>
      <c r="K74" s="251">
        <f t="shared" si="41"/>
        <v>180452.71571331253</v>
      </c>
      <c r="L74" s="238"/>
      <c r="N74" s="627">
        <v>-29038584.595078796</v>
      </c>
      <c r="O74" s="667">
        <f t="shared" si="39"/>
        <v>42340599.409687951</v>
      </c>
    </row>
    <row r="75" spans="1:15" x14ac:dyDescent="0.25">
      <c r="A75" s="261" t="str">
        <f>IF(B75="","",MAX(A$1:A74)+1)</f>
        <v/>
      </c>
      <c r="B75" s="239"/>
      <c r="C75" s="236"/>
      <c r="D75" s="235" t="str">
        <f t="shared" si="0"/>
        <v/>
      </c>
      <c r="F75" s="238"/>
      <c r="G75" s="238"/>
      <c r="H75" s="238"/>
      <c r="I75" s="238"/>
      <c r="J75" s="238"/>
      <c r="K75" s="238"/>
      <c r="L75" s="238"/>
      <c r="N75" s="613"/>
      <c r="O75" s="667"/>
    </row>
    <row r="76" spans="1:15" x14ac:dyDescent="0.25">
      <c r="A76" s="261">
        <f>IF(B76="","",MAX(A$1:A75)+1)</f>
        <v>50</v>
      </c>
      <c r="B76" s="239" t="s">
        <v>119</v>
      </c>
      <c r="C76" s="236"/>
      <c r="D76" s="235"/>
      <c r="F76" s="238"/>
      <c r="G76" s="238"/>
      <c r="H76" s="238"/>
      <c r="I76" s="238"/>
      <c r="J76" s="238"/>
      <c r="K76" s="238"/>
      <c r="L76" s="238"/>
      <c r="N76" s="613"/>
      <c r="O76" s="667"/>
    </row>
    <row r="77" spans="1:15" x14ac:dyDescent="0.25">
      <c r="A77" s="261">
        <f>IF(B77="","",MAX(A$1:A76)+1)</f>
        <v>51</v>
      </c>
      <c r="B77" s="239" t="s">
        <v>108</v>
      </c>
      <c r="C77" s="236"/>
      <c r="D77" s="235"/>
      <c r="F77" s="293"/>
      <c r="G77" s="293"/>
      <c r="H77" s="293"/>
      <c r="I77" s="293"/>
      <c r="J77" s="293"/>
      <c r="K77" s="293"/>
      <c r="L77" s="238"/>
      <c r="N77" s="613"/>
      <c r="O77" s="667"/>
    </row>
    <row r="78" spans="1:15" x14ac:dyDescent="0.25">
      <c r="A78" s="261">
        <f>IF(B78="","",MAX(A$1:A77)+1)</f>
        <v>52</v>
      </c>
      <c r="B78" s="248" t="s">
        <v>120</v>
      </c>
      <c r="C78" s="251"/>
      <c r="D78" s="235"/>
      <c r="E78" s="205"/>
      <c r="F78" s="251"/>
      <c r="G78" s="251"/>
      <c r="H78" s="251"/>
      <c r="I78" s="251"/>
      <c r="J78" s="251"/>
      <c r="K78" s="251"/>
      <c r="L78" s="238"/>
      <c r="N78" s="627"/>
      <c r="O78" s="667"/>
    </row>
    <row r="79" spans="1:15" x14ac:dyDescent="0.25">
      <c r="A79" s="261" t="str">
        <f>IF(B79="","",MAX(A$1:A78)+1)</f>
        <v/>
      </c>
      <c r="B79" s="205"/>
      <c r="C79" s="233"/>
      <c r="D79" s="235" t="str">
        <f t="shared" ref="D79:D83" si="42">IFERROR(IF(C79="","",IF(C79=0,0,IF(ABS(C79-SUM($F79:$L79))&lt;1,0,1))),1)</f>
        <v/>
      </c>
      <c r="N79" s="668"/>
      <c r="O79" s="667"/>
    </row>
    <row r="80" spans="1:15" x14ac:dyDescent="0.25">
      <c r="A80" s="261">
        <f>IF(B80="","",MAX(A$1:A79)+1)</f>
        <v>53</v>
      </c>
      <c r="B80" s="205" t="s">
        <v>103</v>
      </c>
      <c r="C80" s="232"/>
      <c r="D80" s="235" t="str">
        <f t="shared" si="42"/>
        <v/>
      </c>
      <c r="N80" s="669"/>
      <c r="O80" s="667"/>
    </row>
    <row r="81" spans="1:15" x14ac:dyDescent="0.25">
      <c r="A81" s="261">
        <f>IF(B81="","",MAX(A$1:A80)+1)</f>
        <v>54</v>
      </c>
      <c r="B81" s="205" t="s">
        <v>100</v>
      </c>
      <c r="C81" s="613">
        <f>N81-'Rev Req Comparison'!I29</f>
        <v>20963340.699892666</v>
      </c>
      <c r="D81" s="235">
        <f t="shared" si="42"/>
        <v>0</v>
      </c>
      <c r="E81" s="205"/>
      <c r="F81" s="251">
        <f>$C81*F$65</f>
        <v>14266993.036877459</v>
      </c>
      <c r="G81" s="251">
        <f t="shared" ref="G81:K82" si="43">$C81*G$65</f>
        <v>5033317.7604318503</v>
      </c>
      <c r="H81" s="251">
        <f t="shared" si="43"/>
        <v>913918.2982312612</v>
      </c>
      <c r="I81" s="251">
        <f t="shared" si="43"/>
        <v>434825.49167172762</v>
      </c>
      <c r="J81" s="251">
        <f t="shared" si="43"/>
        <v>29901.242234689889</v>
      </c>
      <c r="K81" s="251">
        <f t="shared" si="43"/>
        <v>284384.87044567277</v>
      </c>
      <c r="L81" s="238"/>
      <c r="N81" s="613">
        <v>45493538.650030538</v>
      </c>
      <c r="O81" s="667">
        <f t="shared" si="39"/>
        <v>-24530197.950137872</v>
      </c>
    </row>
    <row r="82" spans="1:15" x14ac:dyDescent="0.25">
      <c r="A82" s="261">
        <f>IF(B82="","",MAX(A$1:A81)+1)</f>
        <v>55</v>
      </c>
      <c r="B82" s="205" t="s">
        <v>101</v>
      </c>
      <c r="C82" s="613">
        <f>N82-'Rev Req Comparison'!I29-'Gas Rev Req for COS'!D25</f>
        <v>50476761.462354153</v>
      </c>
      <c r="D82" s="235">
        <f t="shared" si="42"/>
        <v>0</v>
      </c>
      <c r="E82" s="205"/>
      <c r="F82" s="251">
        <f t="shared" ref="F82" si="44">$C82*F$65</f>
        <v>34352902.746613204</v>
      </c>
      <c r="G82" s="251">
        <f t="shared" si="43"/>
        <v>12119517.761730123</v>
      </c>
      <c r="H82" s="251">
        <f t="shared" si="43"/>
        <v>2200586.0896081422</v>
      </c>
      <c r="I82" s="251">
        <f t="shared" si="43"/>
        <v>1046998.3260338384</v>
      </c>
      <c r="J82" s="251">
        <f t="shared" si="43"/>
        <v>71997.965081788658</v>
      </c>
      <c r="K82" s="251">
        <f t="shared" si="43"/>
        <v>684758.57328704349</v>
      </c>
      <c r="L82" s="238"/>
      <c r="N82" s="613">
        <v>92817360.872042105</v>
      </c>
      <c r="O82" s="667">
        <f t="shared" si="39"/>
        <v>-42340599.409687951</v>
      </c>
    </row>
    <row r="83" spans="1:15" x14ac:dyDescent="0.25">
      <c r="A83" s="261">
        <f>IF(B83="","",MAX(A$1:A82)+1)</f>
        <v>56</v>
      </c>
      <c r="B83" s="205" t="s">
        <v>102</v>
      </c>
      <c r="C83" s="249"/>
      <c r="D83" s="235" t="str">
        <f t="shared" si="42"/>
        <v/>
      </c>
      <c r="E83" s="205"/>
      <c r="F83" s="251"/>
      <c r="G83" s="251"/>
      <c r="H83" s="251"/>
      <c r="I83" s="251"/>
      <c r="J83" s="251"/>
      <c r="K83" s="251"/>
      <c r="L83" s="238"/>
    </row>
    <row r="84" spans="1:15" x14ac:dyDescent="0.25">
      <c r="A84" s="261" t="str">
        <f>IF(B84="","",MAX(A$1:A83)+1)</f>
        <v/>
      </c>
      <c r="D84" s="235" t="str">
        <f>IFERROR(IF(C84="","",IF(C84=0,0,IF(ABS(C84-SUM($F84:$L84))&lt;1,0,1))),1)</f>
        <v/>
      </c>
    </row>
    <row r="85" spans="1:15" x14ac:dyDescent="0.25">
      <c r="A85" s="261">
        <f>IF(B85="","",MAX(A$1:A84)+1)</f>
        <v>57</v>
      </c>
      <c r="B85" s="593" t="s">
        <v>291</v>
      </c>
      <c r="D85" s="235"/>
    </row>
    <row r="86" spans="1:15" x14ac:dyDescent="0.25">
      <c r="A86" s="261">
        <f>IF(B86="","",MAX(A$1:A85)+1)</f>
        <v>58</v>
      </c>
      <c r="B86" s="593">
        <v>2023</v>
      </c>
      <c r="C86" s="594">
        <f>SUM(F86:L86)</f>
        <v>2999455.8323839335</v>
      </c>
      <c r="D86" s="235"/>
      <c r="F86" s="581">
        <v>2074672.7347817947</v>
      </c>
      <c r="G86" s="581">
        <v>730982.95631700102</v>
      </c>
      <c r="H86" s="581">
        <v>151679.99799864666</v>
      </c>
      <c r="I86" s="581">
        <v>20472.643272653775</v>
      </c>
      <c r="J86" s="581">
        <v>2774.6506744699045</v>
      </c>
      <c r="K86" s="581">
        <v>17392.144629522732</v>
      </c>
      <c r="L86" s="581">
        <v>1480.7047098451972</v>
      </c>
    </row>
    <row r="87" spans="1:15" x14ac:dyDescent="0.25">
      <c r="A87" s="261">
        <f>IF(B87="","",MAX(A$1:A86)+1)</f>
        <v>59</v>
      </c>
      <c r="B87" s="593">
        <v>2024</v>
      </c>
      <c r="C87" s="594">
        <v>2914764.6989022968</v>
      </c>
      <c r="D87" s="235"/>
      <c r="F87" s="581">
        <f>$C$87*(F86/$C$86)</f>
        <v>2016093.3139364917</v>
      </c>
      <c r="G87" s="581">
        <f t="shared" ref="G87:L87" si="45">$C$87*(G86/$C$86)</f>
        <v>710343.28746178711</v>
      </c>
      <c r="H87" s="581">
        <f t="shared" si="45"/>
        <v>147397.23749979044</v>
      </c>
      <c r="I87" s="581">
        <f t="shared" si="45"/>
        <v>19894.587964952108</v>
      </c>
      <c r="J87" s="581">
        <f t="shared" si="45"/>
        <v>2696.3070268991123</v>
      </c>
      <c r="K87" s="581">
        <f t="shared" si="45"/>
        <v>16901.068739540333</v>
      </c>
      <c r="L87" s="581">
        <f t="shared" si="45"/>
        <v>1438.8962728365686</v>
      </c>
    </row>
    <row r="88" spans="1:15" x14ac:dyDescent="0.25">
      <c r="D88" s="235"/>
      <c r="F88" s="592"/>
      <c r="G88" s="592"/>
      <c r="H88" s="592"/>
      <c r="I88" s="592"/>
      <c r="J88" s="592"/>
      <c r="K88" s="592"/>
      <c r="L88" s="592"/>
    </row>
    <row r="89" spans="1:15" x14ac:dyDescent="0.25">
      <c r="B89" s="572" t="s">
        <v>292</v>
      </c>
      <c r="D89" s="235"/>
    </row>
    <row r="90" spans="1:15" x14ac:dyDescent="0.25">
      <c r="D90" s="235"/>
    </row>
    <row r="91" spans="1:15" x14ac:dyDescent="0.25">
      <c r="D91" s="235"/>
    </row>
    <row r="92" spans="1:15" x14ac:dyDescent="0.25">
      <c r="D92" s="235" t="str">
        <f>IFERROR(IF(C92="","",IF(C92=0,0,IF(ABS(C92-SUM($F92:$L92))&lt;1,0,1))),1)</f>
        <v/>
      </c>
    </row>
    <row r="93" spans="1:15" x14ac:dyDescent="0.25">
      <c r="B93" s="572"/>
      <c r="C93" s="238"/>
      <c r="D93" s="235"/>
    </row>
    <row r="95" spans="1:15" x14ac:dyDescent="0.25">
      <c r="C95" s="238"/>
    </row>
    <row r="98" spans="3:3" x14ac:dyDescent="0.25">
      <c r="C98" s="238"/>
    </row>
  </sheetData>
  <pageMargins left="0.7" right="0.7" top="0.75" bottom="0.75" header="0.3" footer="0.3"/>
  <pageSetup scale="60" fitToHeight="2" orientation="landscape" horizontalDpi="300" verticalDpi="300" r:id="rId1"/>
  <headerFooter>
    <oddFooter>&amp;R&amp;A
 Page &amp;P of &amp;N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Z53"/>
  <sheetViews>
    <sheetView tabSelected="1" zoomScale="80" zoomScaleNormal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U52" sqref="U52"/>
    </sheetView>
  </sheetViews>
  <sheetFormatPr defaultColWidth="42.28515625" defaultRowHeight="12.75" x14ac:dyDescent="0.2"/>
  <cols>
    <col min="1" max="1" width="26.5703125" style="526" customWidth="1"/>
    <col min="2" max="2" width="26.7109375" style="493" bestFit="1" customWidth="1"/>
    <col min="3" max="3" width="22.140625" style="493" bestFit="1" customWidth="1"/>
    <col min="4" max="5" width="12.85546875" style="493" customWidth="1"/>
    <col min="6" max="6" width="12.85546875" style="494" customWidth="1"/>
    <col min="7" max="8" width="12.85546875" style="493" customWidth="1"/>
    <col min="9" max="9" width="12.85546875" style="494" customWidth="1"/>
    <col min="10" max="15" width="12.85546875" style="493" customWidth="1"/>
    <col min="16" max="17" width="13.5703125" style="493" customWidth="1"/>
    <col min="18" max="18" width="13.5703125" style="494" customWidth="1"/>
    <col min="19" max="20" width="13.5703125" style="493" customWidth="1"/>
    <col min="21" max="21" width="13.5703125" style="494" customWidth="1"/>
    <col min="22" max="23" width="13.5703125" style="493" customWidth="1"/>
    <col min="24" max="24" width="13.5703125" style="494" customWidth="1"/>
    <col min="25" max="26" width="13.5703125" style="493" customWidth="1"/>
    <col min="27" max="16384" width="42.28515625" style="493"/>
  </cols>
  <sheetData>
    <row r="1" spans="1:26" x14ac:dyDescent="0.2">
      <c r="A1" s="264" t="str">
        <f>'Table of Contents'!$A$1</f>
        <v>Puget Sound Energy</v>
      </c>
      <c r="B1" s="492"/>
      <c r="C1" s="492"/>
      <c r="D1" s="492"/>
      <c r="G1" s="492"/>
      <c r="H1" s="492"/>
      <c r="I1" s="492"/>
      <c r="J1" s="492"/>
      <c r="K1" s="492"/>
      <c r="L1" s="492"/>
    </row>
    <row r="2" spans="1:26" x14ac:dyDescent="0.2">
      <c r="A2" s="264" t="str">
        <f>'Table of Contents'!$A$2</f>
        <v>2022 Gas General Rate Case Filing</v>
      </c>
      <c r="B2" s="492"/>
      <c r="C2" s="492"/>
      <c r="D2" s="492"/>
      <c r="G2" s="492"/>
      <c r="H2" s="492"/>
      <c r="I2" s="492"/>
      <c r="J2" s="492"/>
      <c r="K2" s="492"/>
      <c r="L2" s="492"/>
    </row>
    <row r="3" spans="1:26" x14ac:dyDescent="0.2">
      <c r="A3" s="264" t="str">
        <f>'Table of Contents'!$A$3</f>
        <v>Gas Rate Spread &amp; Design Work Paper</v>
      </c>
      <c r="B3" s="495"/>
      <c r="C3" s="495"/>
      <c r="D3" s="492"/>
      <c r="G3" s="492"/>
      <c r="H3" s="492"/>
      <c r="I3" s="492"/>
      <c r="J3" s="492"/>
      <c r="K3" s="492"/>
      <c r="L3" s="492"/>
    </row>
    <row r="4" spans="1:26" x14ac:dyDescent="0.2">
      <c r="A4" s="264" t="s">
        <v>202</v>
      </c>
      <c r="B4" s="495"/>
      <c r="C4" s="495"/>
      <c r="D4" s="492"/>
      <c r="G4" s="492"/>
      <c r="H4" s="492"/>
      <c r="I4" s="492"/>
      <c r="J4" s="492"/>
      <c r="K4" s="492"/>
      <c r="L4" s="492"/>
    </row>
    <row r="6" spans="1:26" s="496" customFormat="1" ht="27" customHeight="1" x14ac:dyDescent="0.25">
      <c r="A6" s="759" t="s">
        <v>205</v>
      </c>
      <c r="B6" s="750" t="s">
        <v>203</v>
      </c>
      <c r="C6" s="751"/>
      <c r="D6" s="758" t="s">
        <v>22</v>
      </c>
      <c r="E6" s="758"/>
      <c r="F6" s="758"/>
      <c r="G6" s="758" t="s">
        <v>20</v>
      </c>
      <c r="H6" s="758"/>
      <c r="I6" s="758"/>
      <c r="J6" s="761" t="s">
        <v>42</v>
      </c>
      <c r="K6" s="762"/>
      <c r="L6" s="763"/>
      <c r="M6" s="761" t="s">
        <v>36</v>
      </c>
      <c r="N6" s="762"/>
      <c r="O6" s="763"/>
      <c r="P6" s="758" t="s">
        <v>43</v>
      </c>
      <c r="Q6" s="758"/>
      <c r="R6" s="758"/>
      <c r="S6" s="757" t="s">
        <v>242</v>
      </c>
      <c r="T6" s="757"/>
      <c r="U6" s="757"/>
      <c r="V6" s="757" t="s">
        <v>247</v>
      </c>
      <c r="W6" s="757"/>
      <c r="X6" s="757"/>
      <c r="Y6" s="756" t="s">
        <v>291</v>
      </c>
      <c r="Z6" s="756"/>
    </row>
    <row r="7" spans="1:26" s="496" customFormat="1" ht="25.5" x14ac:dyDescent="0.25">
      <c r="A7" s="760"/>
      <c r="B7" s="752"/>
      <c r="C7" s="753"/>
      <c r="D7" s="552" t="s">
        <v>11</v>
      </c>
      <c r="E7" s="552" t="s">
        <v>1</v>
      </c>
      <c r="F7" s="552" t="s">
        <v>212</v>
      </c>
      <c r="G7" s="552" t="s">
        <v>11</v>
      </c>
      <c r="H7" s="552" t="s">
        <v>1</v>
      </c>
      <c r="I7" s="552" t="s">
        <v>212</v>
      </c>
      <c r="J7" s="552" t="s">
        <v>11</v>
      </c>
      <c r="K7" s="552" t="s">
        <v>1</v>
      </c>
      <c r="L7" s="552" t="s">
        <v>212</v>
      </c>
      <c r="M7" s="552" t="s">
        <v>11</v>
      </c>
      <c r="N7" s="552" t="s">
        <v>1</v>
      </c>
      <c r="O7" s="552" t="s">
        <v>212</v>
      </c>
      <c r="P7" s="552" t="s">
        <v>11</v>
      </c>
      <c r="Q7" s="552" t="s">
        <v>1</v>
      </c>
      <c r="R7" s="552" t="s">
        <v>212</v>
      </c>
      <c r="S7" s="614" t="s">
        <v>243</v>
      </c>
      <c r="T7" s="614" t="s">
        <v>244</v>
      </c>
      <c r="U7" s="554" t="s">
        <v>245</v>
      </c>
      <c r="V7" s="614" t="s">
        <v>243</v>
      </c>
      <c r="W7" s="614" t="s">
        <v>244</v>
      </c>
      <c r="X7" s="554" t="s">
        <v>245</v>
      </c>
      <c r="Y7" s="607" t="s">
        <v>243</v>
      </c>
      <c r="Z7" s="607" t="s">
        <v>244</v>
      </c>
    </row>
    <row r="8" spans="1:26" s="496" customFormat="1" x14ac:dyDescent="0.25">
      <c r="A8" s="497"/>
      <c r="B8" s="498"/>
      <c r="C8" s="499"/>
      <c r="D8" s="500"/>
      <c r="E8" s="501"/>
      <c r="F8" s="499"/>
      <c r="G8" s="502"/>
      <c r="H8" s="501"/>
      <c r="I8" s="503"/>
      <c r="J8" s="504"/>
      <c r="K8" s="505"/>
      <c r="L8" s="506"/>
      <c r="M8" s="500"/>
      <c r="N8" s="501"/>
      <c r="O8" s="507"/>
      <c r="P8" s="500"/>
      <c r="Q8" s="501"/>
      <c r="R8" s="498"/>
      <c r="S8" s="615"/>
      <c r="T8" s="616"/>
      <c r="U8" s="551"/>
      <c r="V8" s="615"/>
      <c r="W8" s="616"/>
      <c r="X8" s="551"/>
      <c r="Y8" s="536"/>
      <c r="Z8" s="608"/>
    </row>
    <row r="9" spans="1:26" s="492" customFormat="1" x14ac:dyDescent="0.2">
      <c r="A9" s="508" t="s">
        <v>204</v>
      </c>
      <c r="B9" s="509" t="s">
        <v>19</v>
      </c>
      <c r="C9" s="510" t="s">
        <v>248</v>
      </c>
      <c r="D9" s="545">
        <f>'Exh JDT-5 (JDT-RES_RD)'!E13</f>
        <v>0.41964000000000001</v>
      </c>
      <c r="E9" s="546">
        <f>'Exh JDT-5 (JDT-RES_RD)'!H13</f>
        <v>0.45612999999999998</v>
      </c>
      <c r="F9" s="542">
        <f>IFERROR((E9-D9)/D9,"na")</f>
        <v>8.6955485654370335E-2</v>
      </c>
      <c r="G9" s="549">
        <f>'Exh JDT-5 (JDT-RES_RD)'!E12</f>
        <v>11.52</v>
      </c>
      <c r="H9" s="550">
        <f>'Exh JDT-5 (JDT-RES_RD)'!H12</f>
        <v>12.5</v>
      </c>
      <c r="I9" s="542">
        <f>IFERROR((H9-G9)/G9,"na")</f>
        <v>8.5069444444444489E-2</v>
      </c>
      <c r="J9" s="511"/>
      <c r="K9" s="512"/>
      <c r="L9" s="542" t="str">
        <f t="shared" ref="L9:L11" si="0">IFERROR((K9-J9)/J9,"na")</f>
        <v>na</v>
      </c>
      <c r="M9" s="556" t="s">
        <v>211</v>
      </c>
      <c r="N9" s="557" t="s">
        <v>211</v>
      </c>
      <c r="O9" s="558" t="s">
        <v>211</v>
      </c>
      <c r="P9" s="556" t="s">
        <v>211</v>
      </c>
      <c r="Q9" s="557" t="s">
        <v>211</v>
      </c>
      <c r="R9" s="544" t="str">
        <f>IFERROR((Q9-P9)/P9,"na")</f>
        <v>na</v>
      </c>
      <c r="S9" s="617">
        <f>'Exh JDT-5 (JDT-MYRP)'!$H$11</f>
        <v>2.4539999999999999E-2</v>
      </c>
      <c r="T9" s="618">
        <f>'Exh JDT-5 (JDT-MYRP)'!$O$11</f>
        <v>1.4160000000000001E-2</v>
      </c>
      <c r="U9" s="537"/>
      <c r="V9" s="617">
        <f>'Exh JDT-5 (JDT-MYRP)'!$I$11</f>
        <v>2.2419999999999999E-2</v>
      </c>
      <c r="W9" s="618">
        <f>'Exh JDT-5 (JDT-MYRP)'!$P$11</f>
        <v>5.3719999999999997E-2</v>
      </c>
      <c r="X9" s="537"/>
      <c r="Y9" s="604">
        <f>'Exh JDT-5 (JDT-MYRP)'!$J$11</f>
        <v>3.2599999999999999E-3</v>
      </c>
      <c r="Z9" s="609">
        <f>'Exh JDT-5 (JDT-MYRP)'!$Q$11</f>
        <v>3.15E-3</v>
      </c>
    </row>
    <row r="10" spans="1:26" s="492" customFormat="1" x14ac:dyDescent="0.2">
      <c r="A10" s="508" t="s">
        <v>204</v>
      </c>
      <c r="B10" s="509" t="s">
        <v>26</v>
      </c>
      <c r="C10" s="510" t="s">
        <v>248</v>
      </c>
      <c r="D10" s="545">
        <f>'Exh JDT-5 (JDT-RES_RD)'!E21</f>
        <v>0.41964000000000001</v>
      </c>
      <c r="E10" s="546">
        <f>'Exh JDT-5 (JDT-RES_RD)'!H21</f>
        <v>0.45612999999999998</v>
      </c>
      <c r="F10" s="542">
        <f>IFERROR((E10-D10)/D10,"na")</f>
        <v>8.6955485654370335E-2</v>
      </c>
      <c r="G10" s="549">
        <f>'Exh JDT-5 (JDT-RES_RD)'!E20</f>
        <v>11.52</v>
      </c>
      <c r="H10" s="550">
        <f>'Exh JDT-5 (JDT-RES_RD)'!H20</f>
        <v>12.5</v>
      </c>
      <c r="I10" s="542">
        <f>IFERROR((H10-G10)/G10,"na")</f>
        <v>8.5069444444444489E-2</v>
      </c>
      <c r="J10" s="511"/>
      <c r="K10" s="512"/>
      <c r="L10" s="542" t="str">
        <f t="shared" si="0"/>
        <v>na</v>
      </c>
      <c r="M10" s="556" t="s">
        <v>211</v>
      </c>
      <c r="N10" s="557" t="s">
        <v>211</v>
      </c>
      <c r="O10" s="558" t="s">
        <v>211</v>
      </c>
      <c r="P10" s="556" t="s">
        <v>211</v>
      </c>
      <c r="Q10" s="557" t="s">
        <v>211</v>
      </c>
      <c r="R10" s="544" t="str">
        <f>IFERROR((Q10-P10)/P10,"na")</f>
        <v>na</v>
      </c>
      <c r="S10" s="617">
        <f>'Exh JDT-5 (JDT-MYRP)'!$H$11</f>
        <v>2.4539999999999999E-2</v>
      </c>
      <c r="T10" s="618">
        <f>'Exh JDT-5 (JDT-MYRP)'!$O$11</f>
        <v>1.4160000000000001E-2</v>
      </c>
      <c r="U10" s="537"/>
      <c r="V10" s="617">
        <f>'Exh JDT-5 (JDT-MYRP)'!$I$11</f>
        <v>2.2419999999999999E-2</v>
      </c>
      <c r="W10" s="618">
        <f>'Exh JDT-5 (JDT-MYRP)'!$P$11</f>
        <v>5.3719999999999997E-2</v>
      </c>
      <c r="X10" s="537"/>
      <c r="Y10" s="604">
        <f>'Exh JDT-5 (JDT-MYRP)'!$J$11</f>
        <v>3.2599999999999999E-3</v>
      </c>
      <c r="Z10" s="609">
        <f>'Exh JDT-5 (JDT-MYRP)'!$Q$11</f>
        <v>3.15E-3</v>
      </c>
    </row>
    <row r="11" spans="1:26" s="492" customFormat="1" x14ac:dyDescent="0.2">
      <c r="A11" s="508" t="s">
        <v>204</v>
      </c>
      <c r="B11" s="509" t="s">
        <v>28</v>
      </c>
      <c r="C11" s="510" t="s">
        <v>246</v>
      </c>
      <c r="D11" s="556" t="s">
        <v>211</v>
      </c>
      <c r="E11" s="557" t="s">
        <v>211</v>
      </c>
      <c r="F11" s="542" t="str">
        <f>IFERROR((E11-D11)/D11,"na")</f>
        <v>na</v>
      </c>
      <c r="G11" s="549">
        <f>'Exh JDT-5 (JDT-RES_RD)'!E28</f>
        <v>11.24</v>
      </c>
      <c r="H11" s="550">
        <f>'Exh JDT-5 (JDT-RES_RD)'!H28</f>
        <v>12.14</v>
      </c>
      <c r="I11" s="542">
        <f>IFERROR((H11-G11)/G11,"na")</f>
        <v>8.0071174377224233E-2</v>
      </c>
      <c r="J11" s="511"/>
      <c r="K11" s="512"/>
      <c r="L11" s="542" t="str">
        <f t="shared" si="0"/>
        <v>na</v>
      </c>
      <c r="M11" s="556" t="s">
        <v>211</v>
      </c>
      <c r="N11" s="557" t="s">
        <v>211</v>
      </c>
      <c r="O11" s="558" t="s">
        <v>211</v>
      </c>
      <c r="P11" s="556" t="s">
        <v>211</v>
      </c>
      <c r="Q11" s="557" t="s">
        <v>211</v>
      </c>
      <c r="R11" s="544" t="str">
        <f>IFERROR((Q11-P11)/P11,"na")</f>
        <v>na</v>
      </c>
      <c r="S11" s="619">
        <f>ROUND('Exh JDT-5 (JDT-MYRP)'!$H$11*19,2)</f>
        <v>0.47</v>
      </c>
      <c r="T11" s="620">
        <f>ROUND('Exh JDT-5 (JDT-MYRP)'!$O$11*19,2)</f>
        <v>0.27</v>
      </c>
      <c r="U11" s="538"/>
      <c r="V11" s="619">
        <f>ROUND('Exh JDT-5 (JDT-MYRP)'!$I$11*19,2)</f>
        <v>0.43</v>
      </c>
      <c r="W11" s="620">
        <f>ROUND('Exh JDT-5 (JDT-MYRP)'!$P$11*19,2)</f>
        <v>1.02</v>
      </c>
      <c r="X11" s="538"/>
      <c r="Y11" s="605">
        <f>ROUND('Exh JDT-5 (JDT-MYRP)'!$J$11*19,2)</f>
        <v>0.06</v>
      </c>
      <c r="Z11" s="610">
        <f>ROUND('Exh JDT-5 (JDT-MYRP)'!$Q$11*19,2)</f>
        <v>0.06</v>
      </c>
    </row>
    <row r="12" spans="1:26" s="492" customFormat="1" x14ac:dyDescent="0.2">
      <c r="A12" s="508"/>
      <c r="B12" s="509"/>
      <c r="C12" s="510"/>
      <c r="D12" s="545"/>
      <c r="E12" s="546"/>
      <c r="F12" s="542"/>
      <c r="G12" s="549"/>
      <c r="H12" s="550"/>
      <c r="I12" s="542"/>
      <c r="J12" s="511"/>
      <c r="K12" s="512"/>
      <c r="L12" s="542"/>
      <c r="M12" s="513"/>
      <c r="N12" s="514"/>
      <c r="O12" s="506"/>
      <c r="P12" s="545"/>
      <c r="Q12" s="546"/>
      <c r="R12" s="544"/>
      <c r="S12" s="617"/>
      <c r="T12" s="618"/>
      <c r="U12" s="537"/>
      <c r="V12" s="617"/>
      <c r="W12" s="618"/>
      <c r="X12" s="537"/>
      <c r="Y12" s="574"/>
      <c r="Z12" s="537"/>
    </row>
    <row r="13" spans="1:26" s="492" customFormat="1" x14ac:dyDescent="0.2">
      <c r="A13" s="508" t="s">
        <v>206</v>
      </c>
      <c r="B13" s="509" t="s">
        <v>34</v>
      </c>
      <c r="C13" s="515" t="s">
        <v>248</v>
      </c>
      <c r="D13" s="545">
        <f>'Exh JDT-5 (JDT-C&amp;I-RD)'!E13</f>
        <v>0.37956000000000001</v>
      </c>
      <c r="E13" s="546">
        <f>'Exh JDT-5 (JDT-C&amp;I-RD)'!H13</f>
        <v>0.41249000000000002</v>
      </c>
      <c r="F13" s="542">
        <f>IFERROR((E13-D13)/D13,"na")</f>
        <v>8.6758351775740372E-2</v>
      </c>
      <c r="G13" s="549">
        <f>'Exh JDT-5 (JDT-C&amp;I-RD)'!E12</f>
        <v>33.840000000000003</v>
      </c>
      <c r="H13" s="550">
        <f>'Exh JDT-5 (JDT-C&amp;I-RD)'!H12</f>
        <v>38.89</v>
      </c>
      <c r="I13" s="542">
        <f>IFERROR((H13-G13)/G13,"na")</f>
        <v>0.14923167848699753</v>
      </c>
      <c r="J13" s="511"/>
      <c r="K13" s="512"/>
      <c r="L13" s="542" t="str">
        <f t="shared" ref="L13:L14" si="1">IFERROR((K13-J13)/J13,"na")</f>
        <v>na</v>
      </c>
      <c r="M13" s="545">
        <f>'Exh JDT-5 (JDT-C&amp;I-RD)'!E14</f>
        <v>1.371E-2</v>
      </c>
      <c r="N13" s="546">
        <f>'Exh JDT-5 (JDT-C&amp;I-RD)'!H14</f>
        <v>1.4919999999999999E-2</v>
      </c>
      <c r="O13" s="542">
        <f>IFERROR((N13-M13)/M13,"na")</f>
        <v>8.8256746900072888E-2</v>
      </c>
      <c r="P13" s="556" t="s">
        <v>211</v>
      </c>
      <c r="Q13" s="557" t="s">
        <v>211</v>
      </c>
      <c r="R13" s="544" t="str">
        <f>IFERROR((Q13-P13)/P13,"na")</f>
        <v>na</v>
      </c>
      <c r="S13" s="617">
        <f>'Exh JDT-5 (JDT-MYRP)'!$H$40</f>
        <v>2.265E-2</v>
      </c>
      <c r="T13" s="618">
        <f>'Exh JDT-5 (JDT-MYRP)'!$O$40</f>
        <v>1.298E-2</v>
      </c>
      <c r="U13" s="537"/>
      <c r="V13" s="617">
        <f>'Exh JDT-5 (JDT-MYRP)'!$I$40</f>
        <v>2.069E-2</v>
      </c>
      <c r="W13" s="618">
        <f>'Exh JDT-5 (JDT-MYRP)'!$P$40</f>
        <v>4.9270000000000001E-2</v>
      </c>
      <c r="X13" s="537"/>
      <c r="Y13" s="604">
        <f>'Exh JDT-5 (JDT-MYRP)'!$J$40</f>
        <v>3.0100000000000001E-3</v>
      </c>
      <c r="Z13" s="609">
        <f>'Exh JDT-5 (JDT-MYRP)'!$Q$40</f>
        <v>2.8900000000000002E-3</v>
      </c>
    </row>
    <row r="14" spans="1:26" s="492" customFormat="1" x14ac:dyDescent="0.2">
      <c r="A14" s="508" t="s">
        <v>206</v>
      </c>
      <c r="B14" s="509" t="s">
        <v>37</v>
      </c>
      <c r="C14" s="515" t="s">
        <v>248</v>
      </c>
      <c r="D14" s="545">
        <f>'Exh JDT-5 (JDT-C&amp;I-RD)'!E23</f>
        <v>0.37956000000000001</v>
      </c>
      <c r="E14" s="546">
        <f>'Exh JDT-5 (JDT-C&amp;I-RD)'!H23</f>
        <v>0.41249000000000002</v>
      </c>
      <c r="F14" s="542">
        <f>IFERROR((E14-D14)/D14,"na")</f>
        <v>8.6758351775740372E-2</v>
      </c>
      <c r="G14" s="549">
        <f>'Exh JDT-5 (JDT-C&amp;I-RD)'!E22</f>
        <v>364.04</v>
      </c>
      <c r="H14" s="550">
        <f>'Exh JDT-5 (JDT-C&amp;I-RD)'!H22</f>
        <v>364.04</v>
      </c>
      <c r="I14" s="542">
        <f>IFERROR((H14-G14)/G14,"na")</f>
        <v>0</v>
      </c>
      <c r="J14" s="511"/>
      <c r="K14" s="512"/>
      <c r="L14" s="542" t="str">
        <f t="shared" si="1"/>
        <v>na</v>
      </c>
      <c r="M14" s="556" t="s">
        <v>211</v>
      </c>
      <c r="N14" s="557" t="s">
        <v>211</v>
      </c>
      <c r="O14" s="558" t="s">
        <v>211</v>
      </c>
      <c r="P14" s="556" t="s">
        <v>211</v>
      </c>
      <c r="Q14" s="557" t="s">
        <v>211</v>
      </c>
      <c r="R14" s="544" t="str">
        <f>IFERROR((Q14-P14)/P14,"na")</f>
        <v>na</v>
      </c>
      <c r="S14" s="617">
        <f>'Exh JDT-5 (JDT-MYRP)'!$H$40</f>
        <v>2.265E-2</v>
      </c>
      <c r="T14" s="618">
        <f>'Exh JDT-5 (JDT-MYRP)'!$O$40</f>
        <v>1.298E-2</v>
      </c>
      <c r="U14" s="537"/>
      <c r="V14" s="617">
        <f>'Exh JDT-5 (JDT-MYRP)'!$I$40</f>
        <v>2.069E-2</v>
      </c>
      <c r="W14" s="618">
        <f>'Exh JDT-5 (JDT-MYRP)'!$P$40</f>
        <v>4.9270000000000001E-2</v>
      </c>
      <c r="X14" s="537"/>
      <c r="Y14" s="574"/>
      <c r="Z14" s="537"/>
    </row>
    <row r="15" spans="1:26" s="492" customFormat="1" x14ac:dyDescent="0.2">
      <c r="A15" s="508"/>
      <c r="B15" s="509"/>
      <c r="C15" s="515"/>
      <c r="D15" s="545"/>
      <c r="E15" s="546"/>
      <c r="F15" s="542"/>
      <c r="G15" s="549"/>
      <c r="H15" s="550"/>
      <c r="I15" s="542"/>
      <c r="J15" s="511"/>
      <c r="K15" s="512"/>
      <c r="L15" s="506"/>
      <c r="M15" s="513"/>
      <c r="N15" s="514"/>
      <c r="O15" s="506"/>
      <c r="P15" s="545"/>
      <c r="Q15" s="546"/>
      <c r="R15" s="544"/>
      <c r="S15" s="617"/>
      <c r="T15" s="618"/>
      <c r="U15" s="537"/>
      <c r="V15" s="617"/>
      <c r="W15" s="618"/>
      <c r="X15" s="537"/>
      <c r="Y15" s="574"/>
      <c r="Z15" s="537"/>
    </row>
    <row r="16" spans="1:26" s="492" customFormat="1" x14ac:dyDescent="0.2">
      <c r="A16" s="508" t="s">
        <v>210</v>
      </c>
      <c r="B16" s="509" t="s">
        <v>40</v>
      </c>
      <c r="C16" s="515" t="s">
        <v>46</v>
      </c>
      <c r="D16" s="545">
        <f>'Exh JDT-5 (JDT-C&amp;I-RD)'!E46</f>
        <v>0.13758000000000001</v>
      </c>
      <c r="E16" s="546">
        <f>'Exh JDT-5 (JDT-C&amp;I-RD)'!H46</f>
        <v>0.14030999999999999</v>
      </c>
      <c r="F16" s="542">
        <f>IFERROR((E16-D16)/D16,"na")</f>
        <v>1.9843000436109769E-2</v>
      </c>
      <c r="G16" s="748">
        <f>'Exh JDT-5 (JDT-C&amp;I-RD)'!E41</f>
        <v>113.4</v>
      </c>
      <c r="H16" s="749">
        <f>'Exh JDT-5 (JDT-C&amp;I-RD)'!H41</f>
        <v>130.33000000000001</v>
      </c>
      <c r="I16" s="724">
        <f>IFERROR((H16-G16)/G16,"na")</f>
        <v>0.14929453262786602</v>
      </c>
      <c r="J16" s="745">
        <f>'Exh JDT-5 (JDT-C&amp;I-RD)'!E42</f>
        <v>123.82</v>
      </c>
      <c r="K16" s="746">
        <f>'Exh JDT-5 (JDT-C&amp;I-RD)'!H42</f>
        <v>126.28</v>
      </c>
      <c r="L16" s="724">
        <f>IFERROR((K16-J16)/J16,"na")</f>
        <v>1.9867549668874239E-2</v>
      </c>
      <c r="M16" s="754">
        <f>'Exh JDT-5 (JDT-C&amp;I-RD)'!E50</f>
        <v>1.005E-2</v>
      </c>
      <c r="N16" s="755">
        <f>'Exh JDT-5 (JDT-C&amp;I-RD)'!H50</f>
        <v>1.119E-2</v>
      </c>
      <c r="O16" s="724">
        <f>IFERROR((N16-M16)/M16,"na")</f>
        <v>0.11343283582089556</v>
      </c>
      <c r="P16" s="745">
        <f>'Exh JDT-5 (JDT-C&amp;I-RD)'!E43</f>
        <v>1.25</v>
      </c>
      <c r="Q16" s="746">
        <f>'Exh JDT-5 (JDT-C&amp;I-RD)'!H43</f>
        <v>1.37</v>
      </c>
      <c r="R16" s="730">
        <f>IFERROR((Q16-P16)/P16,"na")</f>
        <v>9.6000000000000085E-2</v>
      </c>
      <c r="S16" s="621">
        <f>'Exh JDT-5 (JDT-MYRP)'!$H$64</f>
        <v>1.0829999999999999E-2</v>
      </c>
      <c r="T16" s="622">
        <f>'Exh JDT-5 (JDT-MYRP)'!$O$64</f>
        <v>6.2100000000000002E-3</v>
      </c>
      <c r="U16" s="539"/>
      <c r="V16" s="621">
        <f>'Exh JDT-5 (JDT-MYRP)'!$I$64</f>
        <v>9.8899999999999995E-3</v>
      </c>
      <c r="W16" s="622">
        <f>'Exh JDT-5 (JDT-MYRP)'!$P$64</f>
        <v>2.3560000000000001E-2</v>
      </c>
      <c r="X16" s="539"/>
      <c r="Y16" s="606">
        <f>'Exh JDT-5 (JDT-MYRP)'!$J$64</f>
        <v>2.2699999999999999E-3</v>
      </c>
      <c r="Z16" s="611">
        <f>'Exh JDT-5 (JDT-MYRP)'!$Q$64</f>
        <v>2.2000000000000001E-3</v>
      </c>
    </row>
    <row r="17" spans="1:26" s="492" customFormat="1" x14ac:dyDescent="0.2">
      <c r="A17" s="508" t="s">
        <v>210</v>
      </c>
      <c r="B17" s="509" t="s">
        <v>40</v>
      </c>
      <c r="C17" s="515" t="s">
        <v>48</v>
      </c>
      <c r="D17" s="545">
        <f>'Exh JDT-5 (JDT-C&amp;I-RD)'!E47</f>
        <v>0.13758000000000001</v>
      </c>
      <c r="E17" s="546">
        <f>'Exh JDT-5 (JDT-C&amp;I-RD)'!H47</f>
        <v>0.14030999999999999</v>
      </c>
      <c r="F17" s="542">
        <f>IFERROR((E17-D17)/D17,"na")</f>
        <v>1.9843000436109769E-2</v>
      </c>
      <c r="G17" s="748"/>
      <c r="H17" s="749"/>
      <c r="I17" s="724"/>
      <c r="J17" s="745"/>
      <c r="K17" s="746"/>
      <c r="L17" s="724"/>
      <c r="M17" s="754"/>
      <c r="N17" s="755"/>
      <c r="O17" s="724"/>
      <c r="P17" s="745"/>
      <c r="Q17" s="746"/>
      <c r="R17" s="730"/>
      <c r="S17" s="621">
        <f>'Exh JDT-5 (JDT-MYRP)'!$H$64</f>
        <v>1.0829999999999999E-2</v>
      </c>
      <c r="T17" s="622">
        <f>'Exh JDT-5 (JDT-MYRP)'!$O$64</f>
        <v>6.2100000000000002E-3</v>
      </c>
      <c r="U17" s="539"/>
      <c r="V17" s="621">
        <f>'Exh JDT-5 (JDT-MYRP)'!$I$64</f>
        <v>9.8899999999999995E-3</v>
      </c>
      <c r="W17" s="622">
        <f>'Exh JDT-5 (JDT-MYRP)'!$P$64</f>
        <v>2.3560000000000001E-2</v>
      </c>
      <c r="X17" s="539"/>
      <c r="Y17" s="606">
        <f>'Exh JDT-5 (JDT-MYRP)'!$J$64</f>
        <v>2.2699999999999999E-3</v>
      </c>
      <c r="Z17" s="611">
        <f>'Exh JDT-5 (JDT-MYRP)'!$Q$64</f>
        <v>2.2000000000000001E-3</v>
      </c>
    </row>
    <row r="18" spans="1:26" s="492" customFormat="1" x14ac:dyDescent="0.2">
      <c r="A18" s="508" t="s">
        <v>210</v>
      </c>
      <c r="B18" s="509" t="s">
        <v>40</v>
      </c>
      <c r="C18" s="515" t="s">
        <v>49</v>
      </c>
      <c r="D18" s="545">
        <f>'Exh JDT-5 (JDT-C&amp;I-RD)'!E48</f>
        <v>0.11074000000000001</v>
      </c>
      <c r="E18" s="546">
        <f>'Exh JDT-5 (JDT-C&amp;I-RD)'!H48</f>
        <v>0.12131</v>
      </c>
      <c r="F18" s="542">
        <f>IFERROR((E18-D18)/D18,"na")</f>
        <v>9.5448798988621963E-2</v>
      </c>
      <c r="G18" s="748"/>
      <c r="H18" s="749"/>
      <c r="I18" s="724"/>
      <c r="J18" s="745"/>
      <c r="K18" s="746"/>
      <c r="L18" s="724"/>
      <c r="M18" s="754"/>
      <c r="N18" s="755"/>
      <c r="O18" s="724"/>
      <c r="P18" s="745"/>
      <c r="Q18" s="746"/>
      <c r="R18" s="730"/>
      <c r="S18" s="621">
        <f>'Exh JDT-5 (JDT-MYRP)'!$H$64</f>
        <v>1.0829999999999999E-2</v>
      </c>
      <c r="T18" s="622">
        <f>'Exh JDT-5 (JDT-MYRP)'!$O$64</f>
        <v>6.2100000000000002E-3</v>
      </c>
      <c r="U18" s="539"/>
      <c r="V18" s="621">
        <f>'Exh JDT-5 (JDT-MYRP)'!$I$64</f>
        <v>9.8899999999999995E-3</v>
      </c>
      <c r="W18" s="622">
        <f>'Exh JDT-5 (JDT-MYRP)'!$P$64</f>
        <v>2.3560000000000001E-2</v>
      </c>
      <c r="X18" s="539"/>
      <c r="Y18" s="606">
        <f>'Exh JDT-5 (JDT-MYRP)'!$J$64</f>
        <v>2.2699999999999999E-3</v>
      </c>
      <c r="Z18" s="611">
        <f>'Exh JDT-5 (JDT-MYRP)'!$Q$64</f>
        <v>2.2000000000000001E-3</v>
      </c>
    </row>
    <row r="19" spans="1:26" s="492" customFormat="1" x14ac:dyDescent="0.2">
      <c r="A19" s="508"/>
      <c r="B19" s="509"/>
      <c r="C19" s="515"/>
      <c r="D19" s="545"/>
      <c r="E19" s="546"/>
      <c r="F19" s="542"/>
      <c r="G19" s="549"/>
      <c r="H19" s="550"/>
      <c r="I19" s="542"/>
      <c r="J19" s="547"/>
      <c r="K19" s="548"/>
      <c r="L19" s="542"/>
      <c r="M19" s="545"/>
      <c r="N19" s="546"/>
      <c r="O19" s="542"/>
      <c r="P19" s="547"/>
      <c r="Q19" s="548"/>
      <c r="R19" s="544"/>
      <c r="S19" s="623"/>
      <c r="T19" s="624"/>
      <c r="U19" s="540"/>
      <c r="V19" s="623"/>
      <c r="W19" s="624"/>
      <c r="X19" s="540"/>
      <c r="Y19" s="573"/>
      <c r="Z19" s="540"/>
    </row>
    <row r="20" spans="1:26" s="492" customFormat="1" x14ac:dyDescent="0.2">
      <c r="A20" s="508" t="s">
        <v>210</v>
      </c>
      <c r="B20" s="509" t="s">
        <v>51</v>
      </c>
      <c r="C20" s="515" t="s">
        <v>46</v>
      </c>
      <c r="D20" s="545">
        <f>'Exh JDT-5 (JDT-C&amp;I-RD)'!E63</f>
        <v>0.13758000000000001</v>
      </c>
      <c r="E20" s="546">
        <f>'Exh JDT-5 (JDT-C&amp;I-RD)'!H63</f>
        <v>0.14030999999999999</v>
      </c>
      <c r="F20" s="542">
        <f>IFERROR((E20-D20)/D20,"na")</f>
        <v>1.9843000436109769E-2</v>
      </c>
      <c r="G20" s="748">
        <f>'Exh JDT-5 (JDT-C&amp;I-RD)'!E58</f>
        <v>422.79</v>
      </c>
      <c r="H20" s="749">
        <f>'Exh JDT-5 (JDT-C&amp;I-RD)'!H58</f>
        <v>422.79</v>
      </c>
      <c r="I20" s="724">
        <f>IFERROR((H20-G20)/G20,"na")</f>
        <v>0</v>
      </c>
      <c r="J20" s="745">
        <f>'Exh JDT-5 (JDT-C&amp;I-RD)'!E59</f>
        <v>123.82</v>
      </c>
      <c r="K20" s="746">
        <f>'Exh JDT-5 (JDT-C&amp;I-RD)'!H59</f>
        <v>126.28</v>
      </c>
      <c r="L20" s="724">
        <f>IFERROR((K20-J20)/J20,"na")</f>
        <v>1.9867549668874239E-2</v>
      </c>
      <c r="M20" s="742" t="s">
        <v>211</v>
      </c>
      <c r="N20" s="743" t="s">
        <v>211</v>
      </c>
      <c r="O20" s="724" t="str">
        <f>IFERROR((N20-M20)/M20,"na")</f>
        <v>na</v>
      </c>
      <c r="P20" s="745">
        <f>'Exh JDT-5 (JDT-C&amp;I-RD)'!E60</f>
        <v>1.25</v>
      </c>
      <c r="Q20" s="746">
        <f>'Exh JDT-5 (JDT-C&amp;I-RD)'!H60</f>
        <v>1.37</v>
      </c>
      <c r="R20" s="730">
        <f>IFERROR((Q20-P20)/P20,"na")</f>
        <v>9.6000000000000085E-2</v>
      </c>
      <c r="S20" s="621">
        <f>'Exh JDT-5 (JDT-MYRP)'!$H$64</f>
        <v>1.0829999999999999E-2</v>
      </c>
      <c r="T20" s="622">
        <f>'Exh JDT-5 (JDT-MYRP)'!$O$64</f>
        <v>6.2100000000000002E-3</v>
      </c>
      <c r="U20" s="539"/>
      <c r="V20" s="621">
        <f>'Exh JDT-5 (JDT-MYRP)'!$I$64</f>
        <v>9.8899999999999995E-3</v>
      </c>
      <c r="W20" s="622">
        <f>'Exh JDT-5 (JDT-MYRP)'!$P$64</f>
        <v>2.3560000000000001E-2</v>
      </c>
      <c r="X20" s="539"/>
      <c r="Y20" s="535"/>
      <c r="Z20" s="539"/>
    </row>
    <row r="21" spans="1:26" s="492" customFormat="1" x14ac:dyDescent="0.2">
      <c r="A21" s="508" t="s">
        <v>210</v>
      </c>
      <c r="B21" s="509" t="s">
        <v>51</v>
      </c>
      <c r="C21" s="515" t="s">
        <v>48</v>
      </c>
      <c r="D21" s="545">
        <f>'Exh JDT-5 (JDT-C&amp;I-RD)'!E64</f>
        <v>0.13758000000000001</v>
      </c>
      <c r="E21" s="546">
        <f>'Exh JDT-5 (JDT-C&amp;I-RD)'!H64</f>
        <v>0.14030999999999999</v>
      </c>
      <c r="F21" s="542">
        <f>IFERROR((E21-D21)/D21,"na")</f>
        <v>1.9843000436109769E-2</v>
      </c>
      <c r="G21" s="748"/>
      <c r="H21" s="749"/>
      <c r="I21" s="724"/>
      <c r="J21" s="745"/>
      <c r="K21" s="746"/>
      <c r="L21" s="724"/>
      <c r="M21" s="742"/>
      <c r="N21" s="743"/>
      <c r="O21" s="724"/>
      <c r="P21" s="745"/>
      <c r="Q21" s="746"/>
      <c r="R21" s="730"/>
      <c r="S21" s="621">
        <f>'Exh JDT-5 (JDT-MYRP)'!$H$64</f>
        <v>1.0829999999999999E-2</v>
      </c>
      <c r="T21" s="622">
        <f>'Exh JDT-5 (JDT-MYRP)'!$O$64</f>
        <v>6.2100000000000002E-3</v>
      </c>
      <c r="U21" s="539"/>
      <c r="V21" s="621">
        <f>'Exh JDT-5 (JDT-MYRP)'!$I$64</f>
        <v>9.8899999999999995E-3</v>
      </c>
      <c r="W21" s="622">
        <f>'Exh JDT-5 (JDT-MYRP)'!$P$64</f>
        <v>2.3560000000000001E-2</v>
      </c>
      <c r="X21" s="539"/>
      <c r="Y21" s="535"/>
      <c r="Z21" s="539"/>
    </row>
    <row r="22" spans="1:26" s="492" customFormat="1" x14ac:dyDescent="0.2">
      <c r="A22" s="508" t="s">
        <v>210</v>
      </c>
      <c r="B22" s="509" t="s">
        <v>51</v>
      </c>
      <c r="C22" s="515" t="s">
        <v>49</v>
      </c>
      <c r="D22" s="545">
        <f>'Exh JDT-5 (JDT-C&amp;I-RD)'!E65</f>
        <v>0.11074000000000001</v>
      </c>
      <c r="E22" s="546">
        <f>'Exh JDT-5 (JDT-C&amp;I-RD)'!H65</f>
        <v>0.12131</v>
      </c>
      <c r="F22" s="542">
        <f>IFERROR((E22-D22)/D22,"na")</f>
        <v>9.5448798988621963E-2</v>
      </c>
      <c r="G22" s="748"/>
      <c r="H22" s="749"/>
      <c r="I22" s="724"/>
      <c r="J22" s="745"/>
      <c r="K22" s="746"/>
      <c r="L22" s="724"/>
      <c r="M22" s="742"/>
      <c r="N22" s="743"/>
      <c r="O22" s="724"/>
      <c r="P22" s="745"/>
      <c r="Q22" s="746"/>
      <c r="R22" s="730"/>
      <c r="S22" s="621">
        <f>'Exh JDT-5 (JDT-MYRP)'!$H$64</f>
        <v>1.0829999999999999E-2</v>
      </c>
      <c r="T22" s="622">
        <f>'Exh JDT-5 (JDT-MYRP)'!$O$64</f>
        <v>6.2100000000000002E-3</v>
      </c>
      <c r="U22" s="539"/>
      <c r="V22" s="621">
        <f>'Exh JDT-5 (JDT-MYRP)'!$I$64</f>
        <v>9.8899999999999995E-3</v>
      </c>
      <c r="W22" s="622">
        <f>'Exh JDT-5 (JDT-MYRP)'!$P$64</f>
        <v>2.3560000000000001E-2</v>
      </c>
      <c r="X22" s="539"/>
      <c r="Y22" s="535"/>
      <c r="Z22" s="539"/>
    </row>
    <row r="23" spans="1:26" s="492" customFormat="1" x14ac:dyDescent="0.2">
      <c r="A23" s="508"/>
      <c r="B23" s="509"/>
      <c r="C23" s="515"/>
      <c r="D23" s="545"/>
      <c r="E23" s="546"/>
      <c r="F23" s="542"/>
      <c r="G23" s="549"/>
      <c r="H23" s="550"/>
      <c r="I23" s="542"/>
      <c r="J23" s="504"/>
      <c r="K23" s="505"/>
      <c r="L23" s="506"/>
      <c r="M23" s="513"/>
      <c r="N23" s="514"/>
      <c r="O23" s="506"/>
      <c r="P23" s="511"/>
      <c r="Q23" s="512"/>
      <c r="R23" s="544"/>
      <c r="S23" s="619"/>
      <c r="T23" s="620"/>
      <c r="U23" s="538"/>
      <c r="V23" s="619"/>
      <c r="W23" s="620"/>
      <c r="X23" s="538"/>
      <c r="Y23" s="511"/>
      <c r="Z23" s="538"/>
    </row>
    <row r="24" spans="1:26" s="492" customFormat="1" x14ac:dyDescent="0.2">
      <c r="A24" s="508" t="s">
        <v>207</v>
      </c>
      <c r="B24" s="509" t="s">
        <v>57</v>
      </c>
      <c r="C24" s="515" t="s">
        <v>60</v>
      </c>
      <c r="D24" s="545">
        <f>'Exh JDT-5 (JDT-INTRPL-RD)'!E18</f>
        <v>0.1084</v>
      </c>
      <c r="E24" s="546">
        <f>'Exh JDT-5 (JDT-INTRPL-RD)'!H18</f>
        <v>0.12488</v>
      </c>
      <c r="F24" s="542">
        <f>IFERROR((E24-D24)/D24,"na")</f>
        <v>0.15202952029520303</v>
      </c>
      <c r="G24" s="748">
        <f>'Exh JDT-5 (JDT-INTRPL-RD)'!E12</f>
        <v>595.08000000000004</v>
      </c>
      <c r="H24" s="749">
        <f>'Exh JDT-5 (JDT-INTRPL-RD)'!H12</f>
        <v>701.68</v>
      </c>
      <c r="I24" s="724">
        <f>IFERROR((H24-G24)/G24,"na")</f>
        <v>0.17913557840962543</v>
      </c>
      <c r="J24" s="736"/>
      <c r="K24" s="738"/>
      <c r="L24" s="724" t="str">
        <f>IFERROR((K24-J24)/J24,"na")</f>
        <v>na</v>
      </c>
      <c r="M24" s="754">
        <f>'Exh JDT-5 (JDT-INTRPL-RD)'!E14</f>
        <v>7.0499999999999998E-3</v>
      </c>
      <c r="N24" s="755">
        <f>'Exh JDT-5 (JDT-INTRPL-RD)'!H14</f>
        <v>7.7999999999999996E-3</v>
      </c>
      <c r="O24" s="724">
        <f>IFERROR((N24-M24)/M24,"na")</f>
        <v>0.10638297872340423</v>
      </c>
      <c r="P24" s="745">
        <f>'Exh JDT-5 (JDT-INTRPL-RD)'!E13</f>
        <v>1.3</v>
      </c>
      <c r="Q24" s="746">
        <f>'Exh JDT-5 (JDT-INTRPL-RD)'!H13</f>
        <v>1.44</v>
      </c>
      <c r="R24" s="730">
        <f>IFERROR((Q24-P24)/P24,"na")</f>
        <v>0.10769230769230762</v>
      </c>
      <c r="S24" s="621">
        <f>'Exh JDT-5 (JDT-MYRP)'!$H$102</f>
        <v>6.4400000000000004E-3</v>
      </c>
      <c r="T24" s="622">
        <f>'Exh JDT-5 (JDT-MYRP)'!$O$102</f>
        <v>3.7799999999999999E-3</v>
      </c>
      <c r="U24" s="539"/>
      <c r="V24" s="621">
        <f>'Exh JDT-5 (JDT-MYRP)'!$I$102</f>
        <v>5.8799999999999998E-3</v>
      </c>
      <c r="W24" s="622">
        <f>'Exh JDT-5 (JDT-MYRP)'!$P$102</f>
        <v>1.434E-2</v>
      </c>
      <c r="X24" s="539"/>
      <c r="Y24" s="606">
        <f>'Exh JDT-5 (JDT-MYRP)'!$J$102</f>
        <v>1.8400000000000001E-3</v>
      </c>
      <c r="Z24" s="611">
        <f>'Exh JDT-5 (JDT-MYRP)'!$Q$102</f>
        <v>1.8500000000000001E-3</v>
      </c>
    </row>
    <row r="25" spans="1:26" s="492" customFormat="1" x14ac:dyDescent="0.2">
      <c r="A25" s="508" t="s">
        <v>207</v>
      </c>
      <c r="B25" s="509" t="s">
        <v>57</v>
      </c>
      <c r="C25" s="515" t="s">
        <v>61</v>
      </c>
      <c r="D25" s="545">
        <f>'Exh JDT-5 (JDT-INTRPL-RD)'!E19</f>
        <v>5.3650000000000003E-2</v>
      </c>
      <c r="E25" s="546">
        <f>'Exh JDT-5 (JDT-INTRPL-RD)'!H19</f>
        <v>5.9339999999999997E-2</v>
      </c>
      <c r="F25" s="542">
        <f>IFERROR((E25-D25)/D25,"na")</f>
        <v>0.10605778191985075</v>
      </c>
      <c r="G25" s="748"/>
      <c r="H25" s="749"/>
      <c r="I25" s="724"/>
      <c r="J25" s="736"/>
      <c r="K25" s="738"/>
      <c r="L25" s="724"/>
      <c r="M25" s="754"/>
      <c r="N25" s="755"/>
      <c r="O25" s="724"/>
      <c r="P25" s="745"/>
      <c r="Q25" s="746"/>
      <c r="R25" s="730"/>
      <c r="S25" s="621">
        <f>'Exh JDT-5 (JDT-MYRP)'!$H$102</f>
        <v>6.4400000000000004E-3</v>
      </c>
      <c r="T25" s="622">
        <f>'Exh JDT-5 (JDT-MYRP)'!$O$102</f>
        <v>3.7799999999999999E-3</v>
      </c>
      <c r="U25" s="539"/>
      <c r="V25" s="621">
        <f>'Exh JDT-5 (JDT-MYRP)'!$I$102</f>
        <v>5.8799999999999998E-3</v>
      </c>
      <c r="W25" s="622">
        <f>'Exh JDT-5 (JDT-MYRP)'!$P$102</f>
        <v>1.434E-2</v>
      </c>
      <c r="X25" s="539"/>
      <c r="Y25" s="606">
        <f>'Exh JDT-5 (JDT-MYRP)'!$J$102</f>
        <v>1.8400000000000001E-3</v>
      </c>
      <c r="Z25" s="611">
        <f>'Exh JDT-5 (JDT-MYRP)'!$Q$102</f>
        <v>1.8500000000000001E-3</v>
      </c>
    </row>
    <row r="26" spans="1:26" s="492" customFormat="1" x14ac:dyDescent="0.2">
      <c r="A26" s="508" t="s">
        <v>207</v>
      </c>
      <c r="B26" s="509" t="s">
        <v>57</v>
      </c>
      <c r="C26" s="515" t="s">
        <v>62</v>
      </c>
      <c r="D26" s="545">
        <f>'Exh JDT-5 (JDT-INTRPL-RD)'!E20</f>
        <v>5.1319999999999998E-2</v>
      </c>
      <c r="E26" s="546">
        <f>'Exh JDT-5 (JDT-INTRPL-RD)'!H20</f>
        <v>5.6770000000000001E-2</v>
      </c>
      <c r="F26" s="542">
        <f>IFERROR((E26-D26)/D26,"na")</f>
        <v>0.10619641465315674</v>
      </c>
      <c r="G26" s="748"/>
      <c r="H26" s="749"/>
      <c r="I26" s="724"/>
      <c r="J26" s="736"/>
      <c r="K26" s="738"/>
      <c r="L26" s="724"/>
      <c r="M26" s="754"/>
      <c r="N26" s="755"/>
      <c r="O26" s="724"/>
      <c r="P26" s="745"/>
      <c r="Q26" s="746"/>
      <c r="R26" s="730"/>
      <c r="S26" s="621">
        <f>'Exh JDT-5 (JDT-MYRP)'!$H$102</f>
        <v>6.4400000000000004E-3</v>
      </c>
      <c r="T26" s="622">
        <f>'Exh JDT-5 (JDT-MYRP)'!$O$102</f>
        <v>3.7799999999999999E-3</v>
      </c>
      <c r="U26" s="539"/>
      <c r="V26" s="621">
        <f>'Exh JDT-5 (JDT-MYRP)'!$I$102</f>
        <v>5.8799999999999998E-3</v>
      </c>
      <c r="W26" s="622">
        <f>'Exh JDT-5 (JDT-MYRP)'!$P$102</f>
        <v>1.434E-2</v>
      </c>
      <c r="X26" s="539"/>
      <c r="Y26" s="606">
        <f>'Exh JDT-5 (JDT-MYRP)'!$J$102</f>
        <v>1.8400000000000001E-3</v>
      </c>
      <c r="Z26" s="611">
        <f>'Exh JDT-5 (JDT-MYRP)'!$Q$102</f>
        <v>1.8500000000000001E-3</v>
      </c>
    </row>
    <row r="27" spans="1:26" s="492" customFormat="1" x14ac:dyDescent="0.2">
      <c r="A27" s="508"/>
      <c r="B27" s="509"/>
      <c r="C27" s="515"/>
      <c r="D27" s="545"/>
      <c r="E27" s="546"/>
      <c r="F27" s="542"/>
      <c r="G27" s="549"/>
      <c r="H27" s="550"/>
      <c r="I27" s="542"/>
      <c r="J27" s="516"/>
      <c r="K27" s="517"/>
      <c r="L27" s="506"/>
      <c r="M27" s="513"/>
      <c r="N27" s="514"/>
      <c r="O27" s="506"/>
      <c r="P27" s="511"/>
      <c r="Q27" s="512"/>
      <c r="R27" s="544"/>
      <c r="S27" s="619"/>
      <c r="T27" s="620"/>
      <c r="U27" s="538"/>
      <c r="V27" s="619"/>
      <c r="W27" s="620"/>
      <c r="X27" s="538"/>
      <c r="Y27" s="511"/>
      <c r="Z27" s="538"/>
    </row>
    <row r="28" spans="1:26" s="492" customFormat="1" x14ac:dyDescent="0.2">
      <c r="A28" s="508" t="s">
        <v>207</v>
      </c>
      <c r="B28" s="509" t="s">
        <v>63</v>
      </c>
      <c r="C28" s="515" t="s">
        <v>60</v>
      </c>
      <c r="D28" s="545">
        <f>'Exh JDT-5 (JDT-INTRPL-RD)'!E33</f>
        <v>0.1084</v>
      </c>
      <c r="E28" s="546">
        <f>'Exh JDT-5 (JDT-INTRPL-RD)'!H33</f>
        <v>0.12488</v>
      </c>
      <c r="F28" s="542">
        <f>IFERROR((E28-D28)/D28,"na")</f>
        <v>0.15202952029520303</v>
      </c>
      <c r="G28" s="748">
        <f>'Exh JDT-5 (JDT-INTRPL-RD)'!E28</f>
        <v>903.09</v>
      </c>
      <c r="H28" s="749">
        <f>'Exh JDT-5 (JDT-INTRPL-RD)'!H28</f>
        <v>903.09</v>
      </c>
      <c r="I28" s="724">
        <f>IFERROR((H28-G28)/G28,"na")</f>
        <v>0</v>
      </c>
      <c r="J28" s="736"/>
      <c r="K28" s="738"/>
      <c r="L28" s="724" t="str">
        <f>IFERROR((K28-J28)/J28,"na")</f>
        <v>na</v>
      </c>
      <c r="M28" s="742" t="s">
        <v>211</v>
      </c>
      <c r="N28" s="743" t="s">
        <v>211</v>
      </c>
      <c r="O28" s="724" t="str">
        <f>IFERROR((N28-M28)/M28,"na")</f>
        <v>na</v>
      </c>
      <c r="P28" s="745">
        <f>'Exh JDT-5 (JDT-INTRPL-RD)'!E29</f>
        <v>1.3</v>
      </c>
      <c r="Q28" s="746">
        <f>'Exh JDT-5 (JDT-INTRPL-RD)'!H29</f>
        <v>1.44</v>
      </c>
      <c r="R28" s="730">
        <f>IFERROR((Q28-P28)/P28,"na")</f>
        <v>0.10769230769230762</v>
      </c>
      <c r="S28" s="621">
        <f>'Exh JDT-5 (JDT-MYRP)'!$H$102</f>
        <v>6.4400000000000004E-3</v>
      </c>
      <c r="T28" s="622">
        <f>'Exh JDT-5 (JDT-MYRP)'!$O$102</f>
        <v>3.7799999999999999E-3</v>
      </c>
      <c r="U28" s="539"/>
      <c r="V28" s="621">
        <f>'Exh JDT-5 (JDT-MYRP)'!$I$102</f>
        <v>5.8799999999999998E-3</v>
      </c>
      <c r="W28" s="622">
        <f>'Exh JDT-5 (JDT-MYRP)'!$P$102</f>
        <v>1.434E-2</v>
      </c>
      <c r="X28" s="539"/>
      <c r="Y28" s="535"/>
      <c r="Z28" s="539"/>
    </row>
    <row r="29" spans="1:26" s="492" customFormat="1" x14ac:dyDescent="0.2">
      <c r="A29" s="508" t="s">
        <v>207</v>
      </c>
      <c r="B29" s="509" t="s">
        <v>63</v>
      </c>
      <c r="C29" s="515" t="s">
        <v>61</v>
      </c>
      <c r="D29" s="545">
        <f>'Exh JDT-5 (JDT-INTRPL-RD)'!E34</f>
        <v>5.3650000000000003E-2</v>
      </c>
      <c r="E29" s="546">
        <f>'Exh JDT-5 (JDT-INTRPL-RD)'!H34</f>
        <v>5.9339999999999997E-2</v>
      </c>
      <c r="F29" s="542">
        <f>IFERROR((E29-D29)/D29,"na")</f>
        <v>0.10605778191985075</v>
      </c>
      <c r="G29" s="748"/>
      <c r="H29" s="749"/>
      <c r="I29" s="724"/>
      <c r="J29" s="736"/>
      <c r="K29" s="738"/>
      <c r="L29" s="724"/>
      <c r="M29" s="742"/>
      <c r="N29" s="743"/>
      <c r="O29" s="724"/>
      <c r="P29" s="745"/>
      <c r="Q29" s="746"/>
      <c r="R29" s="730"/>
      <c r="S29" s="621">
        <f>'Exh JDT-5 (JDT-MYRP)'!$H$102</f>
        <v>6.4400000000000004E-3</v>
      </c>
      <c r="T29" s="622">
        <f>'Exh JDT-5 (JDT-MYRP)'!$O$102</f>
        <v>3.7799999999999999E-3</v>
      </c>
      <c r="U29" s="539"/>
      <c r="V29" s="621">
        <f>'Exh JDT-5 (JDT-MYRP)'!$I$102</f>
        <v>5.8799999999999998E-3</v>
      </c>
      <c r="W29" s="622">
        <f>'Exh JDT-5 (JDT-MYRP)'!$P$102</f>
        <v>1.434E-2</v>
      </c>
      <c r="X29" s="539"/>
      <c r="Y29" s="535"/>
      <c r="Z29" s="539"/>
    </row>
    <row r="30" spans="1:26" s="492" customFormat="1" x14ac:dyDescent="0.2">
      <c r="A30" s="508" t="s">
        <v>207</v>
      </c>
      <c r="B30" s="509" t="s">
        <v>63</v>
      </c>
      <c r="C30" s="515" t="s">
        <v>62</v>
      </c>
      <c r="D30" s="545">
        <f>'Exh JDT-5 (JDT-INTRPL-RD)'!E35</f>
        <v>5.1319999999999998E-2</v>
      </c>
      <c r="E30" s="546">
        <f>'Exh JDT-5 (JDT-INTRPL-RD)'!H35</f>
        <v>5.6770000000000001E-2</v>
      </c>
      <c r="F30" s="542">
        <f>IFERROR((E30-D30)/D30,"na")</f>
        <v>0.10619641465315674</v>
      </c>
      <c r="G30" s="748"/>
      <c r="H30" s="749"/>
      <c r="I30" s="724"/>
      <c r="J30" s="736"/>
      <c r="K30" s="738"/>
      <c r="L30" s="724"/>
      <c r="M30" s="742"/>
      <c r="N30" s="743"/>
      <c r="O30" s="724"/>
      <c r="P30" s="745"/>
      <c r="Q30" s="746"/>
      <c r="R30" s="730"/>
      <c r="S30" s="621">
        <f>'Exh JDT-5 (JDT-MYRP)'!$H$102</f>
        <v>6.4400000000000004E-3</v>
      </c>
      <c r="T30" s="622">
        <f>'Exh JDT-5 (JDT-MYRP)'!$O$102</f>
        <v>3.7799999999999999E-3</v>
      </c>
      <c r="U30" s="539"/>
      <c r="V30" s="621">
        <f>'Exh JDT-5 (JDT-MYRP)'!$I$102</f>
        <v>5.8799999999999998E-3</v>
      </c>
      <c r="W30" s="622">
        <f>'Exh JDT-5 (JDT-MYRP)'!$P$102</f>
        <v>1.434E-2</v>
      </c>
      <c r="X30" s="539"/>
      <c r="Y30" s="535"/>
      <c r="Z30" s="539"/>
    </row>
    <row r="31" spans="1:26" s="492" customFormat="1" x14ac:dyDescent="0.2">
      <c r="A31" s="508"/>
      <c r="B31" s="509"/>
      <c r="C31" s="515"/>
      <c r="D31" s="545"/>
      <c r="E31" s="546"/>
      <c r="F31" s="542"/>
      <c r="G31" s="549"/>
      <c r="H31" s="550"/>
      <c r="I31" s="542"/>
      <c r="J31" s="516"/>
      <c r="K31" s="517"/>
      <c r="L31" s="506"/>
      <c r="M31" s="513"/>
      <c r="N31" s="514"/>
      <c r="O31" s="506"/>
      <c r="P31" s="511"/>
      <c r="Q31" s="512"/>
      <c r="R31" s="544"/>
      <c r="S31" s="619"/>
      <c r="T31" s="620"/>
      <c r="U31" s="538"/>
      <c r="V31" s="619"/>
      <c r="W31" s="620"/>
      <c r="X31" s="538"/>
      <c r="Y31" s="511"/>
      <c r="Z31" s="538"/>
    </row>
    <row r="32" spans="1:26" s="492" customFormat="1" x14ac:dyDescent="0.2">
      <c r="A32" s="508" t="s">
        <v>208</v>
      </c>
      <c r="B32" s="509" t="s">
        <v>66</v>
      </c>
      <c r="C32" s="515" t="s">
        <v>68</v>
      </c>
      <c r="D32" s="545">
        <f>'Exh JDT-5 (JDT-INTRPL-RD)'!E65</f>
        <v>0.18382000000000001</v>
      </c>
      <c r="E32" s="546">
        <f>'Exh JDT-5 (JDT-INTRPL-RD)'!H65</f>
        <v>0.1951</v>
      </c>
      <c r="F32" s="542">
        <f>IFERROR((E32-D32)/D32,"na")</f>
        <v>6.1364378196061276E-2</v>
      </c>
      <c r="G32" s="748">
        <f>'Exh JDT-5 (JDT-INTRPL-RD)'!E59</f>
        <v>148.82</v>
      </c>
      <c r="H32" s="749">
        <f>'Exh JDT-5 (JDT-INTRPL-RD)'!H59</f>
        <v>148.82</v>
      </c>
      <c r="I32" s="744">
        <f>IFERROR((H32-G32)/G32,"na")</f>
        <v>0</v>
      </c>
      <c r="J32" s="736"/>
      <c r="K32" s="738"/>
      <c r="L32" s="744" t="str">
        <f>IFERROR((K32-J32)/J32,"na")</f>
        <v>na</v>
      </c>
      <c r="M32" s="754">
        <f>'Exh JDT-5 (JDT-INTRPL-RD)'!E61</f>
        <v>1.222E-2</v>
      </c>
      <c r="N32" s="755">
        <f>'Exh JDT-5 (JDT-INTRPL-RD)'!H61</f>
        <v>1.222E-2</v>
      </c>
      <c r="O32" s="744">
        <f>IFERROR((N32-M32)/M32,"na")</f>
        <v>0</v>
      </c>
      <c r="P32" s="745">
        <f>'Exh JDT-5 (JDT-INTRPL-RD)'!E60</f>
        <v>1.35</v>
      </c>
      <c r="Q32" s="746">
        <f>'Exh JDT-5 (JDT-INTRPL-RD)'!H60</f>
        <v>1.35</v>
      </c>
      <c r="R32" s="747">
        <f>IFERROR((Q32-P32)/P32,"na")</f>
        <v>0</v>
      </c>
      <c r="S32" s="621">
        <f>'Exh JDT-5 (JDT-MYRP)'!$H$139</f>
        <v>5.2500000000000003E-3</v>
      </c>
      <c r="T32" s="622">
        <f>'Exh JDT-5 (JDT-MYRP)'!$O$139</f>
        <v>3.13E-3</v>
      </c>
      <c r="U32" s="539"/>
      <c r="V32" s="621">
        <f>'Exh JDT-5 (JDT-MYRP)'!$I$139</f>
        <v>4.7999999999999996E-3</v>
      </c>
      <c r="W32" s="622">
        <f>'Exh JDT-5 (JDT-MYRP)'!$P$139</f>
        <v>1.1860000000000001E-2</v>
      </c>
      <c r="X32" s="539"/>
      <c r="Y32" s="606">
        <f>'Exh JDT-5 (JDT-MYRP)'!$J$139</f>
        <v>4.8999999999999998E-4</v>
      </c>
      <c r="Z32" s="611">
        <f>'Exh JDT-5 (JDT-MYRP)'!$Q$139</f>
        <v>4.8999999999999998E-4</v>
      </c>
    </row>
    <row r="33" spans="1:26" s="492" customFormat="1" x14ac:dyDescent="0.2">
      <c r="A33" s="508" t="s">
        <v>208</v>
      </c>
      <c r="B33" s="509" t="s">
        <v>66</v>
      </c>
      <c r="C33" s="515" t="s">
        <v>69</v>
      </c>
      <c r="D33" s="545">
        <f>'Exh JDT-5 (JDT-INTRPL-RD)'!E66</f>
        <v>0.13031000000000001</v>
      </c>
      <c r="E33" s="546">
        <f>'Exh JDT-5 (JDT-INTRPL-RD)'!H66</f>
        <v>0.13830999999999999</v>
      </c>
      <c r="F33" s="542">
        <f>IFERROR((E33-D33)/D33,"na")</f>
        <v>6.1392065075588816E-2</v>
      </c>
      <c r="G33" s="748"/>
      <c r="H33" s="749"/>
      <c r="I33" s="744"/>
      <c r="J33" s="736"/>
      <c r="K33" s="738"/>
      <c r="L33" s="744"/>
      <c r="M33" s="754"/>
      <c r="N33" s="755"/>
      <c r="O33" s="744"/>
      <c r="P33" s="745"/>
      <c r="Q33" s="746"/>
      <c r="R33" s="747"/>
      <c r="S33" s="621">
        <f>'Exh JDT-5 (JDT-MYRP)'!$H$139</f>
        <v>5.2500000000000003E-3</v>
      </c>
      <c r="T33" s="622">
        <f>'Exh JDT-5 (JDT-MYRP)'!$O$139</f>
        <v>3.13E-3</v>
      </c>
      <c r="U33" s="539"/>
      <c r="V33" s="621">
        <f>'Exh JDT-5 (JDT-MYRP)'!$I$139</f>
        <v>4.7999999999999996E-3</v>
      </c>
      <c r="W33" s="622">
        <f>'Exh JDT-5 (JDT-MYRP)'!$P$139</f>
        <v>1.1860000000000001E-2</v>
      </c>
      <c r="X33" s="539"/>
      <c r="Y33" s="606">
        <f>'Exh JDT-5 (JDT-MYRP)'!$J$139</f>
        <v>4.8999999999999998E-4</v>
      </c>
      <c r="Z33" s="611">
        <f>'Exh JDT-5 (JDT-MYRP)'!$Q$139</f>
        <v>4.8999999999999998E-4</v>
      </c>
    </row>
    <row r="34" spans="1:26" s="492" customFormat="1" x14ac:dyDescent="0.2">
      <c r="A34" s="508"/>
      <c r="B34" s="509"/>
      <c r="C34" s="515"/>
      <c r="D34" s="545"/>
      <c r="E34" s="546"/>
      <c r="F34" s="542"/>
      <c r="G34" s="549"/>
      <c r="H34" s="550"/>
      <c r="I34" s="542"/>
      <c r="J34" s="516"/>
      <c r="K34" s="517"/>
      <c r="L34" s="506"/>
      <c r="M34" s="513"/>
      <c r="N34" s="514"/>
      <c r="O34" s="506"/>
      <c r="P34" s="511"/>
      <c r="Q34" s="512"/>
      <c r="R34" s="544"/>
      <c r="S34" s="619"/>
      <c r="T34" s="620"/>
      <c r="U34" s="538"/>
      <c r="V34" s="619"/>
      <c r="W34" s="620"/>
      <c r="X34" s="538"/>
      <c r="Y34" s="511"/>
      <c r="Z34" s="538"/>
    </row>
    <row r="35" spans="1:26" s="492" customFormat="1" x14ac:dyDescent="0.2">
      <c r="A35" s="508" t="s">
        <v>208</v>
      </c>
      <c r="B35" s="509" t="s">
        <v>70</v>
      </c>
      <c r="C35" s="515" t="s">
        <v>68</v>
      </c>
      <c r="D35" s="545">
        <f>'Exh JDT-5 (JDT-INTRPL-RD)'!E79</f>
        <v>0.18382000000000001</v>
      </c>
      <c r="E35" s="546">
        <f>'Exh JDT-5 (JDT-INTRPL-RD)'!H79</f>
        <v>0.1951</v>
      </c>
      <c r="F35" s="542">
        <f>IFERROR((E35-D35)/D35,"na")</f>
        <v>6.1364378196061276E-2</v>
      </c>
      <c r="G35" s="748">
        <f>'Exh JDT-5 (JDT-INTRPL-RD)'!E74</f>
        <v>457.76</v>
      </c>
      <c r="H35" s="749">
        <f>'Exh JDT-5 (JDT-INTRPL-RD)'!H74</f>
        <v>457.76</v>
      </c>
      <c r="I35" s="744">
        <f>IFERROR((H35-G35)/G35,"na")</f>
        <v>0</v>
      </c>
      <c r="J35" s="736"/>
      <c r="K35" s="738"/>
      <c r="L35" s="744" t="str">
        <f>IFERROR((K35-J35)/J35,"na")</f>
        <v>na</v>
      </c>
      <c r="M35" s="742" t="s">
        <v>211</v>
      </c>
      <c r="N35" s="743" t="s">
        <v>211</v>
      </c>
      <c r="O35" s="744" t="str">
        <f>IFERROR((N35-M35)/M35,"na")</f>
        <v>na</v>
      </c>
      <c r="P35" s="745">
        <f>'Exh JDT-5 (JDT-INTRPL-RD)'!E75</f>
        <v>1.35</v>
      </c>
      <c r="Q35" s="746">
        <f>'Exh JDT-5 (JDT-INTRPL-RD)'!H75</f>
        <v>1.35</v>
      </c>
      <c r="R35" s="747">
        <f>IFERROR((Q35-P35)/P35,"na")</f>
        <v>0</v>
      </c>
      <c r="S35" s="621">
        <f>'Exh JDT-5 (JDT-MYRP)'!$H$139</f>
        <v>5.2500000000000003E-3</v>
      </c>
      <c r="T35" s="622">
        <f>'Exh JDT-5 (JDT-MYRP)'!$O$139</f>
        <v>3.13E-3</v>
      </c>
      <c r="U35" s="539"/>
      <c r="V35" s="621">
        <f>'Exh JDT-5 (JDT-MYRP)'!$I$139</f>
        <v>4.7999999999999996E-3</v>
      </c>
      <c r="W35" s="622">
        <f>'Exh JDT-5 (JDT-MYRP)'!$P$139</f>
        <v>1.1860000000000001E-2</v>
      </c>
      <c r="X35" s="539"/>
      <c r="Y35" s="535"/>
      <c r="Z35" s="539"/>
    </row>
    <row r="36" spans="1:26" s="492" customFormat="1" x14ac:dyDescent="0.2">
      <c r="A36" s="508" t="s">
        <v>208</v>
      </c>
      <c r="B36" s="509" t="s">
        <v>70</v>
      </c>
      <c r="C36" s="515" t="s">
        <v>69</v>
      </c>
      <c r="D36" s="545">
        <f>'Exh JDT-5 (JDT-INTRPL-RD)'!E80</f>
        <v>0.13031000000000001</v>
      </c>
      <c r="E36" s="546">
        <f>'Exh JDT-5 (JDT-INTRPL-RD)'!H80</f>
        <v>0.13830999999999999</v>
      </c>
      <c r="F36" s="542">
        <f>IFERROR((E36-D36)/D36,"na")</f>
        <v>6.1392065075588816E-2</v>
      </c>
      <c r="G36" s="748"/>
      <c r="H36" s="749"/>
      <c r="I36" s="744"/>
      <c r="J36" s="736"/>
      <c r="K36" s="738"/>
      <c r="L36" s="744"/>
      <c r="M36" s="742"/>
      <c r="N36" s="743"/>
      <c r="O36" s="744"/>
      <c r="P36" s="745"/>
      <c r="Q36" s="746"/>
      <c r="R36" s="747"/>
      <c r="S36" s="621">
        <f>'Exh JDT-5 (JDT-MYRP)'!$H$139</f>
        <v>5.2500000000000003E-3</v>
      </c>
      <c r="T36" s="622">
        <f>'Exh JDT-5 (JDT-MYRP)'!$O$139</f>
        <v>3.13E-3</v>
      </c>
      <c r="U36" s="539"/>
      <c r="V36" s="621">
        <f>'Exh JDT-5 (JDT-MYRP)'!$I$139</f>
        <v>4.7999999999999996E-3</v>
      </c>
      <c r="W36" s="622">
        <f>'Exh JDT-5 (JDT-MYRP)'!$P$139</f>
        <v>1.1860000000000001E-2</v>
      </c>
      <c r="X36" s="539"/>
      <c r="Y36" s="535"/>
      <c r="Z36" s="539"/>
    </row>
    <row r="37" spans="1:26" s="492" customFormat="1" x14ac:dyDescent="0.2">
      <c r="A37" s="508"/>
      <c r="B37" s="509"/>
      <c r="C37" s="515"/>
      <c r="D37" s="545"/>
      <c r="E37" s="546"/>
      <c r="F37" s="542"/>
      <c r="G37" s="549"/>
      <c r="H37" s="550"/>
      <c r="I37" s="542"/>
      <c r="J37" s="516"/>
      <c r="K37" s="517"/>
      <c r="L37" s="506"/>
      <c r="M37" s="513"/>
      <c r="N37" s="514"/>
      <c r="O37" s="506"/>
      <c r="P37" s="511"/>
      <c r="Q37" s="512"/>
      <c r="R37" s="544"/>
      <c r="S37" s="619"/>
      <c r="T37" s="620"/>
      <c r="U37" s="538"/>
      <c r="V37" s="619"/>
      <c r="W37" s="620"/>
      <c r="X37" s="538"/>
      <c r="Y37" s="511"/>
      <c r="Z37" s="538"/>
    </row>
    <row r="38" spans="1:26" s="492" customFormat="1" x14ac:dyDescent="0.2">
      <c r="A38" s="508" t="s">
        <v>209</v>
      </c>
      <c r="B38" s="509" t="s">
        <v>72</v>
      </c>
      <c r="C38" s="515" t="s">
        <v>60</v>
      </c>
      <c r="D38" s="545">
        <f>'Exh JDT-5 (JDT-INTRPL-RD)'!E110</f>
        <v>0.17533000000000001</v>
      </c>
      <c r="E38" s="546">
        <f>'Exh JDT-5 (JDT-INTRPL-RD)'!H110</f>
        <v>0.20754</v>
      </c>
      <c r="F38" s="542">
        <f t="shared" ref="F38:F43" si="2">IFERROR((E38-D38)/D38,"na")</f>
        <v>0.18371071693378194</v>
      </c>
      <c r="G38" s="732">
        <f>'Exh JDT-5 (JDT-INTRPL-RD)'!E104</f>
        <v>606.5</v>
      </c>
      <c r="H38" s="734">
        <f>'Exh JDT-5 (JDT-INTRPL-RD)'!H104</f>
        <v>715.15</v>
      </c>
      <c r="I38" s="724">
        <f>IFERROR((H38-G38)/G38,"na")</f>
        <v>0.17914262159934044</v>
      </c>
      <c r="J38" s="736"/>
      <c r="K38" s="738"/>
      <c r="L38" s="724" t="str">
        <f>IFERROR((K38-J38)/J35,"na")</f>
        <v>na</v>
      </c>
      <c r="M38" s="740">
        <f>'Exh JDT-5 (JDT-INTRPL-RD)'!E106</f>
        <v>8.43E-3</v>
      </c>
      <c r="N38" s="741">
        <f>'Exh JDT-5 (JDT-INTRPL-RD)'!H106</f>
        <v>9.3200000000000002E-3</v>
      </c>
      <c r="O38" s="724">
        <f>IFERROR((N38-M38)/M38,"na")</f>
        <v>0.10557532621589563</v>
      </c>
      <c r="P38" s="726">
        <f>'Exh JDT-5 (JDT-INTRPL-RD)'!E105</f>
        <v>1.45</v>
      </c>
      <c r="Q38" s="728">
        <f>'Exh JDT-5 (JDT-INTRPL-RD)'!H105</f>
        <v>1.45</v>
      </c>
      <c r="R38" s="730">
        <f>IFERROR((Q38-P38)/P38,"na")</f>
        <v>0</v>
      </c>
      <c r="S38" s="621">
        <f>'Exh JDT-5 (JDT-MYRP)'!H185</f>
        <v>1.3339999999999999E-2</v>
      </c>
      <c r="T38" s="622">
        <f>'Exh JDT-5 (JDT-MYRP)'!O185</f>
        <v>7.6400000000000001E-3</v>
      </c>
      <c r="U38" s="539"/>
      <c r="V38" s="621">
        <f>'Exh JDT-5 (JDT-MYRP)'!I185</f>
        <v>1.221E-2</v>
      </c>
      <c r="W38" s="622">
        <f>'Exh JDT-5 (JDT-MYRP)'!P185</f>
        <v>2.9020000000000001E-2</v>
      </c>
      <c r="X38" s="539"/>
      <c r="Y38" s="606">
        <f>'Exh JDT-5 (JDT-MYRP)'!J185</f>
        <v>3.47E-3</v>
      </c>
      <c r="Z38" s="611">
        <f>'Exh JDT-5 (JDT-MYRP)'!Q185</f>
        <v>3.3899999999999998E-3</v>
      </c>
    </row>
    <row r="39" spans="1:26" s="492" customFormat="1" x14ac:dyDescent="0.2">
      <c r="A39" s="508" t="s">
        <v>209</v>
      </c>
      <c r="B39" s="509" t="s">
        <v>72</v>
      </c>
      <c r="C39" s="515" t="s">
        <v>61</v>
      </c>
      <c r="D39" s="545">
        <f>'Exh JDT-5 (JDT-INTRPL-RD)'!E111</f>
        <v>0.10595</v>
      </c>
      <c r="E39" s="546">
        <f>'Exh JDT-5 (JDT-INTRPL-RD)'!H111</f>
        <v>0.12540999999999999</v>
      </c>
      <c r="F39" s="542">
        <f t="shared" si="2"/>
        <v>0.18367154318074555</v>
      </c>
      <c r="G39" s="732"/>
      <c r="H39" s="734"/>
      <c r="I39" s="724"/>
      <c r="J39" s="736"/>
      <c r="K39" s="738"/>
      <c r="L39" s="724"/>
      <c r="M39" s="740"/>
      <c r="N39" s="741"/>
      <c r="O39" s="724"/>
      <c r="P39" s="726"/>
      <c r="Q39" s="728"/>
      <c r="R39" s="730"/>
      <c r="S39" s="621">
        <f>'Exh JDT-5 (JDT-MYRP)'!H186</f>
        <v>8.0599999999999995E-3</v>
      </c>
      <c r="T39" s="622">
        <f>'Exh JDT-5 (JDT-MYRP)'!O186</f>
        <v>4.62E-3</v>
      </c>
      <c r="U39" s="539"/>
      <c r="V39" s="621">
        <f>'Exh JDT-5 (JDT-MYRP)'!I186</f>
        <v>7.3800000000000003E-3</v>
      </c>
      <c r="W39" s="622">
        <f>'Exh JDT-5 (JDT-MYRP)'!P186</f>
        <v>1.754E-2</v>
      </c>
      <c r="X39" s="539"/>
      <c r="Y39" s="606">
        <f>'Exh JDT-5 (JDT-MYRP)'!J186</f>
        <v>2.0999999999999999E-3</v>
      </c>
      <c r="Z39" s="611">
        <f>'Exh JDT-5 (JDT-MYRP)'!Q186</f>
        <v>2.0500000000000002E-3</v>
      </c>
    </row>
    <row r="40" spans="1:26" s="492" customFormat="1" x14ac:dyDescent="0.2">
      <c r="A40" s="508" t="s">
        <v>209</v>
      </c>
      <c r="B40" s="509" t="s">
        <v>72</v>
      </c>
      <c r="C40" s="515" t="s">
        <v>64</v>
      </c>
      <c r="D40" s="545">
        <f>'Exh JDT-5 (JDT-INTRPL-RD)'!E112</f>
        <v>6.7419999999999994E-2</v>
      </c>
      <c r="E40" s="546">
        <f>'Exh JDT-5 (JDT-INTRPL-RD)'!H112</f>
        <v>7.9810000000000006E-2</v>
      </c>
      <c r="F40" s="542">
        <f t="shared" si="2"/>
        <v>0.1837733610204689</v>
      </c>
      <c r="G40" s="732"/>
      <c r="H40" s="734"/>
      <c r="I40" s="724"/>
      <c r="J40" s="736"/>
      <c r="K40" s="738"/>
      <c r="L40" s="724"/>
      <c r="M40" s="740"/>
      <c r="N40" s="741"/>
      <c r="O40" s="724"/>
      <c r="P40" s="726"/>
      <c r="Q40" s="728"/>
      <c r="R40" s="730"/>
      <c r="S40" s="621">
        <f>'Exh JDT-5 (JDT-MYRP)'!H187</f>
        <v>5.13E-3</v>
      </c>
      <c r="T40" s="622">
        <f>'Exh JDT-5 (JDT-MYRP)'!O187</f>
        <v>2.9399999999999999E-3</v>
      </c>
      <c r="U40" s="539"/>
      <c r="V40" s="621">
        <f>'Exh JDT-5 (JDT-MYRP)'!I187</f>
        <v>4.6899999999999997E-3</v>
      </c>
      <c r="W40" s="622">
        <f>'Exh JDT-5 (JDT-MYRP)'!P187</f>
        <v>1.116E-2</v>
      </c>
      <c r="X40" s="539"/>
      <c r="Y40" s="606">
        <f>'Exh JDT-5 (JDT-MYRP)'!J187</f>
        <v>1.34E-3</v>
      </c>
      <c r="Z40" s="611">
        <f>'Exh JDT-5 (JDT-MYRP)'!Q187</f>
        <v>1.2999999999999999E-3</v>
      </c>
    </row>
    <row r="41" spans="1:26" s="492" customFormat="1" x14ac:dyDescent="0.2">
      <c r="A41" s="508" t="s">
        <v>209</v>
      </c>
      <c r="B41" s="509" t="s">
        <v>72</v>
      </c>
      <c r="C41" s="515" t="s">
        <v>74</v>
      </c>
      <c r="D41" s="545">
        <f>'Exh JDT-5 (JDT-INTRPL-RD)'!E113</f>
        <v>4.3229999999999998E-2</v>
      </c>
      <c r="E41" s="546">
        <f>'Exh JDT-5 (JDT-INTRPL-RD)'!H113</f>
        <v>5.117E-2</v>
      </c>
      <c r="F41" s="542">
        <f t="shared" si="2"/>
        <v>0.18366874855424481</v>
      </c>
      <c r="G41" s="732"/>
      <c r="H41" s="734"/>
      <c r="I41" s="724"/>
      <c r="J41" s="736"/>
      <c r="K41" s="738"/>
      <c r="L41" s="724"/>
      <c r="M41" s="740"/>
      <c r="N41" s="741"/>
      <c r="O41" s="724"/>
      <c r="P41" s="726"/>
      <c r="Q41" s="728"/>
      <c r="R41" s="730"/>
      <c r="S41" s="621">
        <f>'Exh JDT-5 (JDT-MYRP)'!H188</f>
        <v>3.29E-3</v>
      </c>
      <c r="T41" s="622">
        <f>'Exh JDT-5 (JDT-MYRP)'!O188</f>
        <v>1.8799999999999999E-3</v>
      </c>
      <c r="U41" s="539"/>
      <c r="V41" s="621">
        <f>'Exh JDT-5 (JDT-MYRP)'!I188</f>
        <v>3.0100000000000001E-3</v>
      </c>
      <c r="W41" s="622">
        <f>'Exh JDT-5 (JDT-MYRP)'!P188</f>
        <v>7.1599999999999997E-3</v>
      </c>
      <c r="X41" s="539"/>
      <c r="Y41" s="606">
        <f>'Exh JDT-5 (JDT-MYRP)'!J188</f>
        <v>8.5999999999999998E-4</v>
      </c>
      <c r="Z41" s="611">
        <f>'Exh JDT-5 (JDT-MYRP)'!Q188</f>
        <v>8.4000000000000003E-4</v>
      </c>
    </row>
    <row r="42" spans="1:26" s="492" customFormat="1" x14ac:dyDescent="0.2">
      <c r="A42" s="508" t="s">
        <v>209</v>
      </c>
      <c r="B42" s="509" t="s">
        <v>72</v>
      </c>
      <c r="C42" s="515" t="s">
        <v>75</v>
      </c>
      <c r="D42" s="545">
        <f>'Exh JDT-5 (JDT-INTRPL-RD)'!E114</f>
        <v>3.1109999999999999E-2</v>
      </c>
      <c r="E42" s="546">
        <f>'Exh JDT-5 (JDT-INTRPL-RD)'!H114</f>
        <v>3.6830000000000002E-2</v>
      </c>
      <c r="F42" s="542">
        <f t="shared" si="2"/>
        <v>0.1838637094181936</v>
      </c>
      <c r="G42" s="732"/>
      <c r="H42" s="734"/>
      <c r="I42" s="724"/>
      <c r="J42" s="736"/>
      <c r="K42" s="738"/>
      <c r="L42" s="724"/>
      <c r="M42" s="740"/>
      <c r="N42" s="741"/>
      <c r="O42" s="724"/>
      <c r="P42" s="726"/>
      <c r="Q42" s="728"/>
      <c r="R42" s="730"/>
      <c r="S42" s="621">
        <f>'Exh JDT-5 (JDT-MYRP)'!H189</f>
        <v>2.3700000000000001E-3</v>
      </c>
      <c r="T42" s="622">
        <f>'Exh JDT-5 (JDT-MYRP)'!O189</f>
        <v>1.3600000000000001E-3</v>
      </c>
      <c r="U42" s="539"/>
      <c r="V42" s="621">
        <f>'Exh JDT-5 (JDT-MYRP)'!I189</f>
        <v>2.1700000000000001E-3</v>
      </c>
      <c r="W42" s="622">
        <f>'Exh JDT-5 (JDT-MYRP)'!P189</f>
        <v>5.1500000000000001E-3</v>
      </c>
      <c r="X42" s="539"/>
      <c r="Y42" s="606">
        <f>'Exh JDT-5 (JDT-MYRP)'!J189</f>
        <v>6.2E-4</v>
      </c>
      <c r="Z42" s="611">
        <f>'Exh JDT-5 (JDT-MYRP)'!Q189</f>
        <v>5.9999999999999995E-4</v>
      </c>
    </row>
    <row r="43" spans="1:26" s="492" customFormat="1" x14ac:dyDescent="0.2">
      <c r="A43" s="508" t="s">
        <v>209</v>
      </c>
      <c r="B43" s="509" t="s">
        <v>72</v>
      </c>
      <c r="C43" s="515" t="s">
        <v>76</v>
      </c>
      <c r="D43" s="545">
        <f>'Exh JDT-5 (JDT-INTRPL-RD)'!E115</f>
        <v>2.3990000000000001E-2</v>
      </c>
      <c r="E43" s="546">
        <f>'Exh JDT-5 (JDT-INTRPL-RD)'!H115</f>
        <v>2.4830000000000001E-2</v>
      </c>
      <c r="F43" s="542">
        <f t="shared" si="2"/>
        <v>3.5014589412255125E-2</v>
      </c>
      <c r="G43" s="732"/>
      <c r="H43" s="734"/>
      <c r="I43" s="724"/>
      <c r="J43" s="736"/>
      <c r="K43" s="738"/>
      <c r="L43" s="724"/>
      <c r="M43" s="740"/>
      <c r="N43" s="741"/>
      <c r="O43" s="724"/>
      <c r="P43" s="726"/>
      <c r="Q43" s="728"/>
      <c r="R43" s="730"/>
      <c r="S43" s="621">
        <f>'Exh JDT-5 (JDT-MYRP)'!H190</f>
        <v>4.0000000000000002E-4</v>
      </c>
      <c r="T43" s="622">
        <f>'Exh JDT-5 (JDT-MYRP)'!O190</f>
        <v>2.2000000000000001E-4</v>
      </c>
      <c r="U43" s="539"/>
      <c r="V43" s="621">
        <f>'Exh JDT-5 (JDT-MYRP)'!I190</f>
        <v>3.6000000000000002E-4</v>
      </c>
      <c r="W43" s="622">
        <f>'Exh JDT-5 (JDT-MYRP)'!P190</f>
        <v>8.3000000000000001E-4</v>
      </c>
      <c r="X43" s="539"/>
      <c r="Y43" s="606">
        <f>'Exh JDT-5 (JDT-MYRP)'!J190</f>
        <v>1.2E-4</v>
      </c>
      <c r="Z43" s="611">
        <f>'Exh JDT-5 (JDT-MYRP)'!Q190</f>
        <v>1.1E-4</v>
      </c>
    </row>
    <row r="44" spans="1:26" s="492" customFormat="1" x14ac:dyDescent="0.2">
      <c r="A44" s="508"/>
      <c r="B44" s="509"/>
      <c r="C44" s="515"/>
      <c r="D44" s="545"/>
      <c r="E44" s="546"/>
      <c r="F44" s="542"/>
      <c r="G44" s="549"/>
      <c r="H44" s="550"/>
      <c r="I44" s="542"/>
      <c r="J44" s="516"/>
      <c r="K44" s="517"/>
      <c r="L44" s="506"/>
      <c r="M44" s="513"/>
      <c r="N44" s="514"/>
      <c r="O44" s="506"/>
      <c r="P44" s="511"/>
      <c r="Q44" s="512"/>
      <c r="R44" s="544"/>
      <c r="S44" s="619"/>
      <c r="T44" s="620"/>
      <c r="U44" s="538"/>
      <c r="V44" s="619"/>
      <c r="W44" s="620"/>
      <c r="X44" s="538"/>
      <c r="Y44" s="511"/>
      <c r="Z44" s="538"/>
    </row>
    <row r="45" spans="1:26" s="492" customFormat="1" x14ac:dyDescent="0.2">
      <c r="A45" s="508" t="s">
        <v>209</v>
      </c>
      <c r="B45" s="509" t="s">
        <v>77</v>
      </c>
      <c r="C45" s="515" t="s">
        <v>60</v>
      </c>
      <c r="D45" s="545">
        <f>'Exh JDT-5 (JDT-INTRPL-RD)'!E128</f>
        <v>0.17533000000000001</v>
      </c>
      <c r="E45" s="546">
        <f>'Exh JDT-5 (JDT-INTRPL-RD)'!H128</f>
        <v>0.20754</v>
      </c>
      <c r="F45" s="542">
        <f t="shared" ref="F45:F50" si="3">IFERROR((E45-D45)/D45,"na")</f>
        <v>0.18371071693378194</v>
      </c>
      <c r="G45" s="732">
        <f>'Exh JDT-5 (JDT-INTRPL-RD)'!E123</f>
        <v>918.31</v>
      </c>
      <c r="H45" s="734">
        <f>'Exh JDT-5 (JDT-INTRPL-RD)'!H123</f>
        <v>1082.81</v>
      </c>
      <c r="I45" s="724">
        <f>IFERROR((H45-G45)/G45,"na")</f>
        <v>0.179133408108373</v>
      </c>
      <c r="J45" s="736"/>
      <c r="K45" s="738"/>
      <c r="L45" s="724" t="str">
        <f>IFERROR((K45-J45)/J42,"na")</f>
        <v>na</v>
      </c>
      <c r="M45" s="720" t="s">
        <v>211</v>
      </c>
      <c r="N45" s="722" t="s">
        <v>211</v>
      </c>
      <c r="O45" s="724" t="str">
        <f>IFERROR((N45-M45)/M45,"na")</f>
        <v>na</v>
      </c>
      <c r="P45" s="726">
        <f>'Exh JDT-5 (JDT-INTRPL-RD)'!E124</f>
        <v>1.45</v>
      </c>
      <c r="Q45" s="728">
        <f>'Exh JDT-5 (JDT-INTRPL-RD)'!H124</f>
        <v>1.45</v>
      </c>
      <c r="R45" s="730">
        <f>IFERROR((Q45-P45)/P45,"na")</f>
        <v>0</v>
      </c>
      <c r="S45" s="621">
        <f>'Exh JDT-5 (JDT-MYRP)'!H203</f>
        <v>1.3339999999999999E-2</v>
      </c>
      <c r="T45" s="622">
        <f>'Exh JDT-5 (JDT-MYRP)'!O203</f>
        <v>7.6400000000000001E-3</v>
      </c>
      <c r="U45" s="539"/>
      <c r="V45" s="621">
        <f>'Exh JDT-5 (JDT-MYRP)'!I203</f>
        <v>1.221E-2</v>
      </c>
      <c r="W45" s="622">
        <f>'Exh JDT-5 (JDT-MYRP)'!P203</f>
        <v>2.9020000000000001E-2</v>
      </c>
      <c r="X45" s="539"/>
      <c r="Y45" s="535"/>
      <c r="Z45" s="539"/>
    </row>
    <row r="46" spans="1:26" s="492" customFormat="1" x14ac:dyDescent="0.2">
      <c r="A46" s="508" t="s">
        <v>209</v>
      </c>
      <c r="B46" s="509" t="s">
        <v>77</v>
      </c>
      <c r="C46" s="515" t="s">
        <v>61</v>
      </c>
      <c r="D46" s="545">
        <f>'Exh JDT-5 (JDT-INTRPL-RD)'!E129</f>
        <v>0.10595</v>
      </c>
      <c r="E46" s="546">
        <f>'Exh JDT-5 (JDT-INTRPL-RD)'!H129</f>
        <v>0.12540999999999999</v>
      </c>
      <c r="F46" s="542">
        <f t="shared" si="3"/>
        <v>0.18367154318074555</v>
      </c>
      <c r="G46" s="732"/>
      <c r="H46" s="734"/>
      <c r="I46" s="724"/>
      <c r="J46" s="736"/>
      <c r="K46" s="738"/>
      <c r="L46" s="724"/>
      <c r="M46" s="720"/>
      <c r="N46" s="722"/>
      <c r="O46" s="724"/>
      <c r="P46" s="726"/>
      <c r="Q46" s="728"/>
      <c r="R46" s="730"/>
      <c r="S46" s="621">
        <f>'Exh JDT-5 (JDT-MYRP)'!H204</f>
        <v>8.0599999999999995E-3</v>
      </c>
      <c r="T46" s="622">
        <f>'Exh JDT-5 (JDT-MYRP)'!O204</f>
        <v>4.62E-3</v>
      </c>
      <c r="U46" s="539"/>
      <c r="V46" s="621">
        <f>'Exh JDT-5 (JDT-MYRP)'!I204</f>
        <v>7.3800000000000003E-3</v>
      </c>
      <c r="W46" s="622">
        <f>'Exh JDT-5 (JDT-MYRP)'!P204</f>
        <v>1.754E-2</v>
      </c>
      <c r="X46" s="539"/>
      <c r="Y46" s="535"/>
      <c r="Z46" s="539"/>
    </row>
    <row r="47" spans="1:26" s="492" customFormat="1" x14ac:dyDescent="0.2">
      <c r="A47" s="508" t="s">
        <v>209</v>
      </c>
      <c r="B47" s="509" t="s">
        <v>77</v>
      </c>
      <c r="C47" s="515" t="s">
        <v>64</v>
      </c>
      <c r="D47" s="545">
        <f>'Exh JDT-5 (JDT-INTRPL-RD)'!E130</f>
        <v>6.7419999999999994E-2</v>
      </c>
      <c r="E47" s="546">
        <f>'Exh JDT-5 (JDT-INTRPL-RD)'!H130</f>
        <v>7.9810000000000006E-2</v>
      </c>
      <c r="F47" s="542">
        <f t="shared" si="3"/>
        <v>0.1837733610204689</v>
      </c>
      <c r="G47" s="732"/>
      <c r="H47" s="734"/>
      <c r="I47" s="724"/>
      <c r="J47" s="736"/>
      <c r="K47" s="738"/>
      <c r="L47" s="724"/>
      <c r="M47" s="720"/>
      <c r="N47" s="722"/>
      <c r="O47" s="724"/>
      <c r="P47" s="726"/>
      <c r="Q47" s="728"/>
      <c r="R47" s="730"/>
      <c r="S47" s="621">
        <f>'Exh JDT-5 (JDT-MYRP)'!H205</f>
        <v>5.13E-3</v>
      </c>
      <c r="T47" s="622">
        <f>'Exh JDT-5 (JDT-MYRP)'!O205</f>
        <v>2.9399999999999999E-3</v>
      </c>
      <c r="U47" s="539"/>
      <c r="V47" s="621">
        <f>'Exh JDT-5 (JDT-MYRP)'!I205</f>
        <v>4.6899999999999997E-3</v>
      </c>
      <c r="W47" s="622">
        <f>'Exh JDT-5 (JDT-MYRP)'!P205</f>
        <v>1.116E-2</v>
      </c>
      <c r="X47" s="539"/>
      <c r="Y47" s="535"/>
      <c r="Z47" s="539"/>
    </row>
    <row r="48" spans="1:26" s="492" customFormat="1" x14ac:dyDescent="0.2">
      <c r="A48" s="508" t="s">
        <v>209</v>
      </c>
      <c r="B48" s="509" t="s">
        <v>77</v>
      </c>
      <c r="C48" s="515" t="s">
        <v>74</v>
      </c>
      <c r="D48" s="545">
        <f>'Exh JDT-5 (JDT-INTRPL-RD)'!E131</f>
        <v>4.3229999999999998E-2</v>
      </c>
      <c r="E48" s="546">
        <f>'Exh JDT-5 (JDT-INTRPL-RD)'!H131</f>
        <v>5.117E-2</v>
      </c>
      <c r="F48" s="542">
        <f t="shared" si="3"/>
        <v>0.18366874855424481</v>
      </c>
      <c r="G48" s="732"/>
      <c r="H48" s="734"/>
      <c r="I48" s="724"/>
      <c r="J48" s="736"/>
      <c r="K48" s="738"/>
      <c r="L48" s="724"/>
      <c r="M48" s="720"/>
      <c r="N48" s="722"/>
      <c r="O48" s="724"/>
      <c r="P48" s="726"/>
      <c r="Q48" s="728"/>
      <c r="R48" s="730"/>
      <c r="S48" s="621">
        <f>'Exh JDT-5 (JDT-MYRP)'!H206</f>
        <v>3.29E-3</v>
      </c>
      <c r="T48" s="622">
        <f>'Exh JDT-5 (JDT-MYRP)'!O206</f>
        <v>1.8799999999999999E-3</v>
      </c>
      <c r="U48" s="539"/>
      <c r="V48" s="621">
        <f>'Exh JDT-5 (JDT-MYRP)'!I206</f>
        <v>3.0100000000000001E-3</v>
      </c>
      <c r="W48" s="622">
        <f>'Exh JDT-5 (JDT-MYRP)'!P206</f>
        <v>7.1599999999999997E-3</v>
      </c>
      <c r="X48" s="539"/>
      <c r="Y48" s="535"/>
      <c r="Z48" s="539"/>
    </row>
    <row r="49" spans="1:26" s="492" customFormat="1" x14ac:dyDescent="0.2">
      <c r="A49" s="508" t="s">
        <v>209</v>
      </c>
      <c r="B49" s="509" t="s">
        <v>77</v>
      </c>
      <c r="C49" s="515" t="s">
        <v>75</v>
      </c>
      <c r="D49" s="545">
        <f>'Exh JDT-5 (JDT-INTRPL-RD)'!E132</f>
        <v>3.1109999999999999E-2</v>
      </c>
      <c r="E49" s="546">
        <f>'Exh JDT-5 (JDT-INTRPL-RD)'!H132</f>
        <v>3.6830000000000002E-2</v>
      </c>
      <c r="F49" s="542">
        <f t="shared" si="3"/>
        <v>0.1838637094181936</v>
      </c>
      <c r="G49" s="732"/>
      <c r="H49" s="734"/>
      <c r="I49" s="724"/>
      <c r="J49" s="736"/>
      <c r="K49" s="738"/>
      <c r="L49" s="724"/>
      <c r="M49" s="720"/>
      <c r="N49" s="722"/>
      <c r="O49" s="724"/>
      <c r="P49" s="726"/>
      <c r="Q49" s="728"/>
      <c r="R49" s="730"/>
      <c r="S49" s="621">
        <f>'Exh JDT-5 (JDT-MYRP)'!H207</f>
        <v>2.3700000000000001E-3</v>
      </c>
      <c r="T49" s="622">
        <f>'Exh JDT-5 (JDT-MYRP)'!O207</f>
        <v>1.3600000000000001E-3</v>
      </c>
      <c r="U49" s="539"/>
      <c r="V49" s="621">
        <f>'Exh JDT-5 (JDT-MYRP)'!I207</f>
        <v>2.1700000000000001E-3</v>
      </c>
      <c r="W49" s="622">
        <f>'Exh JDT-5 (JDT-MYRP)'!P207</f>
        <v>5.1500000000000001E-3</v>
      </c>
      <c r="X49" s="539"/>
      <c r="Y49" s="535"/>
      <c r="Z49" s="539"/>
    </row>
    <row r="50" spans="1:26" s="492" customFormat="1" x14ac:dyDescent="0.2">
      <c r="A50" s="518" t="s">
        <v>209</v>
      </c>
      <c r="B50" s="519" t="s">
        <v>77</v>
      </c>
      <c r="C50" s="520" t="s">
        <v>76</v>
      </c>
      <c r="D50" s="521">
        <f>'Exh JDT-5 (JDT-INTRPL-RD)'!E133</f>
        <v>2.3990000000000001E-2</v>
      </c>
      <c r="E50" s="522">
        <f>'Exh JDT-5 (JDT-INTRPL-RD)'!H133</f>
        <v>2.4830000000000001E-2</v>
      </c>
      <c r="F50" s="543">
        <f t="shared" si="3"/>
        <v>3.5014589412255125E-2</v>
      </c>
      <c r="G50" s="733"/>
      <c r="H50" s="735"/>
      <c r="I50" s="725"/>
      <c r="J50" s="737"/>
      <c r="K50" s="739"/>
      <c r="L50" s="725"/>
      <c r="M50" s="721"/>
      <c r="N50" s="723"/>
      <c r="O50" s="725"/>
      <c r="P50" s="727"/>
      <c r="Q50" s="729"/>
      <c r="R50" s="731"/>
      <c r="S50" s="625">
        <f>'Exh JDT-5 (JDT-MYRP)'!H208</f>
        <v>4.0000000000000002E-4</v>
      </c>
      <c r="T50" s="626">
        <f>'Exh JDT-5 (JDT-MYRP)'!O208</f>
        <v>2.2000000000000001E-4</v>
      </c>
      <c r="U50" s="541"/>
      <c r="V50" s="625">
        <f>'Exh JDT-5 (JDT-MYRP)'!I208</f>
        <v>3.6000000000000002E-4</v>
      </c>
      <c r="W50" s="626">
        <f>'Exh JDT-5 (JDT-MYRP)'!P208</f>
        <v>8.3000000000000001E-4</v>
      </c>
      <c r="X50" s="541"/>
      <c r="Y50" s="566"/>
      <c r="Z50" s="541"/>
    </row>
    <row r="51" spans="1:26" s="492" customFormat="1" x14ac:dyDescent="0.2">
      <c r="A51" s="523"/>
      <c r="B51" s="524"/>
      <c r="C51" s="524"/>
      <c r="D51" s="524"/>
      <c r="E51" s="524"/>
      <c r="F51" s="525"/>
      <c r="G51" s="524"/>
      <c r="H51" s="524"/>
      <c r="I51" s="525"/>
      <c r="J51" s="524"/>
      <c r="K51" s="524"/>
      <c r="L51" s="524"/>
      <c r="M51" s="524"/>
      <c r="N51" s="524"/>
      <c r="O51" s="524"/>
      <c r="P51" s="524"/>
      <c r="Q51" s="524"/>
      <c r="R51" s="525"/>
      <c r="S51" s="524"/>
      <c r="T51" s="524"/>
      <c r="U51" s="525"/>
      <c r="V51" s="524"/>
      <c r="W51" s="524"/>
      <c r="X51" s="525"/>
    </row>
    <row r="52" spans="1:26" s="492" customFormat="1" x14ac:dyDescent="0.2">
      <c r="A52" s="572" t="s">
        <v>292</v>
      </c>
      <c r="F52" s="494"/>
      <c r="I52" s="494"/>
      <c r="R52" s="494"/>
      <c r="U52" s="494"/>
      <c r="X52" s="494"/>
    </row>
    <row r="53" spans="1:26" s="492" customFormat="1" x14ac:dyDescent="0.2">
      <c r="A53" s="526"/>
      <c r="F53" s="494"/>
      <c r="I53" s="494"/>
      <c r="R53" s="494"/>
      <c r="U53" s="494"/>
      <c r="X53" s="494"/>
    </row>
  </sheetData>
  <mergeCells count="106">
    <mergeCell ref="Y6:Z6"/>
    <mergeCell ref="V6:X6"/>
    <mergeCell ref="S6:U6"/>
    <mergeCell ref="M20:M22"/>
    <mergeCell ref="N20:N22"/>
    <mergeCell ref="O20:O22"/>
    <mergeCell ref="D6:F6"/>
    <mergeCell ref="A6:A7"/>
    <mergeCell ref="P6:R6"/>
    <mergeCell ref="M6:O6"/>
    <mergeCell ref="J6:L6"/>
    <mergeCell ref="G16:G18"/>
    <mergeCell ref="H16:H18"/>
    <mergeCell ref="I16:I18"/>
    <mergeCell ref="J16:J18"/>
    <mergeCell ref="K16:K18"/>
    <mergeCell ref="G6:I6"/>
    <mergeCell ref="R16:R18"/>
    <mergeCell ref="L16:L18"/>
    <mergeCell ref="M16:M18"/>
    <mergeCell ref="N16:N18"/>
    <mergeCell ref="O16:O18"/>
    <mergeCell ref="P16:P18"/>
    <mergeCell ref="Q16:Q18"/>
    <mergeCell ref="P24:P26"/>
    <mergeCell ref="Q24:Q26"/>
    <mergeCell ref="R24:R26"/>
    <mergeCell ref="G28:G30"/>
    <mergeCell ref="H28:H30"/>
    <mergeCell ref="I28:I30"/>
    <mergeCell ref="J28:J30"/>
    <mergeCell ref="K28:K30"/>
    <mergeCell ref="P20:P22"/>
    <mergeCell ref="Q20:Q22"/>
    <mergeCell ref="R20:R22"/>
    <mergeCell ref="G24:G26"/>
    <mergeCell ref="H24:H26"/>
    <mergeCell ref="I24:I26"/>
    <mergeCell ref="J24:J26"/>
    <mergeCell ref="K24:K26"/>
    <mergeCell ref="L24:L26"/>
    <mergeCell ref="M24:M26"/>
    <mergeCell ref="G20:G22"/>
    <mergeCell ref="H20:H22"/>
    <mergeCell ref="I20:I22"/>
    <mergeCell ref="J20:J22"/>
    <mergeCell ref="K20:K22"/>
    <mergeCell ref="L20:L22"/>
    <mergeCell ref="G35:G36"/>
    <mergeCell ref="H35:H36"/>
    <mergeCell ref="I35:I36"/>
    <mergeCell ref="J35:J36"/>
    <mergeCell ref="K35:K36"/>
    <mergeCell ref="L35:L36"/>
    <mergeCell ref="R28:R30"/>
    <mergeCell ref="B6:C7"/>
    <mergeCell ref="G32:G33"/>
    <mergeCell ref="H32:H33"/>
    <mergeCell ref="I32:I33"/>
    <mergeCell ref="J32:J33"/>
    <mergeCell ref="K32:K33"/>
    <mergeCell ref="L32:L33"/>
    <mergeCell ref="M32:M33"/>
    <mergeCell ref="N32:N33"/>
    <mergeCell ref="L28:L30"/>
    <mergeCell ref="M28:M30"/>
    <mergeCell ref="N28:N30"/>
    <mergeCell ref="O28:O30"/>
    <mergeCell ref="P28:P30"/>
    <mergeCell ref="Q28:Q30"/>
    <mergeCell ref="N24:N26"/>
    <mergeCell ref="O24:O26"/>
    <mergeCell ref="M35:M36"/>
    <mergeCell ref="N35:N36"/>
    <mergeCell ref="O35:O36"/>
    <mergeCell ref="P35:P36"/>
    <mergeCell ref="Q35:Q36"/>
    <mergeCell ref="R35:R36"/>
    <mergeCell ref="O32:O33"/>
    <mergeCell ref="P32:P33"/>
    <mergeCell ref="Q32:Q33"/>
    <mergeCell ref="R32:R33"/>
    <mergeCell ref="M38:M43"/>
    <mergeCell ref="N38:N43"/>
    <mergeCell ref="O38:O43"/>
    <mergeCell ref="P38:P43"/>
    <mergeCell ref="Q38:Q43"/>
    <mergeCell ref="R38:R43"/>
    <mergeCell ref="G38:G43"/>
    <mergeCell ref="H38:H43"/>
    <mergeCell ref="I38:I43"/>
    <mergeCell ref="J38:J43"/>
    <mergeCell ref="K38:K43"/>
    <mergeCell ref="L38:L43"/>
    <mergeCell ref="M45:M50"/>
    <mergeCell ref="N45:N50"/>
    <mergeCell ref="O45:O50"/>
    <mergeCell ref="P45:P50"/>
    <mergeCell ref="Q45:Q50"/>
    <mergeCell ref="R45:R50"/>
    <mergeCell ref="G45:G50"/>
    <mergeCell ref="H45:H50"/>
    <mergeCell ref="I45:I50"/>
    <mergeCell ref="J45:J50"/>
    <mergeCell ref="K45:K50"/>
    <mergeCell ref="L45:L50"/>
  </mergeCells>
  <conditionalFormatting sqref="F9:F50">
    <cfRule type="iconSet" priority="12">
      <iconSet iconSet="3Arrows">
        <cfvo type="percent" val="0"/>
        <cfvo type="percent" val="0"/>
        <cfvo type="num" val="0" gte="0"/>
      </iconSet>
    </cfRule>
  </conditionalFormatting>
  <conditionalFormatting sqref="I20:I2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24:I2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28:I3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9:I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L9:L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O9:O13 O15:O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R9:R500">
    <cfRule type="iconSet" priority="8">
      <iconSet iconSet="3Arrows">
        <cfvo type="percent" val="0"/>
        <cfvo type="percent" val="0"/>
        <cfvo type="num" val="0" gte="0"/>
      </iconSet>
    </cfRule>
  </conditionalFormatting>
  <conditionalFormatting sqref="U51:U500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X51:X500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O14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5" fitToWidth="0" fitToHeight="0" orientation="landscape" r:id="rId1"/>
  <headerFooter alignWithMargins="0">
    <oddFooter>&amp;R&amp;A
 Page &amp;P of &amp;N</oddFooter>
  </headerFooter>
  <colBreaks count="2" manualBreakCount="2">
    <brk id="12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4"/>
  <sheetViews>
    <sheetView zoomScale="90" zoomScaleNormal="90" zoomScaleSheetLayoutView="100" workbookViewId="0">
      <pane ySplit="8" topLeftCell="A9" activePane="bottomLeft" state="frozen"/>
      <selection pane="bottomLeft" activeCell="G42" sqref="G42"/>
    </sheetView>
  </sheetViews>
  <sheetFormatPr defaultColWidth="9.140625" defaultRowHeight="12.75" x14ac:dyDescent="0.2"/>
  <cols>
    <col min="1" max="1" width="2.42578125" style="118" customWidth="1"/>
    <col min="2" max="2" width="31.7109375" style="112" customWidth="1"/>
    <col min="3" max="3" width="9.7109375" style="112" customWidth="1"/>
    <col min="4" max="4" width="15.28515625" style="93" bestFit="1" customWidth="1"/>
    <col min="5" max="5" width="10.42578125" style="93" customWidth="1"/>
    <col min="6" max="6" width="13.7109375" style="112" bestFit="1" customWidth="1"/>
    <col min="7" max="7" width="2.85546875" style="58" customWidth="1"/>
    <col min="8" max="8" width="10.42578125" style="118" bestFit="1" customWidth="1"/>
    <col min="9" max="9" width="13.28515625" style="181" customWidth="1"/>
    <col min="10" max="10" width="2.85546875" style="98" customWidth="1"/>
    <col min="11" max="11" width="13.28515625" style="118" customWidth="1"/>
    <col min="12" max="12" width="10.42578125" style="5" customWidth="1"/>
    <col min="13" max="13" width="2.85546875" style="5" customWidth="1"/>
    <col min="14" max="14" width="14.5703125" style="118" customWidth="1"/>
    <col min="15" max="16384" width="9.140625" style="118"/>
  </cols>
  <sheetData>
    <row r="1" spans="2:23" x14ac:dyDescent="0.2">
      <c r="B1" s="490" t="str">
        <f>'Table of Contents'!$A$1</f>
        <v>Puget Sound Energy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2"/>
      <c r="N1" s="25"/>
    </row>
    <row r="2" spans="2:23" x14ac:dyDescent="0.2">
      <c r="B2" s="264" t="str">
        <f>'Table of Contents'!$A$2</f>
        <v>2022 Gas General Rate Case Filing</v>
      </c>
      <c r="C2" s="4"/>
      <c r="D2" s="3"/>
      <c r="E2" s="3"/>
      <c r="F2" s="4"/>
      <c r="G2" s="4"/>
      <c r="H2" s="4"/>
      <c r="I2" s="4"/>
      <c r="J2" s="4"/>
      <c r="K2" s="4"/>
      <c r="L2" s="4"/>
      <c r="M2" s="2"/>
      <c r="N2" s="25"/>
    </row>
    <row r="3" spans="2:23" x14ac:dyDescent="0.2">
      <c r="B3" s="264" t="str">
        <f>'Table of Contents'!$A$3</f>
        <v>Gas Rate Spread &amp; Design Work Paper</v>
      </c>
      <c r="C3" s="4"/>
      <c r="D3" s="3"/>
      <c r="E3" s="3"/>
      <c r="F3" s="4"/>
      <c r="G3" s="4"/>
      <c r="H3" s="4"/>
      <c r="I3" s="4"/>
      <c r="J3" s="4"/>
      <c r="K3" s="4"/>
      <c r="L3" s="4"/>
      <c r="M3" s="2"/>
      <c r="N3" s="25"/>
    </row>
    <row r="4" spans="2:23" x14ac:dyDescent="0.2">
      <c r="B4" s="264" t="s">
        <v>86</v>
      </c>
      <c r="C4" s="4"/>
      <c r="D4" s="3"/>
      <c r="E4" s="3"/>
      <c r="F4" s="4"/>
      <c r="G4" s="4"/>
      <c r="H4" s="4"/>
      <c r="I4" s="4"/>
      <c r="J4" s="4"/>
      <c r="K4" s="4"/>
      <c r="L4" s="4"/>
      <c r="M4" s="2"/>
      <c r="N4" s="25"/>
    </row>
    <row r="5" spans="2:23" x14ac:dyDescent="0.2">
      <c r="B5" s="264" t="str">
        <f>'Exh JDT-5 (JDT-Rate Spread)'!B5</f>
        <v>Rate Spread and Schedule 141R and 141N Allocation</v>
      </c>
      <c r="C5" s="4"/>
      <c r="D5" s="3"/>
      <c r="E5" s="3"/>
      <c r="F5" s="4"/>
      <c r="G5" s="4"/>
      <c r="H5" s="4"/>
      <c r="I5" s="4"/>
      <c r="J5" s="4"/>
      <c r="K5" s="4"/>
      <c r="L5" s="4"/>
      <c r="M5" s="2"/>
      <c r="N5" s="32"/>
    </row>
    <row r="6" spans="2:23" x14ac:dyDescent="0.2">
      <c r="N6" s="61"/>
    </row>
    <row r="7" spans="2:23" ht="15" customHeight="1" x14ac:dyDescent="0.2">
      <c r="B7" s="40"/>
      <c r="C7" s="41"/>
      <c r="D7" s="42" t="s">
        <v>10</v>
      </c>
      <c r="E7" s="44" t="s">
        <v>173</v>
      </c>
      <c r="F7" s="43"/>
      <c r="G7" s="6"/>
      <c r="H7" s="7" t="s">
        <v>96</v>
      </c>
      <c r="I7" s="43"/>
      <c r="J7" s="45"/>
      <c r="K7" s="43" t="s">
        <v>12</v>
      </c>
      <c r="L7" s="8"/>
      <c r="M7" s="46"/>
      <c r="N7" s="327" t="s">
        <v>3</v>
      </c>
    </row>
    <row r="8" spans="2:23" x14ac:dyDescent="0.2">
      <c r="B8" s="47" t="s">
        <v>13</v>
      </c>
      <c r="C8" s="9" t="s">
        <v>14</v>
      </c>
      <c r="D8" s="191" t="s">
        <v>15</v>
      </c>
      <c r="E8" s="191" t="s">
        <v>4</v>
      </c>
      <c r="F8" s="48" t="s">
        <v>16</v>
      </c>
      <c r="G8" s="9"/>
      <c r="H8" s="9" t="s">
        <v>4</v>
      </c>
      <c r="I8" s="48" t="s">
        <v>16</v>
      </c>
      <c r="J8" s="48"/>
      <c r="K8" s="48" t="s">
        <v>17</v>
      </c>
      <c r="L8" s="131" t="s">
        <v>18</v>
      </c>
      <c r="M8" s="50"/>
      <c r="N8" s="328" t="s">
        <v>6</v>
      </c>
    </row>
    <row r="9" spans="2:23" x14ac:dyDescent="0.2">
      <c r="B9" s="61"/>
      <c r="C9" s="61"/>
      <c r="D9" s="92"/>
      <c r="E9" s="92"/>
      <c r="F9" s="61"/>
      <c r="H9" s="61"/>
      <c r="I9" s="98"/>
      <c r="K9" s="61"/>
      <c r="L9" s="151"/>
      <c r="M9" s="151"/>
      <c r="N9" s="61"/>
    </row>
    <row r="10" spans="2:23" x14ac:dyDescent="0.2">
      <c r="B10" s="246" t="s">
        <v>19</v>
      </c>
      <c r="C10" s="303"/>
      <c r="D10" s="242"/>
      <c r="E10" s="242"/>
      <c r="F10" s="241"/>
      <c r="G10" s="304"/>
      <c r="H10" s="242"/>
      <c r="I10" s="299"/>
      <c r="J10" s="299"/>
      <c r="K10" s="299"/>
      <c r="L10" s="306"/>
      <c r="M10" s="151"/>
      <c r="N10" s="61"/>
    </row>
    <row r="11" spans="2:23" x14ac:dyDescent="0.2">
      <c r="B11" s="106"/>
      <c r="C11" s="61"/>
      <c r="D11" s="92"/>
      <c r="E11" s="92"/>
      <c r="F11" s="61"/>
      <c r="G11" s="10"/>
      <c r="H11" s="92"/>
      <c r="I11" s="89"/>
      <c r="J11" s="89"/>
      <c r="K11" s="89"/>
      <c r="L11" s="133"/>
      <c r="M11" s="151"/>
      <c r="N11" s="11" t="s">
        <v>148</v>
      </c>
    </row>
    <row r="12" spans="2:23" x14ac:dyDescent="0.2">
      <c r="B12" s="79" t="s">
        <v>20</v>
      </c>
      <c r="C12" s="103" t="s">
        <v>21</v>
      </c>
      <c r="D12" s="63">
        <v>9634497.6315792762</v>
      </c>
      <c r="E12" s="104">
        <v>11.52</v>
      </c>
      <c r="F12" s="89">
        <f>SUM(+D12*E12)</f>
        <v>110989412.71579325</v>
      </c>
      <c r="H12" s="278">
        <v>12.5</v>
      </c>
      <c r="I12" s="89">
        <f>SUM(+D12*H12)</f>
        <v>120431220.39474095</v>
      </c>
      <c r="J12" s="89"/>
      <c r="K12" s="89">
        <f>I12-F12</f>
        <v>9441807.6789477021</v>
      </c>
      <c r="L12" s="59">
        <f>IFERROR(ROUND(K12/F12,5), )</f>
        <v>8.5070000000000007E-2</v>
      </c>
      <c r="M12" s="151"/>
      <c r="N12" s="564">
        <f>'Exh JDT-5 (JDT-Rate Spread)'!F56</f>
        <v>403617221.39551479</v>
      </c>
    </row>
    <row r="13" spans="2:23" x14ac:dyDescent="0.2">
      <c r="B13" s="106" t="s">
        <v>22</v>
      </c>
      <c r="C13" s="61" t="s">
        <v>23</v>
      </c>
      <c r="D13" s="58">
        <v>620836684.05687141</v>
      </c>
      <c r="E13" s="88">
        <v>0.41964000000000001</v>
      </c>
      <c r="F13" s="89">
        <f>ROUND(D13*E13,2)</f>
        <v>260527906.09999999</v>
      </c>
      <c r="H13" s="80">
        <f>ROUND((N12-I12-I20-I32)/D13, 5)</f>
        <v>0.45612999999999998</v>
      </c>
      <c r="I13" s="89">
        <f>ROUND(D13*H13,2)</f>
        <v>283182236.69999999</v>
      </c>
      <c r="J13" s="89"/>
      <c r="K13" s="89">
        <f>I13-F13</f>
        <v>22654330.599999994</v>
      </c>
      <c r="L13" s="59">
        <f>IFERROR(ROUND(K13/F13,5), )</f>
        <v>8.6959999999999996E-2</v>
      </c>
      <c r="M13" s="61"/>
      <c r="N13" s="62" t="s">
        <v>24</v>
      </c>
    </row>
    <row r="14" spans="2:23" x14ac:dyDescent="0.2">
      <c r="B14" s="12"/>
      <c r="C14" s="134"/>
      <c r="D14" s="63"/>
      <c r="E14" s="92"/>
      <c r="F14" s="54">
        <f>SUM(F12:F13)</f>
        <v>371517318.81579328</v>
      </c>
      <c r="H14" s="92"/>
      <c r="I14" s="54">
        <f>SUM(I12:I13)</f>
        <v>403613457.09474093</v>
      </c>
      <c r="J14" s="89"/>
      <c r="K14" s="54">
        <f>SUM(K12:K13)</f>
        <v>32096138.278947696</v>
      </c>
      <c r="L14" s="276">
        <f>IFERROR(ROUND(K14/F14,5), )</f>
        <v>8.6389999999999995E-2</v>
      </c>
      <c r="M14" s="61"/>
      <c r="N14" s="136">
        <f>I37-N12</f>
        <v>1468.8492261171341</v>
      </c>
    </row>
    <row r="15" spans="2:23" x14ac:dyDescent="0.2">
      <c r="B15" s="12"/>
      <c r="C15" s="13"/>
      <c r="D15" s="92"/>
      <c r="E15" s="88"/>
      <c r="F15" s="14"/>
      <c r="H15" s="92"/>
      <c r="I15" s="89"/>
      <c r="J15" s="89"/>
      <c r="K15" s="89"/>
      <c r="L15" s="133"/>
      <c r="M15" s="39"/>
    </row>
    <row r="16" spans="2:23" x14ac:dyDescent="0.2">
      <c r="B16" s="97" t="s">
        <v>116</v>
      </c>
      <c r="C16" s="134"/>
      <c r="D16" s="58"/>
      <c r="E16" s="92"/>
      <c r="F16" s="54">
        <f>F14</f>
        <v>371517318.81579328</v>
      </c>
      <c r="H16" s="92"/>
      <c r="I16" s="54">
        <f>I14</f>
        <v>403613457.09474093</v>
      </c>
      <c r="J16" s="89"/>
      <c r="K16" s="54">
        <f>K14</f>
        <v>32096138.278947696</v>
      </c>
      <c r="L16" s="276">
        <f>IFERROR(ROUND(K16/F16,5), )</f>
        <v>8.6389999999999995E-2</v>
      </c>
      <c r="M16" s="39"/>
      <c r="N16" s="567">
        <f>'Exh JDT-5 (JDT-Rate Spread)'!F59</f>
        <v>8.0480791636416082E-2</v>
      </c>
      <c r="O16" s="61"/>
      <c r="W16" s="61"/>
    </row>
    <row r="17" spans="1:23" s="93" customFormat="1" x14ac:dyDescent="0.2">
      <c r="B17" s="99"/>
      <c r="C17" s="206"/>
      <c r="D17" s="206"/>
      <c r="E17" s="206"/>
      <c r="F17" s="208"/>
      <c r="G17" s="209"/>
      <c r="H17" s="206"/>
      <c r="I17" s="208"/>
      <c r="J17" s="208"/>
      <c r="K17" s="208"/>
      <c r="L17" s="210"/>
      <c r="M17" s="92"/>
      <c r="N17" s="92"/>
      <c r="O17" s="92"/>
      <c r="W17" s="92"/>
    </row>
    <row r="18" spans="1:23" x14ac:dyDescent="0.2">
      <c r="A18" s="93"/>
      <c r="B18" s="302" t="s">
        <v>26</v>
      </c>
      <c r="C18" s="305"/>
      <c r="D18" s="242"/>
      <c r="E18" s="242"/>
      <c r="F18" s="299"/>
      <c r="G18" s="304"/>
      <c r="H18" s="242"/>
      <c r="I18" s="299"/>
      <c r="J18" s="299"/>
      <c r="K18" s="299"/>
      <c r="L18" s="301"/>
      <c r="M18" s="61"/>
      <c r="N18" s="61"/>
      <c r="O18" s="61"/>
      <c r="W18" s="61"/>
    </row>
    <row r="19" spans="1:23" s="93" customFormat="1" x14ac:dyDescent="0.2">
      <c r="B19" s="83"/>
      <c r="C19" s="92"/>
      <c r="D19" s="92"/>
      <c r="E19" s="92"/>
      <c r="F19" s="109"/>
      <c r="G19" s="84"/>
      <c r="H19" s="92"/>
      <c r="I19" s="109"/>
      <c r="J19" s="109"/>
      <c r="K19" s="109"/>
      <c r="L19" s="156"/>
      <c r="M19" s="154"/>
      <c r="N19" s="169"/>
      <c r="O19" s="92"/>
      <c r="W19" s="92"/>
    </row>
    <row r="20" spans="1:23" s="93" customFormat="1" ht="13.5" customHeight="1" x14ac:dyDescent="0.2">
      <c r="B20" s="79" t="s">
        <v>20</v>
      </c>
      <c r="C20" s="103" t="s">
        <v>21</v>
      </c>
      <c r="D20" s="63">
        <v>0</v>
      </c>
      <c r="E20" s="104">
        <v>11.52</v>
      </c>
      <c r="F20" s="109">
        <f>SUM(+D20*E20)</f>
        <v>0</v>
      </c>
      <c r="G20" s="63"/>
      <c r="H20" s="278">
        <f>H12</f>
        <v>12.5</v>
      </c>
      <c r="I20" s="109">
        <f>SUM(+D20*H20)</f>
        <v>0</v>
      </c>
      <c r="J20" s="109"/>
      <c r="K20" s="109">
        <f>I20-F20</f>
        <v>0</v>
      </c>
      <c r="L20" s="59">
        <f t="shared" ref="L20:L21" si="0">IFERROR(ROUND(K20/F20,5), )</f>
        <v>0</v>
      </c>
      <c r="M20" s="154"/>
      <c r="N20" s="101"/>
      <c r="O20" s="92"/>
      <c r="W20" s="92"/>
    </row>
    <row r="21" spans="1:23" s="93" customFormat="1" ht="13.5" customHeight="1" x14ac:dyDescent="0.2">
      <c r="B21" s="106" t="s">
        <v>22</v>
      </c>
      <c r="C21" s="61" t="s">
        <v>23</v>
      </c>
      <c r="D21" s="63">
        <v>0</v>
      </c>
      <c r="E21" s="88">
        <v>0.41964000000000001</v>
      </c>
      <c r="F21" s="109">
        <f>ROUND(D21*E21,2)</f>
        <v>0</v>
      </c>
      <c r="G21" s="63"/>
      <c r="H21" s="80">
        <f>H13</f>
        <v>0.45612999999999998</v>
      </c>
      <c r="I21" s="109">
        <f>ROUND(D21*H21,2)</f>
        <v>0</v>
      </c>
      <c r="J21" s="109"/>
      <c r="K21" s="109">
        <f>I21-F21</f>
        <v>0</v>
      </c>
      <c r="L21" s="59">
        <f t="shared" si="0"/>
        <v>0</v>
      </c>
      <c r="M21" s="154"/>
      <c r="N21" s="168"/>
      <c r="O21" s="92"/>
      <c r="W21" s="92"/>
    </row>
    <row r="22" spans="1:23" s="93" customFormat="1" ht="13.5" customHeight="1" x14ac:dyDescent="0.2">
      <c r="B22" s="97" t="s">
        <v>27</v>
      </c>
      <c r="C22" s="103"/>
      <c r="D22" s="63"/>
      <c r="E22" s="92"/>
      <c r="F22" s="54">
        <f>SUM(F20:F21)</f>
        <v>0</v>
      </c>
      <c r="G22" s="63"/>
      <c r="H22" s="92"/>
      <c r="I22" s="54">
        <f>SUM(I20:I21)</f>
        <v>0</v>
      </c>
      <c r="J22" s="109"/>
      <c r="K22" s="54">
        <f>SUM(K20:K21)</f>
        <v>0</v>
      </c>
      <c r="L22" s="276">
        <f>IFERROR(ROUND(K22/F22,5), )</f>
        <v>0</v>
      </c>
      <c r="M22" s="92"/>
      <c r="N22" s="168"/>
      <c r="O22" s="92"/>
      <c r="W22" s="92"/>
    </row>
    <row r="23" spans="1:23" s="93" customFormat="1" ht="13.5" customHeight="1" x14ac:dyDescent="0.2">
      <c r="B23" s="15"/>
      <c r="C23" s="16"/>
      <c r="D23" s="92"/>
      <c r="E23" s="92"/>
      <c r="F23" s="17"/>
      <c r="G23" s="63"/>
      <c r="H23" s="92"/>
      <c r="I23" s="109"/>
      <c r="J23" s="109"/>
      <c r="K23" s="109"/>
      <c r="L23" s="156"/>
      <c r="M23" s="92"/>
      <c r="N23" s="419"/>
      <c r="O23" s="92"/>
      <c r="W23" s="92"/>
    </row>
    <row r="24" spans="1:23" s="93" customFormat="1" ht="13.5" customHeight="1" x14ac:dyDescent="0.2">
      <c r="B24" s="79" t="s">
        <v>116</v>
      </c>
      <c r="C24" s="103"/>
      <c r="D24" s="92"/>
      <c r="E24" s="92"/>
      <c r="F24" s="54">
        <f>F22</f>
        <v>0</v>
      </c>
      <c r="G24" s="63"/>
      <c r="H24" s="92"/>
      <c r="I24" s="54">
        <f>I22</f>
        <v>0</v>
      </c>
      <c r="J24" s="109"/>
      <c r="K24" s="54">
        <f>K22</f>
        <v>0</v>
      </c>
      <c r="L24" s="276">
        <f>IFERROR(ROUND(K24/F24,5), )</f>
        <v>0</v>
      </c>
      <c r="M24" s="92"/>
      <c r="N24" s="420"/>
      <c r="O24" s="92"/>
      <c r="W24" s="92"/>
    </row>
    <row r="25" spans="1:23" s="93" customFormat="1" ht="13.5" customHeight="1" x14ac:dyDescent="0.2">
      <c r="B25" s="99"/>
      <c r="C25" s="107"/>
      <c r="D25" s="107"/>
      <c r="E25" s="107"/>
      <c r="F25" s="108"/>
      <c r="G25" s="107"/>
      <c r="H25" s="107"/>
      <c r="I25" s="108"/>
      <c r="J25" s="108"/>
      <c r="K25" s="108"/>
      <c r="L25" s="100"/>
      <c r="M25" s="92"/>
      <c r="N25" s="421"/>
      <c r="O25" s="92"/>
      <c r="W25" s="92"/>
    </row>
    <row r="26" spans="1:23" ht="13.5" customHeight="1" x14ac:dyDescent="0.2">
      <c r="B26" s="302" t="s">
        <v>28</v>
      </c>
      <c r="C26" s="303"/>
      <c r="D26" s="242"/>
      <c r="E26" s="242"/>
      <c r="F26" s="299"/>
      <c r="G26" s="304"/>
      <c r="H26" s="241"/>
      <c r="I26" s="299"/>
      <c r="J26" s="299"/>
      <c r="K26" s="299"/>
      <c r="L26" s="301"/>
      <c r="M26" s="61"/>
      <c r="N26" s="93"/>
      <c r="O26" s="61"/>
      <c r="W26" s="61"/>
    </row>
    <row r="27" spans="1:23" ht="13.5" customHeight="1" x14ac:dyDescent="0.2">
      <c r="B27" s="12"/>
      <c r="C27" s="13"/>
      <c r="D27" s="92"/>
      <c r="E27" s="92"/>
      <c r="F27" s="89"/>
      <c r="G27" s="18"/>
      <c r="H27" s="61"/>
      <c r="I27" s="89"/>
      <c r="J27" s="89"/>
      <c r="K27" s="89"/>
      <c r="L27" s="133"/>
      <c r="M27" s="151"/>
      <c r="N27" s="93"/>
      <c r="O27" s="61"/>
      <c r="W27" s="61"/>
    </row>
    <row r="28" spans="1:23" ht="13.5" customHeight="1" x14ac:dyDescent="0.2">
      <c r="B28" s="83" t="s">
        <v>29</v>
      </c>
      <c r="C28" s="19" t="s">
        <v>30</v>
      </c>
      <c r="D28" s="63">
        <v>431.06668421052632</v>
      </c>
      <c r="E28" s="104">
        <v>11.24</v>
      </c>
      <c r="F28" s="89">
        <f>ROUND(D28*E28,2)</f>
        <v>4845.1899999999996</v>
      </c>
      <c r="H28" s="278">
        <f>ROUND(E28*(1+N16), 2)</f>
        <v>12.14</v>
      </c>
      <c r="I28" s="89">
        <f>ROUND(D28*H28,2)</f>
        <v>5233.1499999999996</v>
      </c>
      <c r="J28" s="89"/>
      <c r="K28" s="89">
        <f>I28-F28</f>
        <v>387.96000000000004</v>
      </c>
      <c r="L28" s="59">
        <f>IFERROR(ROUND(K28/F28,5), )</f>
        <v>8.0070000000000002E-2</v>
      </c>
      <c r="M28" s="20"/>
      <c r="N28" s="93"/>
      <c r="O28" s="61"/>
      <c r="W28" s="61"/>
    </row>
    <row r="29" spans="1:23" ht="13.5" customHeight="1" x14ac:dyDescent="0.2">
      <c r="B29" s="106"/>
      <c r="C29" s="61"/>
      <c r="D29" s="92"/>
      <c r="E29" s="92"/>
      <c r="F29" s="89"/>
      <c r="G29" s="61"/>
      <c r="H29" s="61"/>
      <c r="I29" s="89"/>
      <c r="J29" s="89"/>
      <c r="K29" s="89"/>
      <c r="L29" s="59"/>
      <c r="M29" s="20"/>
      <c r="N29" s="93"/>
      <c r="O29" s="61"/>
      <c r="W29" s="61"/>
    </row>
    <row r="30" spans="1:23" ht="13.5" customHeight="1" x14ac:dyDescent="0.2">
      <c r="B30" s="97" t="s">
        <v>31</v>
      </c>
      <c r="C30" s="134"/>
      <c r="D30" s="63">
        <v>8190.2669999999998</v>
      </c>
      <c r="E30" s="63"/>
      <c r="F30" s="14"/>
      <c r="H30" s="61"/>
      <c r="I30" s="89"/>
      <c r="J30" s="89"/>
      <c r="K30" s="89"/>
      <c r="L30" s="133"/>
      <c r="M30" s="20"/>
      <c r="N30" s="93"/>
      <c r="O30" s="61"/>
      <c r="W30" s="61"/>
    </row>
    <row r="31" spans="1:23" ht="13.5" customHeight="1" x14ac:dyDescent="0.2">
      <c r="B31" s="106"/>
      <c r="C31" s="61"/>
      <c r="D31" s="92"/>
      <c r="E31" s="92"/>
      <c r="F31" s="109"/>
      <c r="G31" s="63"/>
      <c r="H31" s="92"/>
      <c r="I31" s="109"/>
      <c r="J31" s="89"/>
      <c r="K31" s="89"/>
      <c r="L31" s="133"/>
      <c r="M31" s="39"/>
      <c r="N31" s="93"/>
      <c r="O31" s="61"/>
      <c r="W31" s="61"/>
    </row>
    <row r="32" spans="1:23" ht="13.5" customHeight="1" x14ac:dyDescent="0.2">
      <c r="B32" s="106" t="s">
        <v>116</v>
      </c>
      <c r="C32" s="61"/>
      <c r="D32" s="92"/>
      <c r="E32" s="92"/>
      <c r="F32" s="54">
        <f>F28</f>
        <v>4845.1899999999996</v>
      </c>
      <c r="H32" s="61"/>
      <c r="I32" s="54">
        <f>I28</f>
        <v>5233.1499999999996</v>
      </c>
      <c r="J32" s="89"/>
      <c r="K32" s="54">
        <f>K28</f>
        <v>387.96000000000004</v>
      </c>
      <c r="L32" s="276">
        <f>IFERROR(ROUND(K32/F32,5), )</f>
        <v>8.0070000000000002E-2</v>
      </c>
      <c r="M32" s="151"/>
      <c r="N32" s="93"/>
      <c r="O32" s="61"/>
      <c r="W32" s="61"/>
    </row>
    <row r="33" spans="2:23" ht="13.5" customHeight="1" x14ac:dyDescent="0.2">
      <c r="B33" s="21"/>
      <c r="C33" s="22"/>
      <c r="D33" s="107"/>
      <c r="E33" s="107"/>
      <c r="F33" s="23"/>
      <c r="G33" s="24"/>
      <c r="H33" s="144"/>
      <c r="I33" s="175"/>
      <c r="J33" s="175"/>
      <c r="K33" s="144"/>
      <c r="L33" s="163"/>
      <c r="M33" s="168"/>
      <c r="N33" s="93"/>
      <c r="O33" s="61"/>
      <c r="W33" s="61"/>
    </row>
    <row r="34" spans="2:23" ht="13.5" customHeight="1" x14ac:dyDescent="0.2">
      <c r="B34" s="118"/>
      <c r="K34" s="61"/>
      <c r="L34" s="183"/>
      <c r="M34" s="39"/>
      <c r="O34" s="61"/>
      <c r="W34" s="61"/>
    </row>
    <row r="35" spans="2:23" x14ac:dyDescent="0.2">
      <c r="B35" s="112" t="s">
        <v>32</v>
      </c>
      <c r="K35" s="61"/>
      <c r="L35" s="183"/>
      <c r="M35" s="168"/>
      <c r="O35" s="61"/>
      <c r="W35" s="61"/>
    </row>
    <row r="36" spans="2:23" x14ac:dyDescent="0.2">
      <c r="B36" s="118"/>
      <c r="D36" s="129" t="s">
        <v>23</v>
      </c>
      <c r="F36" s="9" t="s">
        <v>11</v>
      </c>
      <c r="I36" s="48" t="s">
        <v>1</v>
      </c>
      <c r="K36" s="48" t="s">
        <v>33</v>
      </c>
      <c r="L36" s="183"/>
      <c r="O36" s="61"/>
      <c r="W36" s="61"/>
    </row>
    <row r="37" spans="2:23" x14ac:dyDescent="0.2">
      <c r="B37" s="118" t="s">
        <v>174</v>
      </c>
      <c r="D37" s="222">
        <f>D13+D21+D30</f>
        <v>620844874.32387137</v>
      </c>
      <c r="F37" s="110">
        <f>F14+F22+F28</f>
        <v>371522164.00579327</v>
      </c>
      <c r="G37" s="110"/>
      <c r="H37" s="110"/>
      <c r="I37" s="110">
        <f>I14+I22+I28</f>
        <v>403618690.2447409</v>
      </c>
      <c r="J37" s="110"/>
      <c r="K37" s="89">
        <f>I37-F37</f>
        <v>32096526.23894763</v>
      </c>
      <c r="L37" s="111">
        <f>K37/F37</f>
        <v>8.6391955443194335E-2</v>
      </c>
    </row>
    <row r="38" spans="2:23" ht="13.5" thickBot="1" x14ac:dyDescent="0.25">
      <c r="B38" s="118"/>
      <c r="D38" s="186"/>
      <c r="F38" s="89"/>
      <c r="I38" s="89"/>
      <c r="K38" s="89"/>
      <c r="L38" s="111"/>
    </row>
    <row r="39" spans="2:23" ht="13.5" thickBot="1" x14ac:dyDescent="0.25">
      <c r="B39" s="199" t="s">
        <v>88</v>
      </c>
      <c r="C39" s="223" t="s">
        <v>97</v>
      </c>
      <c r="D39" s="224">
        <v>373297420.99925822</v>
      </c>
      <c r="E39" s="200" t="s">
        <v>91</v>
      </c>
      <c r="F39" s="216">
        <f>D39-F37</f>
        <v>1775256.9934649467</v>
      </c>
      <c r="K39" s="61"/>
      <c r="L39" s="183"/>
      <c r="N39" s="110"/>
    </row>
    <row r="40" spans="2:23" x14ac:dyDescent="0.2">
      <c r="B40" s="118"/>
      <c r="F40" s="118"/>
      <c r="L40" s="183"/>
    </row>
    <row r="41" spans="2:23" x14ac:dyDescent="0.2">
      <c r="B41" s="572"/>
      <c r="L41" s="183"/>
    </row>
    <row r="42" spans="2:23" x14ac:dyDescent="0.2">
      <c r="B42" s="118"/>
      <c r="C42" s="118"/>
      <c r="D42" s="118"/>
      <c r="F42" s="118"/>
      <c r="G42" s="118"/>
      <c r="I42" s="118"/>
      <c r="J42" s="118"/>
      <c r="L42" s="111"/>
      <c r="M42" s="118"/>
    </row>
    <row r="43" spans="2:23" x14ac:dyDescent="0.2">
      <c r="L43" s="183"/>
    </row>
    <row r="44" spans="2:23" x14ac:dyDescent="0.2">
      <c r="L44" s="183"/>
    </row>
  </sheetData>
  <dataConsolidate/>
  <phoneticPr fontId="11" type="noConversion"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18"/>
  <sheetViews>
    <sheetView zoomScale="90" zoomScaleNormal="90" zoomScaleSheetLayoutView="100" workbookViewId="0">
      <pane ySplit="8" topLeftCell="A63" activePane="bottomLeft" state="frozen"/>
      <selection pane="bottomLeft" activeCell="S30" sqref="S30"/>
    </sheetView>
  </sheetViews>
  <sheetFormatPr defaultColWidth="9.140625" defaultRowHeight="12.75" x14ac:dyDescent="0.2"/>
  <cols>
    <col min="1" max="1" width="2.42578125" style="118" customWidth="1"/>
    <col min="2" max="2" width="31.7109375" style="118" customWidth="1"/>
    <col min="3" max="3" width="9.7109375" style="118" customWidth="1"/>
    <col min="4" max="4" width="14.5703125" style="118" bestFit="1" customWidth="1"/>
    <col min="5" max="5" width="10.42578125" style="118" customWidth="1"/>
    <col min="6" max="6" width="14.7109375" style="181" bestFit="1" customWidth="1"/>
    <col min="7" max="7" width="2.85546875" style="186" customWidth="1"/>
    <col min="8" max="8" width="10.42578125" style="93" customWidth="1"/>
    <col min="9" max="9" width="15" style="181" customWidth="1"/>
    <col min="10" max="10" width="2.85546875" style="181" customWidth="1"/>
    <col min="11" max="11" width="13.28515625" style="181" customWidth="1"/>
    <col min="12" max="12" width="10.42578125" style="111" customWidth="1"/>
    <col min="13" max="13" width="2.85546875" style="38" customWidth="1"/>
    <col min="14" max="14" width="2" style="117" customWidth="1"/>
    <col min="15" max="15" width="14.5703125" style="118" customWidth="1"/>
    <col min="16" max="16" width="15" style="118" bestFit="1" customWidth="1"/>
    <col min="17" max="16384" width="9.140625" style="118"/>
  </cols>
  <sheetData>
    <row r="1" spans="1:15" x14ac:dyDescent="0.2">
      <c r="B1" s="490" t="str">
        <f>'Table of Contents'!$A$1</f>
        <v>Puget Sound Energy</v>
      </c>
    </row>
    <row r="2" spans="1:15" x14ac:dyDescent="0.2">
      <c r="B2" s="264" t="str">
        <f>'Table of Contents'!$A$2</f>
        <v>2022 Gas General Rate Case Filing</v>
      </c>
      <c r="C2" s="25"/>
      <c r="D2" s="25"/>
      <c r="E2" s="25"/>
      <c r="F2" s="26"/>
      <c r="G2" s="27"/>
      <c r="H2" s="28"/>
      <c r="I2" s="26"/>
      <c r="J2" s="26"/>
      <c r="K2" s="26"/>
      <c r="L2" s="29"/>
      <c r="M2" s="30"/>
      <c r="N2" s="30"/>
      <c r="O2" s="25"/>
    </row>
    <row r="3" spans="1:15" x14ac:dyDescent="0.2">
      <c r="B3" s="264" t="str">
        <f>'Table of Contents'!$A$3</f>
        <v>Gas Rate Spread &amp; Design Work Paper</v>
      </c>
      <c r="C3" s="25"/>
      <c r="D3" s="25"/>
      <c r="E3" s="25"/>
      <c r="F3" s="25"/>
      <c r="G3" s="28"/>
      <c r="H3" s="28"/>
      <c r="I3" s="25"/>
      <c r="J3" s="25"/>
      <c r="K3" s="25"/>
      <c r="L3" s="29"/>
      <c r="M3" s="25"/>
      <c r="N3" s="30"/>
      <c r="O3" s="25"/>
    </row>
    <row r="4" spans="1:15" x14ac:dyDescent="0.2">
      <c r="B4" s="264" t="s">
        <v>89</v>
      </c>
      <c r="C4" s="25"/>
      <c r="D4" s="25"/>
      <c r="E4" s="25"/>
      <c r="F4" s="25"/>
      <c r="G4" s="28"/>
      <c r="H4" s="28"/>
      <c r="I4" s="25"/>
      <c r="J4" s="25"/>
      <c r="K4" s="25"/>
      <c r="L4" s="29"/>
      <c r="M4" s="25"/>
      <c r="N4" s="30"/>
      <c r="O4" s="25"/>
    </row>
    <row r="5" spans="1:15" x14ac:dyDescent="0.2">
      <c r="B5" s="264" t="str">
        <f>'Exh JDT-5 (JDT-Rate Spread)'!B5</f>
        <v>Rate Spread and Schedule 141R and 141N Allocation</v>
      </c>
      <c r="C5" s="25"/>
      <c r="D5" s="25"/>
      <c r="E5" s="25"/>
      <c r="F5" s="25"/>
      <c r="G5" s="28"/>
      <c r="H5" s="28"/>
      <c r="I5" s="25"/>
      <c r="J5" s="25"/>
      <c r="K5" s="25"/>
      <c r="L5" s="29"/>
      <c r="M5" s="25"/>
      <c r="N5" s="31"/>
      <c r="O5" s="32"/>
    </row>
    <row r="6" spans="1:15" ht="13.5" customHeight="1" x14ac:dyDescent="0.2">
      <c r="B6" s="33"/>
      <c r="C6" s="33"/>
      <c r="D6" s="33"/>
      <c r="E6" s="33"/>
      <c r="F6" s="34"/>
      <c r="G6" s="35"/>
      <c r="H6" s="36"/>
      <c r="I6" s="34"/>
      <c r="J6" s="34"/>
      <c r="K6" s="34"/>
      <c r="L6" s="37"/>
      <c r="N6" s="39"/>
      <c r="O6" s="61"/>
    </row>
    <row r="7" spans="1:15" ht="12" customHeight="1" x14ac:dyDescent="0.2">
      <c r="B7" s="40"/>
      <c r="C7" s="41"/>
      <c r="D7" s="42" t="s">
        <v>10</v>
      </c>
      <c r="E7" s="44" t="s">
        <v>173</v>
      </c>
      <c r="F7" s="43"/>
      <c r="G7" s="189"/>
      <c r="H7" s="7" t="s">
        <v>96</v>
      </c>
      <c r="I7" s="43"/>
      <c r="J7" s="45"/>
      <c r="K7" s="764" t="s">
        <v>12</v>
      </c>
      <c r="L7" s="765"/>
      <c r="M7" s="46"/>
      <c r="N7" s="31"/>
      <c r="O7" s="327" t="s">
        <v>3</v>
      </c>
    </row>
    <row r="8" spans="1:15" x14ac:dyDescent="0.2">
      <c r="B8" s="47" t="s">
        <v>13</v>
      </c>
      <c r="C8" s="9" t="s">
        <v>14</v>
      </c>
      <c r="D8" s="191" t="s">
        <v>15</v>
      </c>
      <c r="E8" s="9" t="s">
        <v>4</v>
      </c>
      <c r="F8" s="48" t="s">
        <v>16</v>
      </c>
      <c r="G8" s="191"/>
      <c r="H8" s="191" t="s">
        <v>4</v>
      </c>
      <c r="I8" s="48" t="s">
        <v>16</v>
      </c>
      <c r="J8" s="48"/>
      <c r="K8" s="48" t="s">
        <v>17</v>
      </c>
      <c r="L8" s="49" t="s">
        <v>18</v>
      </c>
      <c r="M8" s="135"/>
      <c r="N8" s="50"/>
      <c r="O8" s="328" t="s">
        <v>6</v>
      </c>
    </row>
    <row r="9" spans="1:15" x14ac:dyDescent="0.2">
      <c r="A9" s="61"/>
      <c r="B9" s="169"/>
      <c r="C9" s="169"/>
      <c r="D9" s="169"/>
      <c r="E9" s="169"/>
      <c r="F9" s="51"/>
      <c r="G9" s="189"/>
      <c r="H9" s="189"/>
      <c r="I9" s="51"/>
      <c r="J9" s="51"/>
      <c r="K9" s="51"/>
      <c r="L9" s="52"/>
      <c r="M9" s="135"/>
      <c r="N9" s="50"/>
      <c r="O9" s="61"/>
    </row>
    <row r="10" spans="1:15" x14ac:dyDescent="0.2">
      <c r="B10" s="246" t="s">
        <v>34</v>
      </c>
      <c r="C10" s="298"/>
      <c r="D10" s="241"/>
      <c r="E10" s="241"/>
      <c r="F10" s="299"/>
      <c r="G10" s="300"/>
      <c r="H10" s="242"/>
      <c r="I10" s="299"/>
      <c r="J10" s="299"/>
      <c r="K10" s="299"/>
      <c r="L10" s="301"/>
      <c r="M10" s="57"/>
      <c r="N10" s="39"/>
      <c r="O10" s="61"/>
    </row>
    <row r="11" spans="1:15" x14ac:dyDescent="0.2">
      <c r="B11" s="106"/>
      <c r="C11" s="61"/>
      <c r="D11" s="58"/>
      <c r="E11" s="61"/>
      <c r="F11" s="89"/>
      <c r="G11" s="63"/>
      <c r="H11" s="92"/>
      <c r="I11" s="89"/>
      <c r="J11" s="89"/>
      <c r="K11" s="89"/>
      <c r="L11" s="59"/>
      <c r="M11" s="57"/>
      <c r="N11" s="39"/>
      <c r="O11" s="193" t="s">
        <v>35</v>
      </c>
    </row>
    <row r="12" spans="1:15" x14ac:dyDescent="0.2">
      <c r="B12" s="79" t="s">
        <v>20</v>
      </c>
      <c r="C12" s="103" t="s">
        <v>21</v>
      </c>
      <c r="D12" s="63">
        <v>698499.36081828561</v>
      </c>
      <c r="E12" s="104">
        <v>33.840000000000003</v>
      </c>
      <c r="F12" s="89">
        <f>ROUND(D12*E12,2)</f>
        <v>23637218.370000001</v>
      </c>
      <c r="G12" s="63"/>
      <c r="H12" s="278">
        <v>38.89</v>
      </c>
      <c r="I12" s="109">
        <f>ROUND(D12*H12,2)</f>
        <v>27164640.140000001</v>
      </c>
      <c r="J12" s="89"/>
      <c r="K12" s="89">
        <f>I12-F12</f>
        <v>3527421.7699999996</v>
      </c>
      <c r="L12" s="59">
        <f>IFERROR(ROUND(K12/F12,5), )</f>
        <v>0.14923</v>
      </c>
      <c r="M12" s="57"/>
      <c r="N12" s="39"/>
      <c r="O12" s="60">
        <f>'Exh JDT-5 (JDT-Rate Spread)'!G56</f>
        <v>122144166.5837137</v>
      </c>
    </row>
    <row r="13" spans="1:15" x14ac:dyDescent="0.2">
      <c r="B13" s="106" t="s">
        <v>22</v>
      </c>
      <c r="C13" s="61" t="s">
        <v>23</v>
      </c>
      <c r="D13" s="63">
        <v>222166912.14539161</v>
      </c>
      <c r="E13" s="88">
        <v>0.37956000000000001</v>
      </c>
      <c r="F13" s="89">
        <f>ROUND(D13*E13,2)</f>
        <v>84325673.170000002</v>
      </c>
      <c r="G13" s="63"/>
      <c r="H13" s="80">
        <f>ROUND((O12-I12-I14-I22)/D32,5)</f>
        <v>0.41249000000000002</v>
      </c>
      <c r="I13" s="109">
        <f>ROUND(D13*H13,2)</f>
        <v>91641629.590000004</v>
      </c>
      <c r="J13" s="89"/>
      <c r="K13" s="89">
        <f>I13-F13</f>
        <v>7315956.4200000018</v>
      </c>
      <c r="L13" s="59">
        <f>IFERROR(ROUND(K13/F13,5), )</f>
        <v>8.6760000000000004E-2</v>
      </c>
      <c r="M13" s="57"/>
      <c r="N13" s="39"/>
      <c r="O13" s="62" t="s">
        <v>24</v>
      </c>
    </row>
    <row r="14" spans="1:15" x14ac:dyDescent="0.2">
      <c r="B14" s="106" t="s">
        <v>36</v>
      </c>
      <c r="C14" s="61"/>
      <c r="D14" s="63">
        <f>D13</f>
        <v>222166912.14539161</v>
      </c>
      <c r="E14" s="88">
        <v>1.371E-2</v>
      </c>
      <c r="F14" s="89">
        <f>ROUND(D14*E14,2)</f>
        <v>3045908.37</v>
      </c>
      <c r="G14" s="63"/>
      <c r="H14" s="80">
        <f>ROUND('Exh JDT-5 (JDT-Procmnt Chrg)'!E17,5)</f>
        <v>1.4919999999999999E-2</v>
      </c>
      <c r="I14" s="89">
        <f>ROUND(D14*H14,2)</f>
        <v>3314730.33</v>
      </c>
      <c r="J14" s="64"/>
      <c r="K14" s="89">
        <f>I14-F14</f>
        <v>268821.95999999996</v>
      </c>
      <c r="L14" s="59">
        <f>IFERROR(ROUND(K14/F14,5), )</f>
        <v>8.8260000000000005E-2</v>
      </c>
      <c r="M14" s="135"/>
      <c r="N14" s="135"/>
      <c r="O14" s="66">
        <f>I36-O12</f>
        <v>815.4562863111496</v>
      </c>
    </row>
    <row r="15" spans="1:15" x14ac:dyDescent="0.2">
      <c r="B15" s="97" t="s">
        <v>27</v>
      </c>
      <c r="C15" s="134"/>
      <c r="D15" s="63"/>
      <c r="E15" s="92"/>
      <c r="F15" s="54">
        <f>SUM(F12:F14)</f>
        <v>111008799.91000001</v>
      </c>
      <c r="G15" s="63"/>
      <c r="H15" s="63"/>
      <c r="I15" s="67">
        <f>SUM(I12:I14)</f>
        <v>122121000.06</v>
      </c>
      <c r="J15" s="89"/>
      <c r="K15" s="54">
        <f>SUM(K12:K14)</f>
        <v>11112200.150000002</v>
      </c>
      <c r="L15" s="56">
        <f>IFERROR(ROUND(K15/F15,5), )</f>
        <v>0.10009999999999999</v>
      </c>
      <c r="M15" s="57"/>
      <c r="N15" s="39"/>
      <c r="O15" s="68"/>
    </row>
    <row r="16" spans="1:15" x14ac:dyDescent="0.2">
      <c r="B16" s="106"/>
      <c r="C16" s="61"/>
      <c r="D16" s="92"/>
      <c r="E16" s="92"/>
      <c r="F16" s="89"/>
      <c r="G16" s="63"/>
      <c r="H16" s="63"/>
      <c r="I16" s="109"/>
      <c r="J16" s="89"/>
      <c r="K16" s="89"/>
      <c r="L16" s="59"/>
      <c r="M16" s="57"/>
      <c r="N16" s="39"/>
      <c r="O16" s="568">
        <f>'Exh JDT-5 (JDT-Rate Spread)'!G59</f>
        <v>9.5490287038700439E-2</v>
      </c>
    </row>
    <row r="17" spans="1:15" x14ac:dyDescent="0.2">
      <c r="B17" s="97" t="s">
        <v>116</v>
      </c>
      <c r="C17" s="61"/>
      <c r="D17" s="92"/>
      <c r="E17" s="61"/>
      <c r="F17" s="54">
        <f>F15</f>
        <v>111008799.91000001</v>
      </c>
      <c r="G17" s="70"/>
      <c r="H17" s="192"/>
      <c r="I17" s="67">
        <f>I15</f>
        <v>122121000.06</v>
      </c>
      <c r="J17" s="89"/>
      <c r="K17" s="67">
        <f>K15</f>
        <v>11112200.150000002</v>
      </c>
      <c r="L17" s="56">
        <f>ROUND(K17/F17,5)</f>
        <v>0.10009999999999999</v>
      </c>
      <c r="M17" s="57"/>
      <c r="N17" s="39"/>
      <c r="O17" s="169"/>
    </row>
    <row r="18" spans="1:15" x14ac:dyDescent="0.2">
      <c r="B18" s="71"/>
      <c r="C18" s="72"/>
      <c r="D18" s="107"/>
      <c r="E18" s="73"/>
      <c r="F18" s="74"/>
      <c r="G18" s="107"/>
      <c r="H18" s="75"/>
      <c r="I18" s="108"/>
      <c r="J18" s="76"/>
      <c r="K18" s="76"/>
      <c r="L18" s="77"/>
      <c r="M18" s="57"/>
      <c r="N18" s="39"/>
      <c r="O18" s="61"/>
    </row>
    <row r="19" spans="1:15" x14ac:dyDescent="0.2">
      <c r="A19" s="61"/>
      <c r="B19" s="61"/>
      <c r="C19" s="61"/>
      <c r="D19" s="92"/>
      <c r="E19" s="61"/>
      <c r="F19" s="151"/>
      <c r="G19" s="70"/>
      <c r="H19" s="192"/>
      <c r="I19" s="151"/>
      <c r="J19" s="151"/>
      <c r="K19" s="89"/>
      <c r="L19" s="171"/>
      <c r="M19" s="57"/>
      <c r="N19" s="39"/>
      <c r="O19" s="61"/>
    </row>
    <row r="20" spans="1:15" x14ac:dyDescent="0.2">
      <c r="A20" s="61"/>
      <c r="B20" s="302" t="s">
        <v>37</v>
      </c>
      <c r="C20" s="298"/>
      <c r="D20" s="241"/>
      <c r="E20" s="241"/>
      <c r="F20" s="299"/>
      <c r="G20" s="300"/>
      <c r="H20" s="242"/>
      <c r="I20" s="299"/>
      <c r="J20" s="299"/>
      <c r="K20" s="299"/>
      <c r="L20" s="301"/>
      <c r="M20" s="57"/>
      <c r="N20" s="39"/>
      <c r="O20" s="61"/>
    </row>
    <row r="21" spans="1:15" x14ac:dyDescent="0.2">
      <c r="A21" s="61"/>
      <c r="B21" s="106"/>
      <c r="C21" s="61"/>
      <c r="D21" s="58"/>
      <c r="E21" s="61"/>
      <c r="F21" s="89"/>
      <c r="G21" s="63"/>
      <c r="H21" s="92"/>
      <c r="I21" s="89"/>
      <c r="J21" s="89"/>
      <c r="K21" s="89"/>
      <c r="L21" s="59"/>
      <c r="M21" s="57"/>
      <c r="N21" s="39"/>
      <c r="O21" s="61"/>
    </row>
    <row r="22" spans="1:15" x14ac:dyDescent="0.2">
      <c r="A22" s="61"/>
      <c r="B22" s="79" t="s">
        <v>20</v>
      </c>
      <c r="C22" s="103" t="s">
        <v>21</v>
      </c>
      <c r="D22" s="63">
        <v>24</v>
      </c>
      <c r="E22" s="104">
        <v>364.04</v>
      </c>
      <c r="F22" s="89">
        <f>ROUND(D22*E22,2)</f>
        <v>8736.9599999999991</v>
      </c>
      <c r="G22" s="63"/>
      <c r="H22" s="278">
        <f>E22</f>
        <v>364.04</v>
      </c>
      <c r="I22" s="109">
        <f>ROUND(D22*H22,2)</f>
        <v>8736.9599999999991</v>
      </c>
      <c r="J22" s="89"/>
      <c r="K22" s="89">
        <f>I22-F22</f>
        <v>0</v>
      </c>
      <c r="L22" s="59">
        <f>IFERROR(ROUND(K22/F22,5), )</f>
        <v>0</v>
      </c>
      <c r="M22" s="57"/>
      <c r="N22" s="39"/>
      <c r="O22" s="61"/>
    </row>
    <row r="23" spans="1:15" x14ac:dyDescent="0.2">
      <c r="A23" s="61"/>
      <c r="B23" s="106" t="s">
        <v>22</v>
      </c>
      <c r="C23" s="61" t="s">
        <v>23</v>
      </c>
      <c r="D23" s="63">
        <v>36958.529999999992</v>
      </c>
      <c r="E23" s="88">
        <v>0.37956000000000001</v>
      </c>
      <c r="F23" s="89">
        <f>ROUND(D23*E23,2)</f>
        <v>14027.98</v>
      </c>
      <c r="G23" s="63"/>
      <c r="H23" s="80">
        <f>H13</f>
        <v>0.41249000000000002</v>
      </c>
      <c r="I23" s="109">
        <f>ROUND(D23*H23,2)</f>
        <v>15245.02</v>
      </c>
      <c r="J23" s="89"/>
      <c r="K23" s="89">
        <f>I23-F23</f>
        <v>1217.0400000000009</v>
      </c>
      <c r="L23" s="59">
        <f>IFERROR(ROUND(K23/F23,5), )</f>
        <v>8.6760000000000004E-2</v>
      </c>
      <c r="M23" s="57"/>
      <c r="N23" s="39"/>
      <c r="O23" s="61"/>
    </row>
    <row r="24" spans="1:15" x14ac:dyDescent="0.2">
      <c r="A24" s="61"/>
      <c r="B24" s="97" t="s">
        <v>27</v>
      </c>
      <c r="C24" s="134"/>
      <c r="D24" s="63"/>
      <c r="E24" s="92"/>
      <c r="F24" s="54">
        <f>SUM(F22:F23)</f>
        <v>22764.94</v>
      </c>
      <c r="G24" s="63"/>
      <c r="H24" s="63"/>
      <c r="I24" s="67">
        <f>SUM(I22:I23)</f>
        <v>23981.98</v>
      </c>
      <c r="J24" s="89"/>
      <c r="K24" s="67">
        <f>SUM(K22:K23)</f>
        <v>1217.0400000000009</v>
      </c>
      <c r="L24" s="56">
        <f>IFERROR(ROUND(K24/F24,5), )</f>
        <v>5.3460000000000001E-2</v>
      </c>
      <c r="M24" s="57"/>
      <c r="N24" s="39"/>
      <c r="O24" s="61"/>
    </row>
    <row r="25" spans="1:15" x14ac:dyDescent="0.2">
      <c r="A25" s="61"/>
      <c r="B25" s="106"/>
      <c r="C25" s="61"/>
      <c r="D25" s="61"/>
      <c r="E25" s="61"/>
      <c r="F25" s="98"/>
      <c r="G25" s="63"/>
      <c r="H25" s="92"/>
      <c r="I25" s="98"/>
      <c r="J25" s="98"/>
      <c r="K25" s="98"/>
      <c r="L25" s="59"/>
      <c r="M25" s="57"/>
      <c r="N25" s="39"/>
      <c r="O25" s="61"/>
    </row>
    <row r="26" spans="1:15" x14ac:dyDescent="0.2">
      <c r="A26" s="61"/>
      <c r="B26" s="97" t="s">
        <v>116</v>
      </c>
      <c r="C26" s="61"/>
      <c r="D26" s="92"/>
      <c r="E26" s="61"/>
      <c r="F26" s="54">
        <f>F24</f>
        <v>22764.94</v>
      </c>
      <c r="G26" s="70"/>
      <c r="H26" s="192"/>
      <c r="I26" s="54">
        <f>I24</f>
        <v>23981.98</v>
      </c>
      <c r="J26" s="89"/>
      <c r="K26" s="54">
        <f>K24+'Exh JDT-5 (JDT-Balancing)'!L11</f>
        <v>1223.6925354000009</v>
      </c>
      <c r="L26" s="56">
        <f>ROUND(K26/F26,5)</f>
        <v>5.3749999999999999E-2</v>
      </c>
      <c r="M26" s="57"/>
      <c r="N26" s="39"/>
      <c r="O26" s="61"/>
    </row>
    <row r="27" spans="1:15" x14ac:dyDescent="0.2">
      <c r="A27" s="61"/>
      <c r="B27" s="71"/>
      <c r="C27" s="72"/>
      <c r="D27" s="107"/>
      <c r="E27" s="73"/>
      <c r="F27" s="74"/>
      <c r="G27" s="107"/>
      <c r="H27" s="75"/>
      <c r="I27" s="108"/>
      <c r="J27" s="76"/>
      <c r="K27" s="76"/>
      <c r="L27" s="77"/>
      <c r="M27" s="57"/>
      <c r="N27" s="39"/>
      <c r="O27" s="61"/>
    </row>
    <row r="28" spans="1:15" x14ac:dyDescent="0.2">
      <c r="A28" s="61"/>
      <c r="B28" s="61"/>
      <c r="C28" s="61"/>
      <c r="D28" s="92"/>
      <c r="E28" s="61"/>
      <c r="F28" s="151"/>
      <c r="G28" s="70"/>
      <c r="H28" s="192"/>
      <c r="I28" s="151"/>
      <c r="J28" s="151"/>
      <c r="K28" s="89"/>
      <c r="L28" s="171"/>
      <c r="M28" s="57"/>
      <c r="N28" s="39"/>
      <c r="O28" s="61"/>
    </row>
    <row r="29" spans="1:15" x14ac:dyDescent="0.2">
      <c r="A29" s="61"/>
      <c r="B29" s="246" t="s">
        <v>39</v>
      </c>
      <c r="C29" s="298"/>
      <c r="D29" s="241"/>
      <c r="E29" s="241"/>
      <c r="F29" s="299"/>
      <c r="G29" s="300"/>
      <c r="H29" s="242"/>
      <c r="I29" s="299"/>
      <c r="J29" s="299"/>
      <c r="K29" s="299"/>
      <c r="L29" s="301"/>
      <c r="M29" s="57"/>
      <c r="N29" s="39"/>
      <c r="O29" s="61"/>
    </row>
    <row r="30" spans="1:15" x14ac:dyDescent="0.2">
      <c r="A30" s="61"/>
      <c r="B30" s="106"/>
      <c r="C30" s="61"/>
      <c r="D30" s="58"/>
      <c r="E30" s="61"/>
      <c r="F30" s="89"/>
      <c r="G30" s="63"/>
      <c r="H30" s="92"/>
      <c r="I30" s="89"/>
      <c r="J30" s="89"/>
      <c r="K30" s="89"/>
      <c r="L30" s="59"/>
      <c r="M30" s="57"/>
      <c r="N30" s="39"/>
      <c r="O30" s="61"/>
    </row>
    <row r="31" spans="1:15" x14ac:dyDescent="0.2">
      <c r="A31" s="61"/>
      <c r="B31" s="79" t="s">
        <v>20</v>
      </c>
      <c r="C31" s="103" t="s">
        <v>21</v>
      </c>
      <c r="D31" s="63">
        <f>D12+D22</f>
        <v>698523.36081828561</v>
      </c>
      <c r="E31" s="104"/>
      <c r="F31" s="89">
        <f>F12+F22</f>
        <v>23645955.330000002</v>
      </c>
      <c r="G31" s="63"/>
      <c r="H31" s="81"/>
      <c r="I31" s="89">
        <f>I12+I22</f>
        <v>27173377.100000001</v>
      </c>
      <c r="J31" s="89"/>
      <c r="K31" s="89">
        <f>I31-F31</f>
        <v>3527421.7699999996</v>
      </c>
      <c r="L31" s="59">
        <f>IFERROR(ROUND(K31/F31,5), )</f>
        <v>0.14918000000000001</v>
      </c>
      <c r="M31" s="57"/>
      <c r="N31" s="39"/>
      <c r="O31" s="61"/>
    </row>
    <row r="32" spans="1:15" x14ac:dyDescent="0.2">
      <c r="A32" s="61"/>
      <c r="B32" s="106" t="s">
        <v>22</v>
      </c>
      <c r="C32" s="61" t="s">
        <v>23</v>
      </c>
      <c r="D32" s="63">
        <f>D13+D23</f>
        <v>222203870.67539161</v>
      </c>
      <c r="E32" s="88"/>
      <c r="F32" s="89">
        <f>F13+F23</f>
        <v>84339701.150000006</v>
      </c>
      <c r="G32" s="63"/>
      <c r="H32" s="82"/>
      <c r="I32" s="89">
        <f>I13+I23</f>
        <v>91656874.609999999</v>
      </c>
      <c r="J32" s="89"/>
      <c r="K32" s="89">
        <f>I32-F32</f>
        <v>7317173.4599999934</v>
      </c>
      <c r="L32" s="59">
        <f>IFERROR(ROUND(K32/F32,5), )</f>
        <v>8.6760000000000004E-2</v>
      </c>
      <c r="M32" s="57"/>
      <c r="N32" s="39"/>
      <c r="O32" s="61"/>
    </row>
    <row r="33" spans="1:15" x14ac:dyDescent="0.2">
      <c r="A33" s="61"/>
      <c r="B33" s="106" t="s">
        <v>36</v>
      </c>
      <c r="C33" s="61" t="s">
        <v>23</v>
      </c>
      <c r="D33" s="63">
        <f>D14</f>
        <v>222166912.14539161</v>
      </c>
      <c r="E33" s="88"/>
      <c r="F33" s="89">
        <f>F14</f>
        <v>3045908.37</v>
      </c>
      <c r="G33" s="63"/>
      <c r="H33" s="82"/>
      <c r="I33" s="89">
        <f>I14</f>
        <v>3314730.33</v>
      </c>
      <c r="J33" s="89"/>
      <c r="K33" s="89">
        <f>I33-F33</f>
        <v>268821.95999999996</v>
      </c>
      <c r="L33" s="59">
        <f>IFERROR(ROUND(K33/F33,5), )</f>
        <v>8.8260000000000005E-2</v>
      </c>
      <c r="M33" s="57"/>
      <c r="N33" s="39"/>
      <c r="O33" s="61"/>
    </row>
    <row r="34" spans="1:15" x14ac:dyDescent="0.2">
      <c r="A34" s="61"/>
      <c r="B34" s="97" t="s">
        <v>27</v>
      </c>
      <c r="C34" s="134"/>
      <c r="D34" s="63"/>
      <c r="E34" s="92"/>
      <c r="F34" s="54">
        <f>SUM(F31:F33)</f>
        <v>111031564.85000001</v>
      </c>
      <c r="G34" s="63"/>
      <c r="H34" s="63"/>
      <c r="I34" s="54">
        <f>SUM(I31:I33)</f>
        <v>122144982.04000001</v>
      </c>
      <c r="J34" s="89"/>
      <c r="K34" s="54">
        <f>SUM(K31:K33)</f>
        <v>11113417.189999994</v>
      </c>
      <c r="L34" s="56">
        <f>IFERROR(ROUND(K34/F34,5), )</f>
        <v>0.10009</v>
      </c>
      <c r="M34" s="57"/>
      <c r="N34" s="39"/>
      <c r="O34" s="61"/>
    </row>
    <row r="35" spans="1:15" x14ac:dyDescent="0.2">
      <c r="A35" s="61"/>
      <c r="B35" s="97"/>
      <c r="C35" s="134"/>
      <c r="D35" s="63"/>
      <c r="E35" s="92"/>
      <c r="F35" s="89"/>
      <c r="G35" s="63"/>
      <c r="H35" s="63"/>
      <c r="I35" s="89"/>
      <c r="J35" s="89"/>
      <c r="K35" s="89"/>
      <c r="L35" s="59"/>
      <c r="M35" s="57"/>
      <c r="N35" s="39"/>
      <c r="O35" s="61"/>
    </row>
    <row r="36" spans="1:15" x14ac:dyDescent="0.2">
      <c r="A36" s="61"/>
      <c r="B36" s="97" t="s">
        <v>116</v>
      </c>
      <c r="C36" s="61"/>
      <c r="D36" s="92"/>
      <c r="E36" s="61"/>
      <c r="F36" s="54">
        <f>F34</f>
        <v>111031564.85000001</v>
      </c>
      <c r="G36" s="70"/>
      <c r="H36" s="192"/>
      <c r="I36" s="54">
        <f>I34</f>
        <v>122144982.04000001</v>
      </c>
      <c r="J36" s="89"/>
      <c r="K36" s="54">
        <f>K34</f>
        <v>11113417.189999994</v>
      </c>
      <c r="L36" s="56">
        <f>ROUND(K36/F36,5)</f>
        <v>0.10009</v>
      </c>
      <c r="M36" s="57"/>
      <c r="N36" s="39"/>
      <c r="O36" s="61"/>
    </row>
    <row r="37" spans="1:15" x14ac:dyDescent="0.2">
      <c r="A37" s="61"/>
      <c r="B37" s="71"/>
      <c r="C37" s="72"/>
      <c r="D37" s="107"/>
      <c r="E37" s="73"/>
      <c r="F37" s="74"/>
      <c r="G37" s="107"/>
      <c r="H37" s="75"/>
      <c r="I37" s="108"/>
      <c r="J37" s="76"/>
      <c r="K37" s="76"/>
      <c r="L37" s="77"/>
      <c r="M37" s="57"/>
      <c r="N37" s="39"/>
      <c r="O37" s="61"/>
    </row>
    <row r="38" spans="1:15" x14ac:dyDescent="0.2">
      <c r="A38" s="61"/>
      <c r="B38" s="61"/>
      <c r="C38" s="61"/>
      <c r="D38" s="92"/>
      <c r="E38" s="61"/>
      <c r="F38" s="151"/>
      <c r="G38" s="70"/>
      <c r="H38" s="192"/>
      <c r="I38" s="151"/>
      <c r="J38" s="151"/>
      <c r="K38" s="89"/>
      <c r="L38" s="171"/>
      <c r="M38" s="57"/>
      <c r="N38" s="39"/>
      <c r="O38" s="61"/>
    </row>
    <row r="39" spans="1:15" x14ac:dyDescent="0.2">
      <c r="B39" s="302" t="s">
        <v>40</v>
      </c>
      <c r="C39" s="298"/>
      <c r="D39" s="242"/>
      <c r="E39" s="241"/>
      <c r="F39" s="299"/>
      <c r="G39" s="242"/>
      <c r="H39" s="242"/>
      <c r="I39" s="299"/>
      <c r="J39" s="299"/>
      <c r="K39" s="299"/>
      <c r="L39" s="301"/>
      <c r="M39" s="57"/>
      <c r="N39" s="39"/>
    </row>
    <row r="40" spans="1:15" x14ac:dyDescent="0.2">
      <c r="B40" s="83"/>
      <c r="C40" s="61"/>
      <c r="D40" s="92"/>
      <c r="E40" s="92"/>
      <c r="F40" s="89"/>
      <c r="G40" s="84"/>
      <c r="H40" s="92"/>
      <c r="I40" s="89"/>
      <c r="J40" s="89"/>
      <c r="K40" s="89"/>
      <c r="L40" s="59"/>
      <c r="M40" s="57"/>
      <c r="N40" s="39"/>
      <c r="O40" s="194" t="s">
        <v>41</v>
      </c>
    </row>
    <row r="41" spans="1:15" x14ac:dyDescent="0.2">
      <c r="B41" s="79" t="s">
        <v>20</v>
      </c>
      <c r="C41" s="103" t="s">
        <v>21</v>
      </c>
      <c r="D41" s="63">
        <v>14991.599999999999</v>
      </c>
      <c r="E41" s="104">
        <v>113.4</v>
      </c>
      <c r="F41" s="89">
        <f>ROUND(D41*E41,2)</f>
        <v>1700047.44</v>
      </c>
      <c r="G41" s="63"/>
      <c r="H41" s="278">
        <v>130.33000000000001</v>
      </c>
      <c r="I41" s="89">
        <f>ROUND(D41*H41,2)</f>
        <v>1953855.23</v>
      </c>
      <c r="J41" s="89"/>
      <c r="K41" s="89">
        <f>I41-F41</f>
        <v>253807.79000000004</v>
      </c>
      <c r="L41" s="133">
        <f t="shared" ref="L41:L43" si="0">IFERROR(ROUND(K41/F41,5), )</f>
        <v>0.14929000000000001</v>
      </c>
      <c r="M41" s="57"/>
      <c r="N41" s="39"/>
      <c r="O41" s="60">
        <f>'Exh JDT-5 (JDT-Rate Spread)'!H56</f>
        <v>22261666.953032859</v>
      </c>
    </row>
    <row r="42" spans="1:15" x14ac:dyDescent="0.2">
      <c r="B42" s="83" t="s">
        <v>42</v>
      </c>
      <c r="C42" s="103" t="s">
        <v>21</v>
      </c>
      <c r="D42" s="63">
        <f>D41</f>
        <v>14991.599999999999</v>
      </c>
      <c r="E42" s="104">
        <v>123.82</v>
      </c>
      <c r="F42" s="151">
        <f>D42*E42</f>
        <v>1856259.9119999998</v>
      </c>
      <c r="G42" s="63"/>
      <c r="H42" s="278">
        <f>ROUND(H46*900,2)</f>
        <v>126.28</v>
      </c>
      <c r="I42" s="151">
        <f>ROUND(D42*H42,2)</f>
        <v>1893139.25</v>
      </c>
      <c r="J42" s="151"/>
      <c r="K42" s="89">
        <f>I42-F42</f>
        <v>36879.338000000222</v>
      </c>
      <c r="L42" s="133">
        <f t="shared" si="0"/>
        <v>1.9869999999999999E-2</v>
      </c>
      <c r="M42" s="57"/>
      <c r="N42" s="50"/>
      <c r="O42" s="85" t="s">
        <v>24</v>
      </c>
    </row>
    <row r="43" spans="1:15" x14ac:dyDescent="0.2">
      <c r="B43" s="83" t="s">
        <v>43</v>
      </c>
      <c r="C43" s="61" t="s">
        <v>44</v>
      </c>
      <c r="D43" s="63">
        <v>4828804.7110000001</v>
      </c>
      <c r="E43" s="104">
        <v>1.25</v>
      </c>
      <c r="F43" s="151">
        <f>ROUND(D43*E43,2)</f>
        <v>6036005.8899999997</v>
      </c>
      <c r="G43" s="63"/>
      <c r="H43" s="278">
        <f>ROUND(E43*(1+$O$45),2)</f>
        <v>1.37</v>
      </c>
      <c r="I43" s="151">
        <f>ROUND(D43*H43,2)</f>
        <v>6615462.4500000002</v>
      </c>
      <c r="J43" s="151"/>
      <c r="K43" s="89">
        <f>I43-F43</f>
        <v>579456.56000000052</v>
      </c>
      <c r="L43" s="133">
        <f t="shared" si="0"/>
        <v>9.6000000000000002E-2</v>
      </c>
      <c r="M43" s="57"/>
      <c r="N43" s="50"/>
      <c r="O43" s="66">
        <f>I86-O41</f>
        <v>130.10030537843704</v>
      </c>
    </row>
    <row r="44" spans="1:15" x14ac:dyDescent="0.2">
      <c r="B44" s="83"/>
      <c r="C44" s="61"/>
      <c r="D44" s="63"/>
      <c r="E44" s="104"/>
      <c r="F44" s="64"/>
      <c r="G44" s="63"/>
      <c r="H44" s="104"/>
      <c r="I44" s="151"/>
      <c r="J44" s="151"/>
      <c r="K44" s="168"/>
      <c r="L44" s="65"/>
      <c r="M44" s="57"/>
      <c r="N44" s="50"/>
      <c r="O44" s="86"/>
    </row>
    <row r="45" spans="1:15" x14ac:dyDescent="0.2">
      <c r="B45" s="83" t="s">
        <v>45</v>
      </c>
      <c r="C45" s="61"/>
      <c r="D45" s="63"/>
      <c r="E45" s="104"/>
      <c r="F45" s="151"/>
      <c r="G45" s="63"/>
      <c r="H45" s="104"/>
      <c r="I45" s="151"/>
      <c r="J45" s="151"/>
      <c r="K45" s="168"/>
      <c r="L45" s="65"/>
      <c r="M45" s="57"/>
      <c r="N45" s="50"/>
      <c r="O45" s="568">
        <f>'Exh JDT-5 (JDT-Rate Spread)'!H59</f>
        <v>9.5490287038700439E-2</v>
      </c>
    </row>
    <row r="46" spans="1:15" x14ac:dyDescent="0.2">
      <c r="B46" s="83" t="s">
        <v>46</v>
      </c>
      <c r="C46" s="61" t="s">
        <v>23</v>
      </c>
      <c r="D46" s="63">
        <v>12213411.474000001</v>
      </c>
      <c r="E46" s="88">
        <v>0.13758000000000001</v>
      </c>
      <c r="F46" s="89" t="s">
        <v>47</v>
      </c>
      <c r="G46" s="63"/>
      <c r="H46" s="80">
        <f>H47</f>
        <v>0.14030999999999999</v>
      </c>
      <c r="I46" s="89" t="s">
        <v>47</v>
      </c>
      <c r="J46" s="89"/>
      <c r="K46" s="89"/>
      <c r="L46" s="59"/>
      <c r="M46" s="57"/>
      <c r="N46" s="39"/>
    </row>
    <row r="47" spans="1:15" x14ac:dyDescent="0.2">
      <c r="B47" s="83" t="s">
        <v>48</v>
      </c>
      <c r="C47" s="61" t="s">
        <v>23</v>
      </c>
      <c r="D47" s="63">
        <v>27469287.989699997</v>
      </c>
      <c r="E47" s="88">
        <v>0.13758000000000001</v>
      </c>
      <c r="F47" s="89">
        <f>ROUND(D47*E47,2)</f>
        <v>3779224.64</v>
      </c>
      <c r="G47" s="63"/>
      <c r="H47" s="80">
        <v>0.14030999999999999</v>
      </c>
      <c r="I47" s="89">
        <f>ROUND(D47*H47,2)</f>
        <v>3854215.8</v>
      </c>
      <c r="J47" s="89"/>
      <c r="K47" s="89">
        <f>I47-F47</f>
        <v>74991.159999999683</v>
      </c>
      <c r="L47" s="133">
        <f t="shared" ref="L47:L48" si="1">IFERROR(ROUND(K47/F47,5), )</f>
        <v>1.984E-2</v>
      </c>
      <c r="M47" s="57"/>
      <c r="N47" s="39"/>
    </row>
    <row r="48" spans="1:15" x14ac:dyDescent="0.2">
      <c r="B48" s="83" t="s">
        <v>49</v>
      </c>
      <c r="C48" s="61" t="s">
        <v>23</v>
      </c>
      <c r="D48" s="63">
        <v>22835291.693248168</v>
      </c>
      <c r="E48" s="88">
        <v>0.11074000000000001</v>
      </c>
      <c r="F48" s="89">
        <f>ROUND(D48*E48,2)</f>
        <v>2528780.2000000002</v>
      </c>
      <c r="G48" s="63"/>
      <c r="H48" s="80">
        <f>ROUND(E48*(1+$O$45),5)</f>
        <v>0.12131</v>
      </c>
      <c r="I48" s="89">
        <f>ROUND(D48*H48,2)</f>
        <v>2770149.24</v>
      </c>
      <c r="J48" s="89"/>
      <c r="K48" s="89">
        <f>I48-F48</f>
        <v>241369.04000000004</v>
      </c>
      <c r="L48" s="133">
        <f t="shared" si="1"/>
        <v>9.5449999999999993E-2</v>
      </c>
      <c r="M48" s="57"/>
      <c r="N48" s="39"/>
      <c r="O48" s="109"/>
    </row>
    <row r="49" spans="1:16" s="93" customFormat="1" x14ac:dyDescent="0.2">
      <c r="A49" s="92"/>
      <c r="B49" s="79" t="s">
        <v>50</v>
      </c>
      <c r="C49" s="134"/>
      <c r="D49" s="170">
        <f>SUM(D46:D48)</f>
        <v>62517991.156948164</v>
      </c>
      <c r="E49" s="58"/>
      <c r="F49" s="151"/>
      <c r="G49" s="63"/>
      <c r="H49" s="63"/>
      <c r="I49" s="92"/>
      <c r="J49" s="92"/>
      <c r="K49" s="92"/>
      <c r="L49" s="90"/>
      <c r="M49" s="143"/>
      <c r="N49" s="91"/>
      <c r="O49" s="92"/>
    </row>
    <row r="50" spans="1:16" s="93" customFormat="1" x14ac:dyDescent="0.2">
      <c r="A50" s="92"/>
      <c r="B50" s="79" t="s">
        <v>36</v>
      </c>
      <c r="C50" s="61" t="s">
        <v>23</v>
      </c>
      <c r="D50" s="63">
        <f>D49</f>
        <v>62517991.156948164</v>
      </c>
      <c r="E50" s="253">
        <v>1.005E-2</v>
      </c>
      <c r="F50" s="151">
        <f>D50*E50</f>
        <v>628305.81112732901</v>
      </c>
      <c r="G50" s="63"/>
      <c r="H50" s="80">
        <f>ROUND('Exh JDT-5 (JDT-Procmnt Chrg)'!F17,5)</f>
        <v>1.119E-2</v>
      </c>
      <c r="I50" s="151">
        <f>D50*H50</f>
        <v>699576.32104624994</v>
      </c>
      <c r="J50" s="151"/>
      <c r="K50" s="89">
        <f>I50-F50</f>
        <v>71270.509918920929</v>
      </c>
      <c r="L50" s="133">
        <f>IFERROR(ROUND(K50/F50,5), )</f>
        <v>0.11343</v>
      </c>
      <c r="M50" s="143"/>
      <c r="N50" s="91"/>
      <c r="O50" s="92"/>
      <c r="P50" s="330"/>
    </row>
    <row r="51" spans="1:16" x14ac:dyDescent="0.2">
      <c r="B51" s="97" t="s">
        <v>27</v>
      </c>
      <c r="C51" s="134"/>
      <c r="D51" s="170"/>
      <c r="E51" s="58"/>
      <c r="F51" s="94">
        <f>SUM(F41:F50)</f>
        <v>16528623.893127328</v>
      </c>
      <c r="G51" s="63"/>
      <c r="H51" s="63"/>
      <c r="I51" s="94">
        <f>SUM(I41:I43,I47:I50)</f>
        <v>17786398.291046247</v>
      </c>
      <c r="J51" s="151"/>
      <c r="K51" s="94">
        <f>SUM(K41:K50)</f>
        <v>1257774.3979189214</v>
      </c>
      <c r="L51" s="56">
        <f>ROUND(K51/F51,5)</f>
        <v>7.6100000000000001E-2</v>
      </c>
      <c r="M51" s="57"/>
      <c r="N51" s="39"/>
      <c r="O51" s="139"/>
    </row>
    <row r="52" spans="1:16" x14ac:dyDescent="0.2">
      <c r="B52" s="79"/>
      <c r="C52" s="134"/>
      <c r="D52" s="63"/>
      <c r="E52" s="61"/>
      <c r="F52" s="89"/>
      <c r="G52" s="63"/>
      <c r="H52" s="63"/>
      <c r="I52" s="151"/>
      <c r="J52" s="151"/>
      <c r="K52" s="89"/>
      <c r="L52" s="59"/>
      <c r="M52" s="57"/>
      <c r="N52" s="39"/>
      <c r="O52" s="96"/>
    </row>
    <row r="53" spans="1:16" x14ac:dyDescent="0.2">
      <c r="B53" s="79" t="s">
        <v>116</v>
      </c>
      <c r="C53" s="134"/>
      <c r="D53" s="92"/>
      <c r="E53" s="63"/>
      <c r="F53" s="94">
        <f>+F51</f>
        <v>16528623.893127328</v>
      </c>
      <c r="G53" s="63"/>
      <c r="H53" s="63"/>
      <c r="I53" s="94">
        <f>+I51</f>
        <v>17786398.291046247</v>
      </c>
      <c r="J53" s="151"/>
      <c r="K53" s="54">
        <f>K51</f>
        <v>1257774.3979189214</v>
      </c>
      <c r="L53" s="56">
        <f>ROUND(K53/F53,5)</f>
        <v>7.6100000000000001E-2</v>
      </c>
      <c r="M53" s="57"/>
      <c r="N53" s="39"/>
      <c r="O53" s="92"/>
    </row>
    <row r="54" spans="1:16" s="93" customFormat="1" x14ac:dyDescent="0.2">
      <c r="B54" s="99"/>
      <c r="C54" s="107"/>
      <c r="D54" s="107"/>
      <c r="E54" s="107"/>
      <c r="F54" s="108"/>
      <c r="G54" s="107"/>
      <c r="H54" s="107"/>
      <c r="I54" s="74"/>
      <c r="J54" s="74"/>
      <c r="K54" s="108"/>
      <c r="L54" s="100"/>
      <c r="M54" s="143"/>
      <c r="N54" s="91"/>
      <c r="O54" s="92"/>
    </row>
    <row r="55" spans="1:16" s="93" customFormat="1" x14ac:dyDescent="0.2">
      <c r="A55" s="92"/>
      <c r="B55" s="92"/>
      <c r="C55" s="92"/>
      <c r="D55" s="92"/>
      <c r="E55" s="92"/>
      <c r="F55" s="109"/>
      <c r="G55" s="92"/>
      <c r="H55" s="92"/>
      <c r="I55" s="101"/>
      <c r="J55" s="101"/>
      <c r="K55" s="109"/>
      <c r="L55" s="102"/>
      <c r="M55" s="143"/>
      <c r="N55" s="91"/>
      <c r="O55" s="92"/>
    </row>
    <row r="56" spans="1:16" s="93" customFormat="1" x14ac:dyDescent="0.2">
      <c r="A56" s="92"/>
      <c r="B56" s="302" t="s">
        <v>51</v>
      </c>
      <c r="C56" s="298"/>
      <c r="D56" s="242"/>
      <c r="E56" s="241"/>
      <c r="F56" s="299"/>
      <c r="G56" s="242"/>
      <c r="H56" s="242"/>
      <c r="I56" s="299"/>
      <c r="J56" s="299"/>
      <c r="K56" s="299"/>
      <c r="L56" s="301"/>
      <c r="M56" s="143"/>
      <c r="N56" s="91"/>
      <c r="O56" s="92"/>
    </row>
    <row r="57" spans="1:16" s="93" customFormat="1" x14ac:dyDescent="0.2">
      <c r="A57" s="92"/>
      <c r="B57" s="83"/>
      <c r="C57" s="61"/>
      <c r="D57" s="92"/>
      <c r="E57" s="92"/>
      <c r="F57" s="89"/>
      <c r="G57" s="84"/>
      <c r="H57" s="92"/>
      <c r="I57" s="89"/>
      <c r="J57" s="89"/>
      <c r="K57" s="89"/>
      <c r="L57" s="59"/>
      <c r="M57" s="143"/>
      <c r="N57" s="91"/>
      <c r="O57" s="92"/>
    </row>
    <row r="58" spans="1:16" s="93" customFormat="1" x14ac:dyDescent="0.2">
      <c r="A58" s="92"/>
      <c r="B58" s="79" t="s">
        <v>20</v>
      </c>
      <c r="C58" s="103" t="s">
        <v>21</v>
      </c>
      <c r="D58" s="63">
        <v>1040</v>
      </c>
      <c r="E58" s="104">
        <v>422.79</v>
      </c>
      <c r="F58" s="89">
        <f>ROUND(D58*E58,2)</f>
        <v>439701.6</v>
      </c>
      <c r="G58" s="63"/>
      <c r="H58" s="278">
        <f>E58</f>
        <v>422.79</v>
      </c>
      <c r="I58" s="89">
        <f>ROUND(D58*H58,2)</f>
        <v>439701.6</v>
      </c>
      <c r="J58" s="89"/>
      <c r="K58" s="89">
        <f>I58-F58</f>
        <v>0</v>
      </c>
      <c r="L58" s="133">
        <f t="shared" ref="L58:L60" si="2">IFERROR(ROUND(K58/F58,5), )</f>
        <v>0</v>
      </c>
      <c r="M58" s="143"/>
      <c r="N58" s="91"/>
      <c r="O58" s="103"/>
    </row>
    <row r="59" spans="1:16" s="93" customFormat="1" x14ac:dyDescent="0.2">
      <c r="A59" s="92"/>
      <c r="B59" s="83" t="s">
        <v>42</v>
      </c>
      <c r="C59" s="103" t="s">
        <v>21</v>
      </c>
      <c r="D59" s="63">
        <f>D58</f>
        <v>1040</v>
      </c>
      <c r="E59" s="104">
        <v>123.82</v>
      </c>
      <c r="F59" s="151">
        <f>D59*E59</f>
        <v>128772.79999999999</v>
      </c>
      <c r="G59" s="63"/>
      <c r="H59" s="278">
        <f>H42</f>
        <v>126.28</v>
      </c>
      <c r="I59" s="151">
        <f>ROUND(D59*H59,2)</f>
        <v>131331.20000000001</v>
      </c>
      <c r="J59" s="151"/>
      <c r="K59" s="89">
        <f>I59-F59</f>
        <v>2558.4000000000233</v>
      </c>
      <c r="L59" s="133">
        <f t="shared" si="2"/>
        <v>1.9869999999999999E-2</v>
      </c>
      <c r="M59" s="143"/>
      <c r="N59" s="91"/>
      <c r="O59" s="92"/>
    </row>
    <row r="60" spans="1:16" s="93" customFormat="1" x14ac:dyDescent="0.2">
      <c r="A60" s="92"/>
      <c r="B60" s="83" t="s">
        <v>43</v>
      </c>
      <c r="C60" s="61" t="s">
        <v>44</v>
      </c>
      <c r="D60" s="63">
        <v>1163206.9669999999</v>
      </c>
      <c r="E60" s="104">
        <v>1.25</v>
      </c>
      <c r="F60" s="151">
        <f>ROUND(D60*E60,2)</f>
        <v>1454008.71</v>
      </c>
      <c r="G60" s="63"/>
      <c r="H60" s="278">
        <f>H43</f>
        <v>1.37</v>
      </c>
      <c r="I60" s="151">
        <f>ROUND(D60*H60,2)</f>
        <v>1593593.54</v>
      </c>
      <c r="J60" s="92"/>
      <c r="K60" s="89">
        <f>I60-F60</f>
        <v>139584.83000000007</v>
      </c>
      <c r="L60" s="133">
        <f t="shared" si="2"/>
        <v>9.6000000000000002E-2</v>
      </c>
      <c r="M60" s="143"/>
      <c r="N60" s="91"/>
      <c r="O60" s="92"/>
    </row>
    <row r="61" spans="1:16" s="93" customFormat="1" x14ac:dyDescent="0.2">
      <c r="A61" s="92"/>
      <c r="B61" s="83"/>
      <c r="C61" s="61"/>
      <c r="D61" s="63"/>
      <c r="E61" s="104"/>
      <c r="F61" s="151"/>
      <c r="G61" s="63"/>
      <c r="H61" s="104"/>
      <c r="I61" s="151"/>
      <c r="J61" s="151"/>
      <c r="K61" s="168"/>
      <c r="L61" s="65"/>
      <c r="M61" s="143"/>
      <c r="N61" s="91"/>
      <c r="O61" s="92"/>
    </row>
    <row r="62" spans="1:16" s="93" customFormat="1" x14ac:dyDescent="0.2">
      <c r="A62" s="92"/>
      <c r="B62" s="83" t="s">
        <v>45</v>
      </c>
      <c r="C62" s="61"/>
      <c r="D62" s="63"/>
      <c r="E62" s="104"/>
      <c r="F62" s="89"/>
      <c r="G62" s="63"/>
      <c r="H62" s="104"/>
      <c r="I62" s="151"/>
      <c r="J62" s="151"/>
      <c r="K62" s="168"/>
      <c r="L62" s="65"/>
      <c r="M62" s="143"/>
      <c r="N62" s="91"/>
      <c r="O62" s="92"/>
    </row>
    <row r="63" spans="1:16" s="93" customFormat="1" x14ac:dyDescent="0.2">
      <c r="A63" s="92"/>
      <c r="B63" s="83" t="s">
        <v>46</v>
      </c>
      <c r="C63" s="61" t="s">
        <v>23</v>
      </c>
      <c r="D63" s="63">
        <v>1057148.28</v>
      </c>
      <c r="E63" s="88">
        <v>0.13758000000000001</v>
      </c>
      <c r="F63" s="89" t="s">
        <v>47</v>
      </c>
      <c r="G63" s="63"/>
      <c r="H63" s="80">
        <f>H46</f>
        <v>0.14030999999999999</v>
      </c>
      <c r="I63" s="89" t="s">
        <v>47</v>
      </c>
      <c r="J63" s="89"/>
      <c r="K63" s="89"/>
      <c r="L63" s="59"/>
      <c r="M63" s="143"/>
      <c r="N63" s="91"/>
      <c r="O63" s="92"/>
    </row>
    <row r="64" spans="1:16" s="93" customFormat="1" x14ac:dyDescent="0.2">
      <c r="A64" s="92"/>
      <c r="B64" s="83" t="s">
        <v>48</v>
      </c>
      <c r="C64" s="61" t="s">
        <v>23</v>
      </c>
      <c r="D64" s="63">
        <v>3901926.5700000003</v>
      </c>
      <c r="E64" s="88">
        <v>0.13758000000000001</v>
      </c>
      <c r="F64" s="89">
        <f>D64*E64</f>
        <v>536827.05750060012</v>
      </c>
      <c r="G64" s="63"/>
      <c r="H64" s="80">
        <f>H47</f>
        <v>0.14030999999999999</v>
      </c>
      <c r="I64" s="89">
        <f>H64*D64</f>
        <v>547479.31703669997</v>
      </c>
      <c r="J64" s="89"/>
      <c r="K64" s="89">
        <f>I64-F64</f>
        <v>10652.259536099853</v>
      </c>
      <c r="L64" s="133">
        <f t="shared" ref="L64:L65" si="3">IFERROR(ROUND(K64/F64,5), )</f>
        <v>1.984E-2</v>
      </c>
      <c r="M64" s="143"/>
      <c r="N64" s="91"/>
      <c r="O64" s="92"/>
    </row>
    <row r="65" spans="1:15" s="93" customFormat="1" x14ac:dyDescent="0.2">
      <c r="A65" s="92"/>
      <c r="B65" s="83" t="s">
        <v>49</v>
      </c>
      <c r="C65" s="61" t="s">
        <v>23</v>
      </c>
      <c r="D65" s="63">
        <v>14535430.758019032</v>
      </c>
      <c r="E65" s="88">
        <v>0.11074000000000001</v>
      </c>
      <c r="F65" s="89">
        <f>D65*E65</f>
        <v>1609653.6021430276</v>
      </c>
      <c r="G65" s="63"/>
      <c r="H65" s="80">
        <f>H48</f>
        <v>0.12131</v>
      </c>
      <c r="I65" s="89">
        <f>H65*D65</f>
        <v>1763293.1052552888</v>
      </c>
      <c r="J65" s="89"/>
      <c r="K65" s="89">
        <f>I65-F65</f>
        <v>153639.50311226118</v>
      </c>
      <c r="L65" s="133">
        <f t="shared" si="3"/>
        <v>9.5449999999999993E-2</v>
      </c>
      <c r="M65" s="143"/>
      <c r="N65" s="91"/>
      <c r="O65" s="92"/>
    </row>
    <row r="66" spans="1:15" s="93" customFormat="1" x14ac:dyDescent="0.2">
      <c r="A66" s="92"/>
      <c r="B66" s="79" t="s">
        <v>50</v>
      </c>
      <c r="C66" s="134"/>
      <c r="D66" s="170">
        <f>SUM(D63:D65)</f>
        <v>19494505.608019032</v>
      </c>
      <c r="E66" s="58"/>
      <c r="F66" s="151"/>
      <c r="G66" s="63"/>
      <c r="H66" s="63"/>
      <c r="I66" s="92"/>
      <c r="J66" s="92"/>
      <c r="K66" s="92"/>
      <c r="L66" s="90"/>
      <c r="M66" s="143"/>
      <c r="N66" s="91"/>
      <c r="O66" s="92"/>
    </row>
    <row r="67" spans="1:15" s="93" customFormat="1" x14ac:dyDescent="0.2">
      <c r="A67" s="92"/>
      <c r="B67" s="97" t="s">
        <v>27</v>
      </c>
      <c r="C67" s="134"/>
      <c r="D67" s="63"/>
      <c r="E67" s="58"/>
      <c r="F67" s="94">
        <f>SUM(F58:F66)</f>
        <v>4168963.769643628</v>
      </c>
      <c r="G67" s="63"/>
      <c r="H67" s="63"/>
      <c r="I67" s="94">
        <f>SUM(I58:I66)</f>
        <v>4475398.7622919884</v>
      </c>
      <c r="J67" s="151"/>
      <c r="K67" s="94">
        <f>SUM(K58:K66)</f>
        <v>306434.99264836113</v>
      </c>
      <c r="L67" s="56">
        <f>ROUND(K67/F67,5)</f>
        <v>7.3499999999999996E-2</v>
      </c>
      <c r="M67" s="143"/>
      <c r="N67" s="91"/>
      <c r="O67" s="92"/>
    </row>
    <row r="68" spans="1:15" s="93" customFormat="1" x14ac:dyDescent="0.2">
      <c r="A68" s="92"/>
      <c r="B68" s="79"/>
      <c r="C68" s="134"/>
      <c r="D68" s="63"/>
      <c r="E68" s="58"/>
      <c r="F68" s="151"/>
      <c r="G68" s="63"/>
      <c r="H68" s="63"/>
      <c r="I68" s="151"/>
      <c r="J68" s="151"/>
      <c r="K68" s="89"/>
      <c r="L68" s="59"/>
      <c r="M68" s="143"/>
      <c r="N68" s="91"/>
      <c r="O68" s="105"/>
    </row>
    <row r="69" spans="1:15" s="93" customFormat="1" x14ac:dyDescent="0.2">
      <c r="A69" s="92"/>
      <c r="B69" s="83" t="s">
        <v>116</v>
      </c>
      <c r="C69" s="61"/>
      <c r="D69" s="63"/>
      <c r="E69" s="88"/>
      <c r="F69" s="94">
        <f>F67</f>
        <v>4168963.769643628</v>
      </c>
      <c r="G69" s="92"/>
      <c r="H69" s="104"/>
      <c r="I69" s="94">
        <f>I67</f>
        <v>4475398.7622919884</v>
      </c>
      <c r="J69" s="89"/>
      <c r="K69" s="54">
        <f>K67</f>
        <v>306434.99264836113</v>
      </c>
      <c r="L69" s="56">
        <f>ROUND(K69/F69,5)</f>
        <v>7.3499999999999996E-2</v>
      </c>
      <c r="M69" s="143"/>
      <c r="N69" s="91"/>
      <c r="O69" s="109"/>
    </row>
    <row r="70" spans="1:15" s="93" customFormat="1" x14ac:dyDescent="0.2">
      <c r="A70" s="92"/>
      <c r="B70" s="99"/>
      <c r="C70" s="107"/>
      <c r="D70" s="107"/>
      <c r="E70" s="107"/>
      <c r="F70" s="108"/>
      <c r="G70" s="107"/>
      <c r="H70" s="107"/>
      <c r="I70" s="74"/>
      <c r="J70" s="74"/>
      <c r="K70" s="108"/>
      <c r="L70" s="100"/>
      <c r="M70" s="143"/>
      <c r="N70" s="91"/>
      <c r="O70" s="105"/>
    </row>
    <row r="71" spans="1:15" s="93" customFormat="1" x14ac:dyDescent="0.2">
      <c r="A71" s="92"/>
      <c r="B71" s="92"/>
      <c r="C71" s="92"/>
      <c r="D71" s="92"/>
      <c r="E71" s="92"/>
      <c r="F71" s="109"/>
      <c r="G71" s="92"/>
      <c r="H71" s="92"/>
      <c r="I71" s="101"/>
      <c r="J71" s="101"/>
      <c r="K71" s="109"/>
      <c r="L71" s="102"/>
      <c r="M71" s="143"/>
      <c r="N71" s="91"/>
      <c r="O71" s="105"/>
    </row>
    <row r="72" spans="1:15" s="93" customFormat="1" x14ac:dyDescent="0.2">
      <c r="A72" s="92"/>
      <c r="B72" s="302" t="s">
        <v>52</v>
      </c>
      <c r="C72" s="298"/>
      <c r="D72" s="242"/>
      <c r="E72" s="241"/>
      <c r="F72" s="299"/>
      <c r="G72" s="242"/>
      <c r="H72" s="242"/>
      <c r="I72" s="299"/>
      <c r="J72" s="299"/>
      <c r="K72" s="299"/>
      <c r="L72" s="301"/>
      <c r="M72" s="143"/>
      <c r="N72" s="91"/>
      <c r="O72" s="105"/>
    </row>
    <row r="73" spans="1:15" s="93" customFormat="1" x14ac:dyDescent="0.2">
      <c r="A73" s="92"/>
      <c r="B73" s="106"/>
      <c r="C73" s="61"/>
      <c r="D73" s="92"/>
      <c r="E73" s="92"/>
      <c r="F73" s="89"/>
      <c r="G73" s="84"/>
      <c r="H73" s="92"/>
      <c r="I73" s="89"/>
      <c r="J73" s="89"/>
      <c r="K73" s="89"/>
      <c r="L73" s="59"/>
      <c r="M73" s="143"/>
      <c r="N73" s="91"/>
      <c r="O73" s="105"/>
    </row>
    <row r="74" spans="1:15" s="93" customFormat="1" x14ac:dyDescent="0.2">
      <c r="A74" s="92"/>
      <c r="B74" s="79" t="s">
        <v>20</v>
      </c>
      <c r="C74" s="103" t="s">
        <v>21</v>
      </c>
      <c r="D74" s="63">
        <f>D58+D41</f>
        <v>16031.599999999999</v>
      </c>
      <c r="E74" s="104"/>
      <c r="F74" s="89">
        <f>F58+F41</f>
        <v>2139749.04</v>
      </c>
      <c r="G74" s="63"/>
      <c r="H74" s="81"/>
      <c r="I74" s="89">
        <f>I58+I41</f>
        <v>2393556.83</v>
      </c>
      <c r="J74" s="89"/>
      <c r="K74" s="89">
        <f>K58+K41</f>
        <v>253807.79000000004</v>
      </c>
      <c r="L74" s="133">
        <f t="shared" ref="L74:L76" si="4">IFERROR(ROUND(K74/F74,5), )</f>
        <v>0.11862</v>
      </c>
      <c r="M74" s="143"/>
      <c r="N74" s="91"/>
      <c r="O74" s="105"/>
    </row>
    <row r="75" spans="1:15" s="93" customFormat="1" x14ac:dyDescent="0.2">
      <c r="A75" s="92"/>
      <c r="B75" s="83" t="s">
        <v>42</v>
      </c>
      <c r="C75" s="103" t="s">
        <v>21</v>
      </c>
      <c r="D75" s="63">
        <f>D74</f>
        <v>16031.599999999999</v>
      </c>
      <c r="E75" s="104"/>
      <c r="F75" s="89">
        <f>F59+F42</f>
        <v>1985032.7119999998</v>
      </c>
      <c r="G75" s="63"/>
      <c r="H75" s="104"/>
      <c r="I75" s="89">
        <f>I59+I42</f>
        <v>2024470.45</v>
      </c>
      <c r="J75" s="151"/>
      <c r="K75" s="89">
        <f>K59+K42</f>
        <v>39437.738000000245</v>
      </c>
      <c r="L75" s="133">
        <f t="shared" si="4"/>
        <v>1.9869999999999999E-2</v>
      </c>
      <c r="M75" s="143"/>
      <c r="N75" s="91"/>
      <c r="O75" s="105"/>
    </row>
    <row r="76" spans="1:15" s="93" customFormat="1" x14ac:dyDescent="0.2">
      <c r="A76" s="92"/>
      <c r="B76" s="106" t="s">
        <v>43</v>
      </c>
      <c r="C76" s="61" t="s">
        <v>44</v>
      </c>
      <c r="D76" s="63">
        <f>D60+D43</f>
        <v>5992011.6780000003</v>
      </c>
      <c r="E76" s="104"/>
      <c r="F76" s="89">
        <f>F60+F43</f>
        <v>7490014.5999999996</v>
      </c>
      <c r="G76" s="63"/>
      <c r="H76" s="81"/>
      <c r="I76" s="89">
        <f>I60+I43</f>
        <v>8209055.9900000002</v>
      </c>
      <c r="J76" s="151"/>
      <c r="K76" s="89">
        <f>K60+K43</f>
        <v>719041.3900000006</v>
      </c>
      <c r="L76" s="133">
        <f t="shared" si="4"/>
        <v>9.6000000000000002E-2</v>
      </c>
      <c r="M76" s="143"/>
      <c r="N76" s="91"/>
      <c r="O76" s="105"/>
    </row>
    <row r="77" spans="1:15" s="93" customFormat="1" x14ac:dyDescent="0.2">
      <c r="A77" s="92"/>
      <c r="B77" s="106"/>
      <c r="C77" s="61"/>
      <c r="D77" s="63"/>
      <c r="E77" s="104"/>
      <c r="F77" s="151"/>
      <c r="G77" s="63"/>
      <c r="H77" s="104"/>
      <c r="I77" s="151"/>
      <c r="J77" s="151"/>
      <c r="K77" s="168"/>
      <c r="L77" s="65"/>
      <c r="M77" s="143"/>
      <c r="N77" s="91"/>
      <c r="O77" s="105"/>
    </row>
    <row r="78" spans="1:15" s="93" customFormat="1" x14ac:dyDescent="0.2">
      <c r="A78" s="92"/>
      <c r="B78" s="106" t="s">
        <v>45</v>
      </c>
      <c r="C78" s="61"/>
      <c r="D78" s="63"/>
      <c r="E78" s="104"/>
      <c r="F78" s="89"/>
      <c r="G78" s="63"/>
      <c r="H78" s="104"/>
      <c r="I78" s="151"/>
      <c r="J78" s="151"/>
      <c r="K78" s="168"/>
      <c r="L78" s="65"/>
      <c r="M78" s="143"/>
      <c r="N78" s="91"/>
      <c r="O78" s="105"/>
    </row>
    <row r="79" spans="1:15" s="93" customFormat="1" x14ac:dyDescent="0.2">
      <c r="A79" s="92"/>
      <c r="B79" s="83" t="s">
        <v>46</v>
      </c>
      <c r="C79" s="61" t="s">
        <v>23</v>
      </c>
      <c r="D79" s="63">
        <f>D63+D46</f>
        <v>13270559.754000001</v>
      </c>
      <c r="E79" s="88"/>
      <c r="F79" s="89" t="s">
        <v>47</v>
      </c>
      <c r="G79" s="63"/>
      <c r="H79" s="88"/>
      <c r="I79" s="89" t="s">
        <v>47</v>
      </c>
      <c r="J79" s="89"/>
      <c r="K79" s="89"/>
      <c r="L79" s="59"/>
      <c r="M79" s="143"/>
      <c r="N79" s="91"/>
      <c r="O79" s="105"/>
    </row>
    <row r="80" spans="1:15" s="93" customFormat="1" x14ac:dyDescent="0.2">
      <c r="A80" s="92"/>
      <c r="B80" s="83" t="s">
        <v>48</v>
      </c>
      <c r="C80" s="61" t="s">
        <v>23</v>
      </c>
      <c r="D80" s="63">
        <f>D64+D47</f>
        <v>31371214.559699997</v>
      </c>
      <c r="E80" s="88"/>
      <c r="F80" s="89">
        <f>F64+F47</f>
        <v>4316051.6975006005</v>
      </c>
      <c r="G80" s="63"/>
      <c r="H80" s="88"/>
      <c r="I80" s="89">
        <f>I64+I47</f>
        <v>4401695.1170367002</v>
      </c>
      <c r="J80" s="89"/>
      <c r="K80" s="89">
        <f>K64+K47</f>
        <v>85643.419536099536</v>
      </c>
      <c r="L80" s="133">
        <f t="shared" ref="L80:L81" si="5">IFERROR(ROUND(K80/F80,5), )</f>
        <v>1.984E-2</v>
      </c>
      <c r="M80" s="143"/>
      <c r="N80" s="91"/>
      <c r="O80" s="105"/>
    </row>
    <row r="81" spans="1:15" s="93" customFormat="1" x14ac:dyDescent="0.2">
      <c r="A81" s="92"/>
      <c r="B81" s="83" t="s">
        <v>49</v>
      </c>
      <c r="C81" s="61" t="s">
        <v>23</v>
      </c>
      <c r="D81" s="145">
        <f>D65+D48</f>
        <v>37370722.451267198</v>
      </c>
      <c r="E81" s="88"/>
      <c r="F81" s="89">
        <f>F65+F48</f>
        <v>4138433.802143028</v>
      </c>
      <c r="G81" s="63"/>
      <c r="H81" s="88"/>
      <c r="I81" s="89">
        <f>I65+I48</f>
        <v>4533442.3452552892</v>
      </c>
      <c r="J81" s="89"/>
      <c r="K81" s="89">
        <f>K65+K48</f>
        <v>395008.54311226122</v>
      </c>
      <c r="L81" s="133">
        <f t="shared" si="5"/>
        <v>9.5449999999999993E-2</v>
      </c>
      <c r="M81" s="143"/>
      <c r="N81" s="91"/>
      <c r="O81" s="105"/>
    </row>
    <row r="82" spans="1:15" s="93" customFormat="1" x14ac:dyDescent="0.2">
      <c r="A82" s="92"/>
      <c r="B82" s="97" t="s">
        <v>50</v>
      </c>
      <c r="C82" s="134"/>
      <c r="D82" s="170">
        <f>SUM(D79:D81)</f>
        <v>82012496.764967203</v>
      </c>
      <c r="E82" s="58"/>
      <c r="F82" s="151"/>
      <c r="G82" s="63"/>
      <c r="H82" s="63"/>
      <c r="I82" s="92"/>
      <c r="J82" s="92"/>
      <c r="K82" s="92"/>
      <c r="L82" s="90"/>
      <c r="M82" s="143"/>
      <c r="N82" s="91"/>
      <c r="O82" s="105"/>
    </row>
    <row r="83" spans="1:15" s="93" customFormat="1" x14ac:dyDescent="0.2">
      <c r="A83" s="92"/>
      <c r="B83" s="106" t="s">
        <v>36</v>
      </c>
      <c r="C83" s="61" t="s">
        <v>23</v>
      </c>
      <c r="D83" s="63">
        <f>D50</f>
        <v>62517991.156948164</v>
      </c>
      <c r="E83" s="88"/>
      <c r="F83" s="89">
        <f>F50</f>
        <v>628305.81112732901</v>
      </c>
      <c r="G83" s="63"/>
      <c r="H83" s="82"/>
      <c r="I83" s="89">
        <f>I50</f>
        <v>699576.32104624994</v>
      </c>
      <c r="J83" s="89"/>
      <c r="K83" s="89">
        <f>I83-F83</f>
        <v>71270.509918920929</v>
      </c>
      <c r="L83" s="59">
        <f>IFERROR(ROUND(K83/F83,5), )</f>
        <v>0.11343</v>
      </c>
      <c r="M83" s="143"/>
      <c r="N83" s="91"/>
      <c r="O83" s="105"/>
    </row>
    <row r="84" spans="1:15" s="93" customFormat="1" x14ac:dyDescent="0.2">
      <c r="A84" s="92"/>
      <c r="B84" s="97" t="s">
        <v>27</v>
      </c>
      <c r="C84" s="134"/>
      <c r="D84" s="63"/>
      <c r="E84" s="58"/>
      <c r="F84" s="94">
        <f>SUM(F74:F83)</f>
        <v>20697587.662770957</v>
      </c>
      <c r="G84" s="63"/>
      <c r="H84" s="63"/>
      <c r="I84" s="94">
        <f>SUM(I74:I83)</f>
        <v>22261797.053338237</v>
      </c>
      <c r="J84" s="151"/>
      <c r="K84" s="94">
        <f>SUM(K74:K82)</f>
        <v>1492938.8806483615</v>
      </c>
      <c r="L84" s="56">
        <f>ROUND(K84/F84,5)</f>
        <v>7.213E-2</v>
      </c>
      <c r="M84" s="143"/>
      <c r="N84" s="91"/>
      <c r="O84" s="105"/>
    </row>
    <row r="85" spans="1:15" s="93" customFormat="1" x14ac:dyDescent="0.2">
      <c r="A85" s="92"/>
      <c r="B85" s="97"/>
      <c r="C85" s="134"/>
      <c r="D85" s="63"/>
      <c r="E85" s="58"/>
      <c r="F85" s="151"/>
      <c r="G85" s="63"/>
      <c r="H85" s="63"/>
      <c r="I85" s="151"/>
      <c r="J85" s="151"/>
      <c r="K85" s="89"/>
      <c r="L85" s="59"/>
      <c r="M85" s="143"/>
      <c r="N85" s="91"/>
      <c r="O85" s="105"/>
    </row>
    <row r="86" spans="1:15" s="93" customFormat="1" x14ac:dyDescent="0.2">
      <c r="A86" s="92"/>
      <c r="B86" s="106" t="s">
        <v>116</v>
      </c>
      <c r="C86" s="61"/>
      <c r="D86" s="63"/>
      <c r="E86" s="88"/>
      <c r="F86" s="94">
        <f>F84</f>
        <v>20697587.662770957</v>
      </c>
      <c r="G86" s="92"/>
      <c r="H86" s="104"/>
      <c r="I86" s="94">
        <f>I84</f>
        <v>22261797.053338237</v>
      </c>
      <c r="J86" s="89"/>
      <c r="K86" s="54">
        <f>K84</f>
        <v>1492938.8806483615</v>
      </c>
      <c r="L86" s="56">
        <f>ROUND(K86/F86,5)</f>
        <v>7.213E-2</v>
      </c>
      <c r="M86" s="143"/>
      <c r="N86" s="91"/>
      <c r="O86" s="61"/>
    </row>
    <row r="87" spans="1:15" s="93" customFormat="1" x14ac:dyDescent="0.2">
      <c r="A87" s="92"/>
      <c r="B87" s="99"/>
      <c r="C87" s="107"/>
      <c r="D87" s="107"/>
      <c r="E87" s="107"/>
      <c r="F87" s="108"/>
      <c r="G87" s="107"/>
      <c r="H87" s="107"/>
      <c r="I87" s="74"/>
      <c r="J87" s="74"/>
      <c r="K87" s="108"/>
      <c r="L87" s="100"/>
      <c r="M87" s="143"/>
      <c r="N87" s="91"/>
      <c r="O87" s="61"/>
    </row>
    <row r="88" spans="1:15" s="92" customFormat="1" x14ac:dyDescent="0.2">
      <c r="F88" s="109"/>
      <c r="I88" s="101"/>
      <c r="J88" s="101"/>
      <c r="K88" s="109"/>
      <c r="L88" s="102"/>
      <c r="M88" s="143"/>
      <c r="N88" s="91"/>
      <c r="O88" s="169"/>
    </row>
    <row r="89" spans="1:15" x14ac:dyDescent="0.2">
      <c r="B89" s="61"/>
      <c r="F89" s="110"/>
      <c r="I89" s="110"/>
      <c r="J89" s="110"/>
      <c r="K89" s="110"/>
      <c r="M89" s="57"/>
      <c r="N89" s="39"/>
      <c r="O89" s="169"/>
    </row>
    <row r="90" spans="1:15" x14ac:dyDescent="0.2">
      <c r="B90" s="112" t="s">
        <v>53</v>
      </c>
      <c r="F90" s="110"/>
      <c r="I90" s="110"/>
      <c r="J90" s="110"/>
      <c r="K90" s="110"/>
      <c r="M90" s="57"/>
      <c r="N90" s="39"/>
      <c r="O90" s="113"/>
    </row>
    <row r="91" spans="1:15" x14ac:dyDescent="0.2">
      <c r="D91" s="129" t="s">
        <v>23</v>
      </c>
      <c r="F91" s="114" t="s">
        <v>11</v>
      </c>
      <c r="I91" s="114" t="s">
        <v>1</v>
      </c>
      <c r="J91" s="110"/>
      <c r="K91" s="114" t="s">
        <v>33</v>
      </c>
      <c r="M91" s="57"/>
      <c r="N91" s="39"/>
    </row>
    <row r="92" spans="1:15" x14ac:dyDescent="0.2">
      <c r="B92" s="112" t="s">
        <v>116</v>
      </c>
      <c r="C92" s="87"/>
      <c r="D92" s="58"/>
      <c r="E92" s="87"/>
      <c r="F92" s="87"/>
      <c r="G92" s="116"/>
      <c r="H92" s="116"/>
      <c r="I92" s="87"/>
      <c r="J92" s="87"/>
      <c r="K92" s="119"/>
      <c r="M92" s="120"/>
    </row>
    <row r="93" spans="1:15" x14ac:dyDescent="0.2">
      <c r="B93" s="118" t="s">
        <v>55</v>
      </c>
      <c r="C93" s="87"/>
      <c r="D93" s="58">
        <f>D32</f>
        <v>222203870.67539161</v>
      </c>
      <c r="E93" s="87"/>
      <c r="F93" s="87">
        <f>F15+F24</f>
        <v>111031564.85000001</v>
      </c>
      <c r="G93" s="87"/>
      <c r="H93" s="116"/>
      <c r="I93" s="87">
        <f>I15+I24</f>
        <v>122144982.04000001</v>
      </c>
      <c r="J93" s="87"/>
      <c r="K93" s="119">
        <f>I93-F93</f>
        <v>11113417.189999998</v>
      </c>
      <c r="L93" s="111">
        <f>K93/F93</f>
        <v>0.10009241250462297</v>
      </c>
      <c r="M93" s="120"/>
    </row>
    <row r="94" spans="1:15" x14ac:dyDescent="0.2">
      <c r="B94" s="118" t="s">
        <v>54</v>
      </c>
      <c r="C94" s="87"/>
      <c r="D94" s="115">
        <f>D66</f>
        <v>19494505.608019032</v>
      </c>
      <c r="E94" s="87"/>
      <c r="F94" s="87">
        <f>F51+F67</f>
        <v>20697587.662770957</v>
      </c>
      <c r="G94" s="87"/>
      <c r="H94" s="116"/>
      <c r="I94" s="87">
        <f>I51+I67</f>
        <v>22261797.053338237</v>
      </c>
      <c r="J94" s="87"/>
      <c r="K94" s="119">
        <f>I94-F94</f>
        <v>1564209.3905672804</v>
      </c>
      <c r="L94" s="111">
        <f>K94/F94</f>
        <v>7.5574478342751314E-2</v>
      </c>
      <c r="M94" s="120"/>
    </row>
    <row r="95" spans="1:15" x14ac:dyDescent="0.2">
      <c r="B95" s="118" t="s">
        <v>2</v>
      </c>
      <c r="C95" s="87"/>
      <c r="D95" s="202">
        <f>SUM(D93:D94)</f>
        <v>241698376.28341064</v>
      </c>
      <c r="E95" s="87"/>
      <c r="F95" s="121">
        <f>SUM(F93:F94)</f>
        <v>131729152.51277097</v>
      </c>
      <c r="G95" s="87"/>
      <c r="H95" s="116"/>
      <c r="I95" s="121">
        <f>SUM(I93:I94)</f>
        <v>144406779.09333825</v>
      </c>
      <c r="J95" s="87"/>
      <c r="K95" s="121">
        <f>SUM(K93:K94)</f>
        <v>12677626.580567278</v>
      </c>
      <c r="L95" s="111">
        <f>K95/F95</f>
        <v>9.624009825264912E-2</v>
      </c>
      <c r="M95" s="120"/>
    </row>
    <row r="96" spans="1:15" ht="13.5" thickBot="1" x14ac:dyDescent="0.25">
      <c r="C96" s="87"/>
      <c r="D96" s="115"/>
      <c r="E96" s="87"/>
      <c r="F96" s="87"/>
      <c r="G96" s="87"/>
      <c r="H96" s="87"/>
      <c r="I96" s="87"/>
      <c r="J96" s="87"/>
      <c r="K96" s="87"/>
      <c r="M96" s="120"/>
    </row>
    <row r="97" spans="2:13" ht="13.5" thickBot="1" x14ac:dyDescent="0.25">
      <c r="B97" s="199" t="s">
        <v>88</v>
      </c>
      <c r="C97" s="223" t="s">
        <v>97</v>
      </c>
      <c r="D97" s="224">
        <v>131691503.15920852</v>
      </c>
      <c r="E97" s="223" t="s">
        <v>91</v>
      </c>
      <c r="F97" s="225">
        <f>D97-F95</f>
        <v>-37649.353562444448</v>
      </c>
      <c r="G97" s="116"/>
      <c r="H97" s="116"/>
      <c r="I97" s="87"/>
      <c r="J97" s="87"/>
      <c r="K97" s="87"/>
      <c r="M97" s="120"/>
    </row>
    <row r="98" spans="2:13" x14ac:dyDescent="0.2">
      <c r="C98" s="87"/>
      <c r="D98" s="87"/>
      <c r="E98" s="87"/>
      <c r="F98" s="87"/>
      <c r="G98" s="116"/>
      <c r="H98" s="116"/>
      <c r="I98" s="87"/>
      <c r="J98" s="87"/>
      <c r="K98" s="87"/>
      <c r="M98" s="120"/>
    </row>
    <row r="99" spans="2:13" x14ac:dyDescent="0.2">
      <c r="D99" s="329"/>
      <c r="F99" s="118"/>
      <c r="G99" s="116"/>
      <c r="H99" s="116"/>
      <c r="I99" s="87"/>
      <c r="J99" s="87"/>
      <c r="K99" s="87"/>
      <c r="M99" s="120"/>
    </row>
    <row r="100" spans="2:13" x14ac:dyDescent="0.2">
      <c r="C100" s="87"/>
      <c r="D100" s="87"/>
      <c r="E100" s="87"/>
      <c r="F100" s="87"/>
      <c r="G100" s="116"/>
      <c r="H100" s="116"/>
      <c r="I100" s="87"/>
      <c r="J100" s="87"/>
      <c r="K100" s="87"/>
      <c r="M100" s="120"/>
    </row>
    <row r="101" spans="2:13" x14ac:dyDescent="0.2">
      <c r="C101" s="87"/>
      <c r="D101" s="87"/>
      <c r="E101" s="87"/>
      <c r="F101" s="87"/>
      <c r="G101" s="116"/>
      <c r="H101" s="116"/>
      <c r="I101" s="87"/>
      <c r="J101" s="87"/>
      <c r="K101" s="87"/>
      <c r="M101" s="120"/>
    </row>
    <row r="102" spans="2:13" x14ac:dyDescent="0.2">
      <c r="C102" s="87"/>
      <c r="D102" s="87"/>
      <c r="E102" s="87"/>
      <c r="F102" s="87"/>
      <c r="G102" s="116"/>
      <c r="H102" s="116"/>
      <c r="I102" s="87"/>
      <c r="J102" s="87"/>
      <c r="K102" s="87"/>
      <c r="M102" s="120"/>
    </row>
    <row r="103" spans="2:13" x14ac:dyDescent="0.2">
      <c r="C103" s="87"/>
      <c r="D103" s="87"/>
      <c r="E103" s="87"/>
      <c r="F103" s="87"/>
      <c r="G103" s="116"/>
      <c r="H103" s="116"/>
      <c r="I103" s="87"/>
      <c r="J103" s="87"/>
      <c r="K103" s="87"/>
      <c r="M103" s="120"/>
    </row>
    <row r="104" spans="2:13" x14ac:dyDescent="0.2">
      <c r="C104" s="87"/>
      <c r="D104" s="87"/>
      <c r="E104" s="87"/>
      <c r="F104" s="87"/>
      <c r="G104" s="116"/>
      <c r="H104" s="116"/>
      <c r="I104" s="87"/>
      <c r="J104" s="87"/>
      <c r="K104" s="87"/>
      <c r="M104" s="120"/>
    </row>
    <row r="105" spans="2:13" x14ac:dyDescent="0.2">
      <c r="C105" s="87"/>
      <c r="D105" s="87"/>
      <c r="E105" s="87"/>
      <c r="F105" s="87"/>
      <c r="G105" s="116"/>
      <c r="H105" s="116"/>
      <c r="I105" s="87"/>
      <c r="J105" s="87"/>
      <c r="K105" s="87"/>
      <c r="M105" s="120"/>
    </row>
    <row r="106" spans="2:13" x14ac:dyDescent="0.2">
      <c r="C106" s="87"/>
      <c r="D106" s="87"/>
      <c r="E106" s="87"/>
      <c r="F106" s="87"/>
      <c r="G106" s="116"/>
      <c r="H106" s="116"/>
      <c r="I106" s="87"/>
      <c r="J106" s="87"/>
      <c r="K106" s="87"/>
      <c r="M106" s="120"/>
    </row>
    <row r="107" spans="2:13" x14ac:dyDescent="0.2">
      <c r="C107" s="87"/>
      <c r="D107" s="87"/>
      <c r="E107" s="87"/>
      <c r="F107" s="87"/>
      <c r="G107" s="116"/>
      <c r="H107" s="116"/>
      <c r="I107" s="87"/>
      <c r="J107" s="87"/>
      <c r="K107" s="87"/>
      <c r="M107" s="120"/>
    </row>
    <row r="108" spans="2:13" x14ac:dyDescent="0.2">
      <c r="C108" s="87"/>
      <c r="D108" s="87"/>
      <c r="E108" s="87"/>
      <c r="F108" s="87"/>
      <c r="G108" s="116"/>
      <c r="H108" s="116"/>
      <c r="I108" s="87"/>
      <c r="J108" s="87"/>
      <c r="K108" s="87"/>
      <c r="M108" s="120"/>
    </row>
    <row r="109" spans="2:13" x14ac:dyDescent="0.2">
      <c r="C109" s="87"/>
      <c r="D109" s="87"/>
      <c r="E109" s="87"/>
      <c r="F109" s="87"/>
      <c r="G109" s="116"/>
      <c r="H109" s="116"/>
      <c r="I109" s="87"/>
      <c r="J109" s="87"/>
      <c r="K109" s="87"/>
      <c r="M109" s="120"/>
    </row>
    <row r="110" spans="2:13" x14ac:dyDescent="0.2">
      <c r="C110" s="87"/>
      <c r="D110" s="87"/>
      <c r="E110" s="87"/>
      <c r="F110" s="87"/>
      <c r="G110" s="116"/>
      <c r="H110" s="116"/>
      <c r="I110" s="87"/>
      <c r="J110" s="87"/>
      <c r="K110" s="87"/>
      <c r="M110" s="120"/>
    </row>
    <row r="111" spans="2:13" x14ac:dyDescent="0.2">
      <c r="C111" s="87"/>
      <c r="D111" s="87"/>
      <c r="E111" s="87"/>
      <c r="F111" s="87"/>
      <c r="G111" s="116"/>
      <c r="H111" s="116"/>
      <c r="I111" s="87"/>
      <c r="J111" s="87"/>
      <c r="K111" s="87"/>
      <c r="M111" s="120"/>
    </row>
    <row r="112" spans="2:13" x14ac:dyDescent="0.2">
      <c r="C112" s="87"/>
      <c r="D112" s="87"/>
      <c r="E112" s="87"/>
      <c r="F112" s="87"/>
      <c r="G112" s="116"/>
      <c r="H112" s="116"/>
      <c r="I112" s="87"/>
      <c r="J112" s="87"/>
      <c r="K112" s="87"/>
      <c r="M112" s="120"/>
    </row>
    <row r="113" spans="3:13" x14ac:dyDescent="0.2">
      <c r="C113" s="87"/>
      <c r="D113" s="87"/>
      <c r="E113" s="87"/>
      <c r="F113" s="87"/>
      <c r="G113" s="116"/>
      <c r="H113" s="116"/>
      <c r="I113" s="87"/>
      <c r="J113" s="87"/>
      <c r="K113" s="87"/>
      <c r="M113" s="120"/>
    </row>
    <row r="114" spans="3:13" x14ac:dyDescent="0.2">
      <c r="C114" s="87"/>
      <c r="D114" s="87"/>
      <c r="E114" s="87"/>
      <c r="F114" s="87"/>
      <c r="G114" s="116"/>
      <c r="H114" s="116"/>
      <c r="I114" s="87"/>
      <c r="J114" s="87"/>
      <c r="K114" s="87"/>
      <c r="M114" s="120"/>
    </row>
    <row r="115" spans="3:13" x14ac:dyDescent="0.2">
      <c r="C115" s="87"/>
      <c r="D115" s="87"/>
      <c r="E115" s="87"/>
      <c r="F115" s="87"/>
      <c r="G115" s="116"/>
      <c r="H115" s="116"/>
      <c r="I115" s="87"/>
      <c r="J115" s="87"/>
      <c r="K115" s="87"/>
      <c r="M115" s="120"/>
    </row>
    <row r="116" spans="3:13" x14ac:dyDescent="0.2">
      <c r="C116" s="87"/>
      <c r="D116" s="87"/>
      <c r="E116" s="87"/>
      <c r="F116" s="87"/>
      <c r="G116" s="116"/>
      <c r="H116" s="116"/>
      <c r="I116" s="87"/>
      <c r="J116" s="87"/>
      <c r="K116" s="87"/>
      <c r="M116" s="120"/>
    </row>
    <row r="117" spans="3:13" x14ac:dyDescent="0.2">
      <c r="M117" s="120"/>
    </row>
    <row r="118" spans="3:13" x14ac:dyDescent="0.2">
      <c r="M118" s="120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77"/>
  <sheetViews>
    <sheetView zoomScale="90" zoomScaleNormal="90" zoomScaleSheetLayoutView="90" workbookViewId="0">
      <pane ySplit="8" topLeftCell="A144" activePane="bottomLeft" state="frozen"/>
      <selection pane="bottomLeft" activeCell="E179" sqref="E179"/>
    </sheetView>
  </sheetViews>
  <sheetFormatPr defaultColWidth="9.140625" defaultRowHeight="12.75" x14ac:dyDescent="0.2"/>
  <cols>
    <col min="1" max="1" width="2.42578125" style="118" customWidth="1"/>
    <col min="2" max="2" width="31.7109375" style="118" customWidth="1"/>
    <col min="3" max="3" width="9.7109375" style="118" customWidth="1"/>
    <col min="4" max="4" width="15.140625" style="186" bestFit="1" customWidth="1"/>
    <col min="5" max="5" width="10.42578125" style="187" customWidth="1"/>
    <col min="6" max="6" width="13.5703125" style="181" customWidth="1"/>
    <col min="7" max="7" width="3" style="63" customWidth="1"/>
    <col min="8" max="8" width="10.42578125" style="188" customWidth="1"/>
    <col min="9" max="9" width="14" style="181" bestFit="1" customWidth="1"/>
    <col min="10" max="10" width="2.85546875" style="181" customWidth="1"/>
    <col min="11" max="11" width="13.140625" style="181" customWidth="1"/>
    <col min="12" max="12" width="10.42578125" style="180" customWidth="1"/>
    <col min="13" max="13" width="2.85546875" style="38" customWidth="1"/>
    <col min="14" max="14" width="2.140625" style="126" customWidth="1"/>
    <col min="15" max="15" width="14.5703125" style="118" bestFit="1" customWidth="1"/>
    <col min="16" max="16" width="2.85546875" style="118" customWidth="1"/>
    <col min="17" max="16384" width="9.140625" style="118"/>
  </cols>
  <sheetData>
    <row r="1" spans="1:16" x14ac:dyDescent="0.2">
      <c r="B1" s="490" t="str">
        <f>'Table of Contents'!$A$1</f>
        <v>Puget Sound Energy</v>
      </c>
      <c r="C1" s="25"/>
      <c r="D1" s="27"/>
      <c r="E1" s="122"/>
      <c r="F1" s="26"/>
      <c r="G1" s="123"/>
      <c r="H1" s="124"/>
      <c r="I1" s="26"/>
      <c r="J1" s="26"/>
      <c r="K1" s="26"/>
      <c r="L1" s="30"/>
      <c r="M1" s="30"/>
      <c r="N1" s="31"/>
      <c r="O1" s="25"/>
      <c r="P1" s="25"/>
    </row>
    <row r="2" spans="1:16" x14ac:dyDescent="0.2">
      <c r="B2" s="264" t="str">
        <f>'Table of Contents'!$A$2</f>
        <v>2022 Gas General Rate Case Filing</v>
      </c>
      <c r="C2" s="4"/>
      <c r="D2" s="124"/>
      <c r="E2" s="26"/>
      <c r="F2" s="26"/>
      <c r="G2" s="124"/>
      <c r="H2" s="124"/>
      <c r="I2" s="26"/>
      <c r="J2" s="26"/>
      <c r="K2" s="26"/>
      <c r="L2" s="26"/>
      <c r="M2" s="30"/>
      <c r="N2" s="31"/>
      <c r="O2" s="25"/>
      <c r="P2" s="25"/>
    </row>
    <row r="3" spans="1:16" x14ac:dyDescent="0.2">
      <c r="B3" s="264" t="str">
        <f>'Table of Contents'!$A$3</f>
        <v>Gas Rate Spread &amp; Design Work Paper</v>
      </c>
      <c r="C3" s="4"/>
      <c r="D3" s="124"/>
      <c r="E3" s="26"/>
      <c r="F3" s="26"/>
      <c r="G3" s="124"/>
      <c r="H3" s="124"/>
      <c r="I3" s="26"/>
      <c r="J3" s="26"/>
      <c r="K3" s="26"/>
      <c r="L3" s="26"/>
      <c r="M3" s="30"/>
      <c r="N3" s="31"/>
      <c r="O3" s="25"/>
      <c r="P3" s="25"/>
    </row>
    <row r="4" spans="1:16" x14ac:dyDescent="0.2">
      <c r="B4" s="264" t="s">
        <v>90</v>
      </c>
      <c r="C4" s="4"/>
      <c r="D4" s="124"/>
      <c r="E4" s="26"/>
      <c r="F4" s="26"/>
      <c r="G4" s="124"/>
      <c r="H4" s="124"/>
      <c r="I4" s="26"/>
      <c r="J4" s="26"/>
      <c r="K4" s="26"/>
      <c r="L4" s="26"/>
      <c r="M4" s="30"/>
      <c r="N4" s="31"/>
      <c r="O4" s="25"/>
      <c r="P4" s="25"/>
    </row>
    <row r="5" spans="1:16" x14ac:dyDescent="0.2">
      <c r="B5" s="264" t="str">
        <f>'Exh JDT-5 (JDT-Rate Spread)'!B5</f>
        <v>Rate Spread and Schedule 141R and 141N Allocation</v>
      </c>
      <c r="C5" s="4"/>
      <c r="D5" s="27"/>
      <c r="E5" s="122"/>
      <c r="F5" s="26"/>
      <c r="G5" s="123"/>
      <c r="H5" s="124"/>
      <c r="I5" s="26"/>
      <c r="J5" s="26"/>
      <c r="K5" s="26"/>
      <c r="L5" s="30"/>
      <c r="M5" s="30"/>
      <c r="N5" s="31"/>
      <c r="O5" s="32"/>
      <c r="P5" s="25"/>
    </row>
    <row r="6" spans="1:16" s="61" customFormat="1" x14ac:dyDescent="0.2">
      <c r="B6" s="125"/>
      <c r="C6" s="32"/>
      <c r="D6" s="63"/>
      <c r="E6" s="69"/>
      <c r="F6" s="98"/>
      <c r="G6" s="63"/>
      <c r="H6" s="104"/>
      <c r="I6" s="98"/>
      <c r="J6" s="98"/>
      <c r="K6" s="98"/>
      <c r="L6" s="126"/>
      <c r="M6" s="135"/>
      <c r="N6" s="135"/>
    </row>
    <row r="7" spans="1:16" x14ac:dyDescent="0.2">
      <c r="B7" s="40"/>
      <c r="C7" s="41"/>
      <c r="D7" s="127" t="s">
        <v>10</v>
      </c>
      <c r="E7" s="44" t="s">
        <v>173</v>
      </c>
      <c r="F7" s="43"/>
      <c r="G7" s="189"/>
      <c r="H7" s="7" t="s">
        <v>96</v>
      </c>
      <c r="I7" s="43"/>
      <c r="J7" s="45"/>
      <c r="K7" s="764" t="s">
        <v>12</v>
      </c>
      <c r="L7" s="765"/>
      <c r="M7" s="135"/>
      <c r="N7" s="31"/>
      <c r="O7" s="327" t="s">
        <v>3</v>
      </c>
    </row>
    <row r="8" spans="1:16" x14ac:dyDescent="0.2">
      <c r="B8" s="47" t="s">
        <v>13</v>
      </c>
      <c r="C8" s="128" t="s">
        <v>14</v>
      </c>
      <c r="D8" s="129" t="s">
        <v>15</v>
      </c>
      <c r="E8" s="130" t="s">
        <v>4</v>
      </c>
      <c r="F8" s="48" t="s">
        <v>16</v>
      </c>
      <c r="G8" s="129"/>
      <c r="H8" s="73" t="s">
        <v>4</v>
      </c>
      <c r="I8" s="48" t="s">
        <v>16</v>
      </c>
      <c r="J8" s="48"/>
      <c r="K8" s="48" t="s">
        <v>17</v>
      </c>
      <c r="L8" s="131" t="s">
        <v>18</v>
      </c>
      <c r="M8" s="135"/>
      <c r="N8" s="50"/>
      <c r="O8" s="328" t="s">
        <v>6</v>
      </c>
    </row>
    <row r="9" spans="1:16" x14ac:dyDescent="0.2">
      <c r="A9" s="61"/>
      <c r="B9" s="97"/>
      <c r="C9" s="134"/>
      <c r="D9" s="63"/>
      <c r="E9" s="69"/>
      <c r="F9" s="98"/>
      <c r="G9" s="84"/>
      <c r="H9" s="104"/>
      <c r="I9" s="64"/>
      <c r="J9" s="64"/>
      <c r="K9" s="98"/>
      <c r="L9" s="132"/>
      <c r="M9" s="135"/>
      <c r="O9" s="61"/>
    </row>
    <row r="10" spans="1:16" x14ac:dyDescent="0.2">
      <c r="B10" s="53" t="s">
        <v>57</v>
      </c>
      <c r="C10" s="475"/>
      <c r="D10" s="476"/>
      <c r="E10" s="477"/>
      <c r="F10" s="478"/>
      <c r="G10" s="479"/>
      <c r="H10" s="480"/>
      <c r="I10" s="481"/>
      <c r="J10" s="481"/>
      <c r="K10" s="478"/>
      <c r="L10" s="482"/>
      <c r="M10" s="135"/>
      <c r="N10" s="135"/>
    </row>
    <row r="11" spans="1:16" x14ac:dyDescent="0.2">
      <c r="B11" s="106"/>
      <c r="C11" s="61"/>
      <c r="D11" s="63"/>
      <c r="E11" s="69"/>
      <c r="F11" s="89"/>
      <c r="G11" s="84"/>
      <c r="H11" s="104"/>
      <c r="I11" s="151"/>
      <c r="J11" s="64"/>
      <c r="K11" s="89"/>
      <c r="L11" s="133"/>
      <c r="M11" s="135"/>
      <c r="N11" s="135"/>
      <c r="O11" s="193" t="s">
        <v>58</v>
      </c>
    </row>
    <row r="12" spans="1:16" x14ac:dyDescent="0.2">
      <c r="B12" s="97" t="s">
        <v>20</v>
      </c>
      <c r="C12" s="134" t="s">
        <v>21</v>
      </c>
      <c r="D12" s="63">
        <v>368.56669691470051</v>
      </c>
      <c r="E12" s="104">
        <v>595.08000000000004</v>
      </c>
      <c r="F12" s="89">
        <f>ROUND(D12*E12,2)</f>
        <v>219326.67</v>
      </c>
      <c r="H12" s="278">
        <v>701.68</v>
      </c>
      <c r="I12" s="151">
        <f>ROUND(D12*H12,2)</f>
        <v>258615.88</v>
      </c>
      <c r="J12" s="64"/>
      <c r="K12" s="89">
        <f>I12-F12</f>
        <v>39289.209999999992</v>
      </c>
      <c r="L12" s="422">
        <f>IFERROR(K12/F12, )</f>
        <v>0.17913557890611292</v>
      </c>
      <c r="M12" s="135"/>
      <c r="N12" s="135"/>
      <c r="O12" s="60">
        <f>'Exh JDT-5 (JDT-Rate Spread)'!I56</f>
        <v>9611898.688954046</v>
      </c>
    </row>
    <row r="13" spans="1:16" x14ac:dyDescent="0.2">
      <c r="B13" s="106" t="s">
        <v>43</v>
      </c>
      <c r="C13" s="61" t="s">
        <v>44</v>
      </c>
      <c r="D13" s="63">
        <v>96766.635999999999</v>
      </c>
      <c r="E13" s="104">
        <v>1.3</v>
      </c>
      <c r="F13" s="89">
        <f>ROUND(D13*E13,2)</f>
        <v>125796.63</v>
      </c>
      <c r="H13" s="278">
        <f>ROUND(E13*(1+$O$16),2)</f>
        <v>1.44</v>
      </c>
      <c r="I13" s="151">
        <f>ROUND(D13*H13,2)</f>
        <v>139343.96</v>
      </c>
      <c r="J13" s="64"/>
      <c r="K13" s="89">
        <f>I13-F13</f>
        <v>13547.329999999987</v>
      </c>
      <c r="L13" s="422">
        <f t="shared" ref="L13:L15" si="0">IFERROR(K13/F13, )</f>
        <v>0.10769231258420824</v>
      </c>
      <c r="M13" s="135"/>
      <c r="N13" s="135"/>
      <c r="O13" s="62" t="s">
        <v>24</v>
      </c>
    </row>
    <row r="14" spans="1:16" x14ac:dyDescent="0.2">
      <c r="B14" s="106" t="s">
        <v>36</v>
      </c>
      <c r="C14" s="61" t="s">
        <v>23</v>
      </c>
      <c r="D14" s="63">
        <f>D21</f>
        <v>19992939.502740219</v>
      </c>
      <c r="E14" s="88">
        <v>7.0499999999999998E-3</v>
      </c>
      <c r="F14" s="89">
        <f>E14*D14</f>
        <v>140950.22349431855</v>
      </c>
      <c r="H14" s="80">
        <f>ROUND(E14*(1+$O$16),5)</f>
        <v>7.7999999999999996E-3</v>
      </c>
      <c r="I14" s="151">
        <f>ROUND(D14*H14,2)</f>
        <v>155944.93</v>
      </c>
      <c r="J14" s="98"/>
      <c r="K14" s="89">
        <f>I14-F14</f>
        <v>14994.706505681446</v>
      </c>
      <c r="L14" s="422">
        <f t="shared" si="0"/>
        <v>0.10638299205170013</v>
      </c>
      <c r="M14" s="135"/>
      <c r="N14" s="135"/>
      <c r="O14" s="136">
        <f>I54-O12</f>
        <v>91.681045953184366</v>
      </c>
    </row>
    <row r="15" spans="1:16" x14ac:dyDescent="0.2">
      <c r="B15" s="106" t="s">
        <v>59</v>
      </c>
      <c r="C15" s="61"/>
      <c r="D15" s="63"/>
      <c r="E15" s="88"/>
      <c r="F15" s="154">
        <v>9677.49</v>
      </c>
      <c r="H15" s="88"/>
      <c r="I15" s="109">
        <f>F15</f>
        <v>9677.49</v>
      </c>
      <c r="J15" s="98"/>
      <c r="K15" s="89">
        <f>I15-F15</f>
        <v>0</v>
      </c>
      <c r="L15" s="422">
        <f t="shared" si="0"/>
        <v>0</v>
      </c>
      <c r="M15" s="135"/>
      <c r="N15" s="135"/>
      <c r="O15" s="68"/>
    </row>
    <row r="16" spans="1:16" x14ac:dyDescent="0.2">
      <c r="B16" s="106"/>
      <c r="C16" s="61"/>
      <c r="D16" s="63"/>
      <c r="E16" s="88"/>
      <c r="F16" s="109"/>
      <c r="H16" s="88"/>
      <c r="I16" s="154"/>
      <c r="J16" s="64"/>
      <c r="K16" s="89"/>
      <c r="L16" s="133"/>
      <c r="M16" s="135"/>
      <c r="N16" s="135"/>
      <c r="O16" s="568">
        <f>'Exh JDT-5 (JDT-Rate Spread)'!I59</f>
        <v>0.10610240784340896</v>
      </c>
    </row>
    <row r="17" spans="2:16" x14ac:dyDescent="0.2">
      <c r="B17" s="106" t="s">
        <v>45</v>
      </c>
      <c r="C17" s="61"/>
      <c r="D17" s="63"/>
      <c r="E17" s="88"/>
      <c r="F17" s="109"/>
      <c r="H17" s="88"/>
      <c r="I17" s="154"/>
      <c r="J17" s="64"/>
      <c r="K17" s="89"/>
      <c r="L17" s="133"/>
      <c r="M17" s="135"/>
      <c r="N17" s="135"/>
      <c r="O17" s="137"/>
    </row>
    <row r="18" spans="2:16" x14ac:dyDescent="0.2">
      <c r="B18" s="106" t="s">
        <v>60</v>
      </c>
      <c r="C18" s="61" t="s">
        <v>23</v>
      </c>
      <c r="D18" s="63">
        <v>8259556.7221568692</v>
      </c>
      <c r="E18" s="88">
        <v>0.1084</v>
      </c>
      <c r="F18" s="109">
        <f>ROUND(D18*E18,2)</f>
        <v>895335.95</v>
      </c>
      <c r="H18" s="80">
        <f>ROUND((O12-SUM(I12:I15,I19:I20, I28:I30,I34:I35))/SUM(D18,D33),5)</f>
        <v>0.12488</v>
      </c>
      <c r="I18" s="154">
        <f>ROUND(D18*H18,2)</f>
        <v>1031453.44</v>
      </c>
      <c r="J18" s="64"/>
      <c r="K18" s="89">
        <f>I18-F18</f>
        <v>136117.49</v>
      </c>
      <c r="L18" s="422">
        <f t="shared" ref="L18:L20" si="1">IFERROR(K18/F18, )</f>
        <v>0.15202951473131399</v>
      </c>
      <c r="M18" s="135"/>
      <c r="N18" s="135"/>
      <c r="O18" s="289"/>
      <c r="P18" s="138"/>
    </row>
    <row r="19" spans="2:16" x14ac:dyDescent="0.2">
      <c r="B19" s="106" t="s">
        <v>61</v>
      </c>
      <c r="C19" s="61" t="s">
        <v>23</v>
      </c>
      <c r="D19" s="63">
        <v>4347559.727</v>
      </c>
      <c r="E19" s="88">
        <v>5.3650000000000003E-2</v>
      </c>
      <c r="F19" s="109">
        <f>ROUND(D19*E19,2)</f>
        <v>233246.58</v>
      </c>
      <c r="H19" s="80">
        <f>ROUND(E19*(1+$O$16),5)</f>
        <v>5.9339999999999997E-2</v>
      </c>
      <c r="I19" s="154">
        <f>ROUND(D19*H19,2)</f>
        <v>257984.19</v>
      </c>
      <c r="J19" s="64"/>
      <c r="K19" s="89">
        <f>I19-F19</f>
        <v>24737.610000000015</v>
      </c>
      <c r="L19" s="422">
        <f t="shared" si="1"/>
        <v>0.10605776084691153</v>
      </c>
      <c r="M19" s="135"/>
      <c r="N19" s="135"/>
      <c r="O19" s="82"/>
      <c r="P19" s="82"/>
    </row>
    <row r="20" spans="2:16" x14ac:dyDescent="0.2">
      <c r="B20" s="106" t="s">
        <v>62</v>
      </c>
      <c r="C20" s="61" t="s">
        <v>23</v>
      </c>
      <c r="D20" s="63">
        <v>7385823.0535833519</v>
      </c>
      <c r="E20" s="88">
        <v>5.1319999999999998E-2</v>
      </c>
      <c r="F20" s="109">
        <f>ROUND(D20*E20,2)</f>
        <v>379040.44</v>
      </c>
      <c r="H20" s="80">
        <f>ROUND(E20*(1+$O$16),5)</f>
        <v>5.6770000000000001E-2</v>
      </c>
      <c r="I20" s="154">
        <f>ROUND(D20*H20,2)</f>
        <v>419293.17</v>
      </c>
      <c r="J20" s="64"/>
      <c r="K20" s="89">
        <f>I20-F20</f>
        <v>40252.729999999981</v>
      </c>
      <c r="L20" s="422">
        <f t="shared" si="1"/>
        <v>0.10619639951874259</v>
      </c>
      <c r="M20" s="135"/>
      <c r="N20" s="135"/>
      <c r="O20" s="82"/>
      <c r="P20" s="82"/>
    </row>
    <row r="21" spans="2:16" x14ac:dyDescent="0.2">
      <c r="B21" s="97" t="s">
        <v>27</v>
      </c>
      <c r="C21" s="134"/>
      <c r="D21" s="170">
        <f>SUM(D18:D20)</f>
        <v>19992939.502740219</v>
      </c>
      <c r="E21" s="98"/>
      <c r="F21" s="155">
        <f>SUM(F12:F20)</f>
        <v>2003373.9834943186</v>
      </c>
      <c r="H21" s="104"/>
      <c r="I21" s="155">
        <f>SUM(I12:I20)</f>
        <v>2272313.06</v>
      </c>
      <c r="J21" s="64"/>
      <c r="K21" s="94">
        <f>SUM(K12:K20)</f>
        <v>268939.07650568138</v>
      </c>
      <c r="L21" s="423">
        <f>IFERROR(K21/F21, )</f>
        <v>0.13424307129944521</v>
      </c>
      <c r="M21" s="135"/>
      <c r="N21" s="135"/>
      <c r="O21" s="139"/>
      <c r="P21" s="95"/>
    </row>
    <row r="22" spans="2:16" ht="12.75" customHeight="1" x14ac:dyDescent="0.2">
      <c r="B22" s="97"/>
      <c r="C22" s="134"/>
      <c r="D22" s="63"/>
      <c r="E22" s="98"/>
      <c r="F22" s="154"/>
      <c r="H22" s="104"/>
      <c r="I22" s="154"/>
      <c r="J22" s="64"/>
      <c r="K22" s="89"/>
      <c r="L22" s="133"/>
      <c r="M22" s="135"/>
      <c r="N22" s="135"/>
      <c r="O22" s="140"/>
      <c r="P22" s="190"/>
    </row>
    <row r="23" spans="2:16" x14ac:dyDescent="0.2">
      <c r="B23" s="106" t="s">
        <v>116</v>
      </c>
      <c r="C23" s="61"/>
      <c r="D23" s="63"/>
      <c r="E23" s="88"/>
      <c r="F23" s="155">
        <f>F21</f>
        <v>2003373.9834943186</v>
      </c>
      <c r="H23" s="104"/>
      <c r="I23" s="155">
        <f>I21</f>
        <v>2272313.06</v>
      </c>
      <c r="J23" s="64"/>
      <c r="K23" s="94">
        <f>K21</f>
        <v>268939.07650568138</v>
      </c>
      <c r="L23" s="423">
        <f>IFERROR(K23/F23, )</f>
        <v>0.13424307129944521</v>
      </c>
      <c r="M23" s="135"/>
      <c r="N23" s="135"/>
    </row>
    <row r="24" spans="2:16" x14ac:dyDescent="0.2">
      <c r="B24" s="71"/>
      <c r="C24" s="144"/>
      <c r="D24" s="145"/>
      <c r="E24" s="146"/>
      <c r="F24" s="108"/>
      <c r="G24" s="145"/>
      <c r="H24" s="147"/>
      <c r="I24" s="108"/>
      <c r="J24" s="148"/>
      <c r="K24" s="76"/>
      <c r="L24" s="77"/>
      <c r="M24" s="135"/>
      <c r="N24" s="135"/>
    </row>
    <row r="25" spans="2:16" x14ac:dyDescent="0.2">
      <c r="B25" s="92"/>
      <c r="C25" s="92"/>
      <c r="D25" s="63"/>
      <c r="E25" s="88"/>
      <c r="F25" s="109"/>
      <c r="H25" s="104"/>
      <c r="I25" s="154"/>
      <c r="J25" s="149"/>
      <c r="K25" s="109"/>
      <c r="L25" s="102"/>
      <c r="M25" s="135"/>
      <c r="N25" s="135"/>
    </row>
    <row r="26" spans="2:16" x14ac:dyDescent="0.2">
      <c r="B26" s="53" t="s">
        <v>63</v>
      </c>
      <c r="C26" s="475"/>
      <c r="D26" s="476"/>
      <c r="E26" s="477"/>
      <c r="F26" s="483"/>
      <c r="G26" s="479"/>
      <c r="H26" s="480"/>
      <c r="I26" s="484"/>
      <c r="J26" s="481"/>
      <c r="K26" s="478"/>
      <c r="L26" s="482"/>
      <c r="M26" s="135"/>
      <c r="N26" s="135"/>
      <c r="O26" s="150"/>
      <c r="P26" s="103"/>
    </row>
    <row r="27" spans="2:16" x14ac:dyDescent="0.2">
      <c r="B27" s="106"/>
      <c r="C27" s="61"/>
      <c r="D27" s="63"/>
      <c r="E27" s="69"/>
      <c r="F27" s="109"/>
      <c r="G27" s="84"/>
      <c r="H27" s="104"/>
      <c r="I27" s="154"/>
      <c r="J27" s="64"/>
      <c r="K27" s="89"/>
      <c r="L27" s="133"/>
      <c r="M27" s="135"/>
      <c r="N27" s="135"/>
      <c r="O27" s="92"/>
      <c r="P27" s="92"/>
    </row>
    <row r="28" spans="2:16" x14ac:dyDescent="0.2">
      <c r="B28" s="97" t="s">
        <v>20</v>
      </c>
      <c r="C28" s="134" t="s">
        <v>21</v>
      </c>
      <c r="D28" s="63">
        <v>884.03333362675562</v>
      </c>
      <c r="E28" s="104">
        <v>903.09</v>
      </c>
      <c r="F28" s="109">
        <f>ROUND(D28*E28,2)</f>
        <v>798361.66</v>
      </c>
      <c r="H28" s="278">
        <f>E28</f>
        <v>903.09</v>
      </c>
      <c r="I28" s="154">
        <f>ROUND(D28*H28,2)</f>
        <v>798361.66</v>
      </c>
      <c r="J28" s="64"/>
      <c r="K28" s="89">
        <f>I28-F28</f>
        <v>0</v>
      </c>
      <c r="L28" s="422">
        <f t="shared" ref="L28:L30" si="2">IFERROR(K28/F28, )</f>
        <v>0</v>
      </c>
      <c r="M28" s="135"/>
      <c r="N28" s="135"/>
      <c r="O28" s="103"/>
      <c r="P28" s="103"/>
    </row>
    <row r="29" spans="2:16" x14ac:dyDescent="0.2">
      <c r="B29" s="106" t="s">
        <v>43</v>
      </c>
      <c r="C29" s="61" t="s">
        <v>44</v>
      </c>
      <c r="D29" s="63">
        <v>651309.33499999996</v>
      </c>
      <c r="E29" s="104">
        <v>1.3</v>
      </c>
      <c r="F29" s="109">
        <f>ROUND(D29*E29,2)</f>
        <v>846702.14</v>
      </c>
      <c r="H29" s="278">
        <f>$H$13</f>
        <v>1.44</v>
      </c>
      <c r="I29" s="154">
        <f>ROUND(D29*H29,2)</f>
        <v>937885.44</v>
      </c>
      <c r="J29" s="64"/>
      <c r="K29" s="89">
        <f>I29-F29</f>
        <v>91183.29999999993</v>
      </c>
      <c r="L29" s="422">
        <f t="shared" si="2"/>
        <v>0.10769229897068634</v>
      </c>
      <c r="M29" s="135"/>
      <c r="N29" s="135"/>
      <c r="O29" s="92"/>
      <c r="P29" s="92"/>
    </row>
    <row r="30" spans="2:16" x14ac:dyDescent="0.2">
      <c r="B30" s="106" t="s">
        <v>59</v>
      </c>
      <c r="C30" s="61"/>
      <c r="D30" s="63"/>
      <c r="E30" s="104"/>
      <c r="F30" s="154">
        <v>-10601.630000000003</v>
      </c>
      <c r="H30" s="278"/>
      <c r="I30" s="154">
        <f>F30</f>
        <v>-10601.630000000003</v>
      </c>
      <c r="J30" s="64"/>
      <c r="K30" s="89">
        <f>I30-F30</f>
        <v>0</v>
      </c>
      <c r="L30" s="422">
        <f t="shared" si="2"/>
        <v>0</v>
      </c>
      <c r="M30" s="135"/>
      <c r="N30" s="135"/>
      <c r="O30" s="92"/>
      <c r="P30" s="92"/>
    </row>
    <row r="31" spans="2:16" x14ac:dyDescent="0.2">
      <c r="B31" s="106"/>
      <c r="C31" s="61"/>
      <c r="D31" s="63"/>
      <c r="E31" s="88"/>
      <c r="F31" s="92"/>
      <c r="H31" s="80"/>
      <c r="I31" s="92"/>
      <c r="J31" s="98"/>
      <c r="K31" s="89"/>
      <c r="L31" s="133"/>
      <c r="M31" s="135"/>
      <c r="N31" s="135"/>
      <c r="O31" s="92"/>
      <c r="P31" s="92"/>
    </row>
    <row r="32" spans="2:16" x14ac:dyDescent="0.2">
      <c r="B32" s="106" t="s">
        <v>45</v>
      </c>
      <c r="C32" s="61"/>
      <c r="D32" s="63"/>
      <c r="E32" s="88"/>
      <c r="F32" s="109"/>
      <c r="H32" s="80"/>
      <c r="I32" s="154"/>
      <c r="J32" s="64"/>
      <c r="K32" s="89"/>
      <c r="L32" s="133"/>
      <c r="M32" s="135"/>
      <c r="N32" s="135"/>
      <c r="O32" s="92"/>
      <c r="P32" s="92"/>
    </row>
    <row r="33" spans="2:16" x14ac:dyDescent="0.2">
      <c r="B33" s="106" t="s">
        <v>60</v>
      </c>
      <c r="C33" s="61" t="s">
        <v>23</v>
      </c>
      <c r="D33" s="63">
        <v>24354615.889999997</v>
      </c>
      <c r="E33" s="88">
        <v>0.1084</v>
      </c>
      <c r="F33" s="109">
        <f>ROUND(D33*E33,2)</f>
        <v>2640040.36</v>
      </c>
      <c r="H33" s="80">
        <f>H18</f>
        <v>0.12488</v>
      </c>
      <c r="I33" s="154">
        <f>ROUND(D33*H33,2)</f>
        <v>3041404.43</v>
      </c>
      <c r="J33" s="64"/>
      <c r="K33" s="89">
        <f>I33-F33</f>
        <v>401364.0700000003</v>
      </c>
      <c r="L33" s="422">
        <f t="shared" ref="L33:L35" si="3">IFERROR(K33/F33, )</f>
        <v>0.1520295204880884</v>
      </c>
      <c r="M33" s="135"/>
      <c r="N33" s="135"/>
      <c r="O33" s="92"/>
      <c r="P33" s="92"/>
    </row>
    <row r="34" spans="2:16" x14ac:dyDescent="0.2">
      <c r="B34" s="106" t="s">
        <v>61</v>
      </c>
      <c r="C34" s="61" t="s">
        <v>23</v>
      </c>
      <c r="D34" s="63">
        <v>17329118.52</v>
      </c>
      <c r="E34" s="88">
        <v>5.3650000000000003E-2</v>
      </c>
      <c r="F34" s="109">
        <f>ROUND(D34*E34,2)</f>
        <v>929707.21</v>
      </c>
      <c r="H34" s="80">
        <f>H19</f>
        <v>5.9339999999999997E-2</v>
      </c>
      <c r="I34" s="154">
        <f>ROUND(D34*H34,2)</f>
        <v>1028309.89</v>
      </c>
      <c r="J34" s="64"/>
      <c r="K34" s="89">
        <f>I34-F34</f>
        <v>98602.680000000051</v>
      </c>
      <c r="L34" s="422">
        <f t="shared" si="3"/>
        <v>0.10605777705004574</v>
      </c>
      <c r="M34" s="135"/>
      <c r="N34" s="135"/>
      <c r="O34" s="92"/>
      <c r="P34" s="92"/>
    </row>
    <row r="35" spans="2:16" x14ac:dyDescent="0.2">
      <c r="B35" s="106" t="s">
        <v>64</v>
      </c>
      <c r="C35" s="61" t="s">
        <v>23</v>
      </c>
      <c r="D35" s="63">
        <v>27203056.60995879</v>
      </c>
      <c r="E35" s="88">
        <v>5.1319999999999998E-2</v>
      </c>
      <c r="F35" s="108">
        <f>ROUND(D35*E35,2)</f>
        <v>1396060.87</v>
      </c>
      <c r="H35" s="80">
        <f>H20</f>
        <v>5.6770000000000001E-2</v>
      </c>
      <c r="I35" s="154">
        <f>ROUND(D35*H35,2)</f>
        <v>1544317.52</v>
      </c>
      <c r="J35" s="64"/>
      <c r="K35" s="89">
        <f>I35-F35</f>
        <v>148256.64999999991</v>
      </c>
      <c r="L35" s="422">
        <f t="shared" si="3"/>
        <v>0.10619640818383506</v>
      </c>
      <c r="M35" s="135"/>
      <c r="N35" s="135"/>
      <c r="O35" s="92"/>
      <c r="P35" s="92"/>
    </row>
    <row r="36" spans="2:16" x14ac:dyDescent="0.2">
      <c r="B36" s="97" t="s">
        <v>27</v>
      </c>
      <c r="C36" s="134"/>
      <c r="D36" s="170">
        <f>SUM(D33:D35)</f>
        <v>68886791.019958794</v>
      </c>
      <c r="E36" s="98"/>
      <c r="F36" s="155">
        <f>SUM(F28:F35)</f>
        <v>6600270.6100000003</v>
      </c>
      <c r="H36" s="104"/>
      <c r="I36" s="155">
        <f>SUM(I28:I35)</f>
        <v>7339677.3100000005</v>
      </c>
      <c r="J36" s="64"/>
      <c r="K36" s="94">
        <f>SUM(K28:K35)</f>
        <v>739406.70000000019</v>
      </c>
      <c r="L36" s="423">
        <f>IFERROR(K36/F36, )</f>
        <v>0.11202672491635918</v>
      </c>
      <c r="M36" s="135"/>
      <c r="N36" s="135"/>
      <c r="O36" s="92"/>
      <c r="P36" s="92"/>
    </row>
    <row r="37" spans="2:16" x14ac:dyDescent="0.2">
      <c r="B37" s="97"/>
      <c r="C37" s="134"/>
      <c r="D37" s="63"/>
      <c r="E37" s="98"/>
      <c r="F37" s="154"/>
      <c r="H37" s="104"/>
      <c r="I37" s="154"/>
      <c r="J37" s="64"/>
      <c r="K37" s="89"/>
      <c r="L37" s="133"/>
      <c r="M37" s="135"/>
      <c r="N37" s="135"/>
      <c r="O37" s="103"/>
      <c r="P37" s="92"/>
    </row>
    <row r="38" spans="2:16" x14ac:dyDescent="0.2">
      <c r="B38" s="97" t="s">
        <v>116</v>
      </c>
      <c r="C38" s="61"/>
      <c r="D38" s="63"/>
      <c r="E38" s="104"/>
      <c r="F38" s="155">
        <f>F36</f>
        <v>6600270.6100000003</v>
      </c>
      <c r="G38" s="92"/>
      <c r="H38" s="104"/>
      <c r="I38" s="155">
        <f>I36</f>
        <v>7339677.3100000005</v>
      </c>
      <c r="J38" s="98"/>
      <c r="K38" s="94">
        <f>K36</f>
        <v>739406.70000000019</v>
      </c>
      <c r="L38" s="423">
        <f>IFERROR(K38/F38, )</f>
        <v>0.11202672491635918</v>
      </c>
      <c r="M38" s="135"/>
      <c r="N38" s="135"/>
      <c r="O38" s="152"/>
      <c r="P38" s="92"/>
    </row>
    <row r="39" spans="2:16" x14ac:dyDescent="0.2">
      <c r="B39" s="71"/>
      <c r="C39" s="144"/>
      <c r="D39" s="145"/>
      <c r="E39" s="146"/>
      <c r="F39" s="108"/>
      <c r="G39" s="145"/>
      <c r="H39" s="147"/>
      <c r="I39" s="158"/>
      <c r="J39" s="148"/>
      <c r="K39" s="76"/>
      <c r="L39" s="77"/>
      <c r="M39" s="135"/>
      <c r="N39" s="135"/>
      <c r="O39" s="92"/>
      <c r="P39" s="92"/>
    </row>
    <row r="40" spans="2:16" x14ac:dyDescent="0.2">
      <c r="B40" s="61"/>
      <c r="C40" s="61"/>
      <c r="D40" s="63"/>
      <c r="E40" s="69"/>
      <c r="F40" s="109"/>
      <c r="H40" s="104"/>
      <c r="I40" s="154"/>
      <c r="J40" s="64"/>
      <c r="K40" s="89"/>
      <c r="L40" s="171"/>
      <c r="M40" s="135"/>
      <c r="N40" s="135"/>
      <c r="O40" s="92"/>
      <c r="P40" s="92"/>
    </row>
    <row r="41" spans="2:16" x14ac:dyDescent="0.2">
      <c r="B41" s="78" t="s">
        <v>65</v>
      </c>
      <c r="C41" s="475"/>
      <c r="D41" s="476"/>
      <c r="E41" s="477"/>
      <c r="F41" s="483"/>
      <c r="G41" s="479"/>
      <c r="H41" s="480"/>
      <c r="I41" s="484"/>
      <c r="J41" s="481"/>
      <c r="K41" s="478"/>
      <c r="L41" s="482"/>
      <c r="M41" s="135"/>
      <c r="N41" s="135"/>
      <c r="O41" s="92"/>
      <c r="P41" s="92"/>
    </row>
    <row r="42" spans="2:16" x14ac:dyDescent="0.2">
      <c r="B42" s="106"/>
      <c r="C42" s="61"/>
      <c r="D42" s="63"/>
      <c r="E42" s="88"/>
      <c r="F42" s="109"/>
      <c r="G42" s="84"/>
      <c r="H42" s="104"/>
      <c r="I42" s="154"/>
      <c r="J42" s="149"/>
      <c r="K42" s="109"/>
      <c r="L42" s="156"/>
      <c r="M42" s="153"/>
      <c r="N42" s="135"/>
      <c r="O42" s="92"/>
      <c r="P42" s="92"/>
    </row>
    <row r="43" spans="2:16" x14ac:dyDescent="0.2">
      <c r="B43" s="97" t="s">
        <v>20</v>
      </c>
      <c r="C43" s="134" t="s">
        <v>21</v>
      </c>
      <c r="D43" s="63">
        <f>D28+D12</f>
        <v>1252.6000305414561</v>
      </c>
      <c r="E43" s="104"/>
      <c r="F43" s="109">
        <f>F12+F28</f>
        <v>1017688.3300000001</v>
      </c>
      <c r="H43" s="104"/>
      <c r="I43" s="109">
        <f>I12+I28</f>
        <v>1056977.54</v>
      </c>
      <c r="J43" s="149"/>
      <c r="K43" s="109">
        <f>I43-F43</f>
        <v>39289.209999999963</v>
      </c>
      <c r="L43" s="424">
        <f t="shared" ref="L43:L46" si="4">IFERROR(K43/F43, )</f>
        <v>3.860632852103154E-2</v>
      </c>
      <c r="M43" s="153"/>
      <c r="N43" s="135"/>
      <c r="O43" s="92"/>
      <c r="P43" s="92"/>
    </row>
    <row r="44" spans="2:16" x14ac:dyDescent="0.2">
      <c r="B44" s="106" t="s">
        <v>43</v>
      </c>
      <c r="C44" s="61" t="s">
        <v>44</v>
      </c>
      <c r="D44" s="63">
        <f>D29+D13</f>
        <v>748075.9709999999</v>
      </c>
      <c r="E44" s="104"/>
      <c r="F44" s="109">
        <f>F13+F29</f>
        <v>972498.77</v>
      </c>
      <c r="H44" s="104"/>
      <c r="I44" s="109">
        <f>I13+I29</f>
        <v>1077229.3999999999</v>
      </c>
      <c r="J44" s="149"/>
      <c r="K44" s="109">
        <f>I44-F44</f>
        <v>104730.62999999989</v>
      </c>
      <c r="L44" s="424">
        <f t="shared" si="4"/>
        <v>0.10769230073165016</v>
      </c>
      <c r="M44" s="153"/>
      <c r="N44" s="135"/>
      <c r="O44" s="92"/>
      <c r="P44" s="92"/>
    </row>
    <row r="45" spans="2:16" x14ac:dyDescent="0.2">
      <c r="B45" s="106" t="s">
        <v>36</v>
      </c>
      <c r="C45" s="61" t="s">
        <v>23</v>
      </c>
      <c r="D45" s="63">
        <f>D30+D14</f>
        <v>19992939.502740219</v>
      </c>
      <c r="E45" s="104"/>
      <c r="F45" s="109">
        <f>F14</f>
        <v>140950.22349431855</v>
      </c>
      <c r="H45" s="104"/>
      <c r="I45" s="109">
        <f>I14</f>
        <v>155944.93</v>
      </c>
      <c r="J45" s="149"/>
      <c r="K45" s="109">
        <f>I45-F45</f>
        <v>14994.706505681446</v>
      </c>
      <c r="L45" s="424">
        <f t="shared" si="4"/>
        <v>0.10638299205170013</v>
      </c>
      <c r="M45" s="153"/>
      <c r="N45" s="135"/>
      <c r="O45" s="92"/>
      <c r="P45" s="92"/>
    </row>
    <row r="46" spans="2:16" x14ac:dyDescent="0.2">
      <c r="B46" s="106" t="s">
        <v>59</v>
      </c>
      <c r="C46" s="61"/>
      <c r="D46" s="63"/>
      <c r="E46" s="104"/>
      <c r="F46" s="154">
        <f>F15+F30</f>
        <v>-924.14000000000306</v>
      </c>
      <c r="H46" s="104"/>
      <c r="I46" s="154">
        <f>I15+I30</f>
        <v>-924.14000000000306</v>
      </c>
      <c r="J46" s="149"/>
      <c r="K46" s="109">
        <f>I46-F46</f>
        <v>0</v>
      </c>
      <c r="L46" s="424">
        <f t="shared" si="4"/>
        <v>0</v>
      </c>
      <c r="M46" s="153"/>
      <c r="N46" s="135"/>
      <c r="O46" s="92"/>
      <c r="P46" s="92"/>
    </row>
    <row r="47" spans="2:16" x14ac:dyDescent="0.2">
      <c r="B47" s="106"/>
      <c r="C47" s="61"/>
      <c r="D47" s="63"/>
      <c r="E47" s="88"/>
      <c r="F47" s="92"/>
      <c r="H47" s="88"/>
      <c r="I47" s="92"/>
      <c r="J47" s="104"/>
      <c r="K47" s="109"/>
      <c r="L47" s="156"/>
      <c r="M47" s="153"/>
      <c r="N47" s="135"/>
      <c r="O47" s="92"/>
      <c r="P47" s="92"/>
    </row>
    <row r="48" spans="2:16" x14ac:dyDescent="0.2">
      <c r="B48" s="106" t="s">
        <v>45</v>
      </c>
      <c r="C48" s="61"/>
      <c r="D48" s="63"/>
      <c r="E48" s="88"/>
      <c r="F48" s="109"/>
      <c r="H48" s="88"/>
      <c r="I48" s="109"/>
      <c r="J48" s="149"/>
      <c r="K48" s="109"/>
      <c r="L48" s="156"/>
      <c r="M48" s="153"/>
      <c r="N48" s="135"/>
      <c r="O48" s="92"/>
      <c r="P48" s="92"/>
    </row>
    <row r="49" spans="1:16" x14ac:dyDescent="0.2">
      <c r="B49" s="106" t="s">
        <v>60</v>
      </c>
      <c r="C49" s="61" t="s">
        <v>23</v>
      </c>
      <c r="D49" s="63">
        <f>D33+D18</f>
        <v>32614172.612156868</v>
      </c>
      <c r="E49" s="88"/>
      <c r="F49" s="109">
        <f>F18+F33</f>
        <v>3535376.3099999996</v>
      </c>
      <c r="H49" s="82"/>
      <c r="I49" s="109">
        <f>I18+I33</f>
        <v>4072857.87</v>
      </c>
      <c r="J49" s="149"/>
      <c r="K49" s="109">
        <f>I49-F49</f>
        <v>537481.56000000052</v>
      </c>
      <c r="L49" s="424">
        <f t="shared" ref="L49:L51" si="5">IFERROR(K49/F49, )</f>
        <v>0.15202951903018228</v>
      </c>
      <c r="M49" s="153"/>
      <c r="N49" s="135"/>
      <c r="O49" s="92"/>
      <c r="P49" s="92"/>
    </row>
    <row r="50" spans="1:16" x14ac:dyDescent="0.2">
      <c r="B50" s="106" t="s">
        <v>61</v>
      </c>
      <c r="C50" s="61" t="s">
        <v>23</v>
      </c>
      <c r="D50" s="63">
        <f>D34+D19</f>
        <v>21676678.247000001</v>
      </c>
      <c r="E50" s="88"/>
      <c r="F50" s="109">
        <f>F19+F34</f>
        <v>1162953.79</v>
      </c>
      <c r="H50" s="82"/>
      <c r="I50" s="109">
        <f>I19+I34</f>
        <v>1286294.08</v>
      </c>
      <c r="J50" s="149"/>
      <c r="K50" s="109">
        <f>I50-F50</f>
        <v>123340.29000000004</v>
      </c>
      <c r="L50" s="424">
        <f t="shared" si="5"/>
        <v>0.10605777380028146</v>
      </c>
      <c r="M50" s="153"/>
      <c r="N50" s="135"/>
      <c r="O50" s="92"/>
      <c r="P50" s="92"/>
    </row>
    <row r="51" spans="1:16" x14ac:dyDescent="0.2">
      <c r="B51" s="106" t="s">
        <v>62</v>
      </c>
      <c r="C51" s="61" t="s">
        <v>23</v>
      </c>
      <c r="D51" s="63">
        <f>D35+D20</f>
        <v>34588879.663542144</v>
      </c>
      <c r="E51" s="88"/>
      <c r="F51" s="108">
        <f>F20+F35</f>
        <v>1775101.31</v>
      </c>
      <c r="H51" s="88"/>
      <c r="I51" s="108">
        <f>I20+I35</f>
        <v>1963610.69</v>
      </c>
      <c r="J51" s="149"/>
      <c r="K51" s="109">
        <f>I51-F51</f>
        <v>188509.37999999989</v>
      </c>
      <c r="L51" s="424">
        <f t="shared" si="5"/>
        <v>0.10619640633356295</v>
      </c>
      <c r="M51" s="153"/>
      <c r="N51" s="135"/>
      <c r="O51" s="92"/>
      <c r="P51" s="92"/>
    </row>
    <row r="52" spans="1:16" x14ac:dyDescent="0.2">
      <c r="B52" s="97" t="s">
        <v>27</v>
      </c>
      <c r="C52" s="134"/>
      <c r="D52" s="170">
        <f>SUM(D49:D51)</f>
        <v>88879730.522699013</v>
      </c>
      <c r="E52" s="104"/>
      <c r="F52" s="155">
        <f>SUM(F43:F51)</f>
        <v>8603644.5934943184</v>
      </c>
      <c r="H52" s="104"/>
      <c r="I52" s="155">
        <f>SUM(I43:I51)</f>
        <v>9611990.3699999992</v>
      </c>
      <c r="J52" s="149"/>
      <c r="K52" s="155">
        <f>SUM(K43:K51)</f>
        <v>1008345.7765056817</v>
      </c>
      <c r="L52" s="423">
        <f>IFERROR(K52/F52, )</f>
        <v>0.11719984078237571</v>
      </c>
      <c r="M52" s="153"/>
      <c r="N52" s="135"/>
      <c r="O52" s="92"/>
      <c r="P52" s="92"/>
    </row>
    <row r="53" spans="1:16" x14ac:dyDescent="0.2">
      <c r="B53" s="97"/>
      <c r="C53" s="134"/>
      <c r="D53" s="63"/>
      <c r="E53" s="104"/>
      <c r="F53" s="154"/>
      <c r="H53" s="104"/>
      <c r="I53" s="154"/>
      <c r="J53" s="149"/>
      <c r="K53" s="109"/>
      <c r="L53" s="156"/>
      <c r="M53" s="153"/>
      <c r="N53" s="135"/>
      <c r="O53" s="92"/>
      <c r="P53" s="92"/>
    </row>
    <row r="54" spans="1:16" x14ac:dyDescent="0.2">
      <c r="B54" s="106" t="s">
        <v>116</v>
      </c>
      <c r="C54" s="61"/>
      <c r="D54" s="63"/>
      <c r="E54" s="104"/>
      <c r="F54" s="155">
        <f>F52</f>
        <v>8603644.5934943184</v>
      </c>
      <c r="H54" s="104"/>
      <c r="I54" s="155">
        <f>I52</f>
        <v>9611990.3699999992</v>
      </c>
      <c r="J54" s="149"/>
      <c r="K54" s="155">
        <f>K52</f>
        <v>1008345.7765056817</v>
      </c>
      <c r="L54" s="423">
        <f>IFERROR(K54/F54, )</f>
        <v>0.11719984078237571</v>
      </c>
      <c r="M54" s="153"/>
      <c r="N54" s="135"/>
    </row>
    <row r="55" spans="1:16" x14ac:dyDescent="0.2">
      <c r="B55" s="71"/>
      <c r="C55" s="144"/>
      <c r="D55" s="145"/>
      <c r="E55" s="157"/>
      <c r="F55" s="108"/>
      <c r="G55" s="145"/>
      <c r="H55" s="147"/>
      <c r="I55" s="158"/>
      <c r="J55" s="159"/>
      <c r="K55" s="108"/>
      <c r="L55" s="100"/>
      <c r="M55" s="153"/>
      <c r="N55" s="135"/>
    </row>
    <row r="56" spans="1:16" x14ac:dyDescent="0.2">
      <c r="A56" s="61"/>
      <c r="B56" s="61"/>
      <c r="C56" s="61"/>
      <c r="D56" s="63"/>
      <c r="E56" s="69"/>
      <c r="F56" s="109"/>
      <c r="H56" s="104"/>
      <c r="I56" s="154"/>
      <c r="J56" s="64"/>
      <c r="K56" s="89"/>
      <c r="L56" s="171"/>
      <c r="M56" s="135"/>
      <c r="N56" s="135"/>
      <c r="O56" s="61"/>
    </row>
    <row r="57" spans="1:16" x14ac:dyDescent="0.2">
      <c r="B57" s="53" t="s">
        <v>66</v>
      </c>
      <c r="C57" s="475"/>
      <c r="D57" s="476"/>
      <c r="E57" s="477"/>
      <c r="F57" s="483"/>
      <c r="G57" s="476"/>
      <c r="H57" s="480"/>
      <c r="I57" s="485"/>
      <c r="J57" s="481"/>
      <c r="K57" s="478"/>
      <c r="L57" s="486"/>
      <c r="M57" s="135"/>
      <c r="N57" s="135"/>
      <c r="O57" s="61"/>
    </row>
    <row r="58" spans="1:16" x14ac:dyDescent="0.2">
      <c r="B58" s="106"/>
      <c r="C58" s="61"/>
      <c r="D58" s="63"/>
      <c r="E58" s="69"/>
      <c r="F58" s="109"/>
      <c r="G58" s="84"/>
      <c r="H58" s="104"/>
      <c r="I58" s="154"/>
      <c r="J58" s="64"/>
      <c r="K58" s="89"/>
      <c r="L58" s="133"/>
      <c r="M58" s="135"/>
      <c r="N58" s="135"/>
      <c r="O58" s="193" t="s">
        <v>67</v>
      </c>
    </row>
    <row r="59" spans="1:16" x14ac:dyDescent="0.2">
      <c r="B59" s="97" t="s">
        <v>20</v>
      </c>
      <c r="C59" s="134" t="s">
        <v>21</v>
      </c>
      <c r="D59" s="63">
        <v>1364.2999596828383</v>
      </c>
      <c r="E59" s="104">
        <v>148.82</v>
      </c>
      <c r="F59" s="109">
        <f>ROUND(D59*E59,2)</f>
        <v>203035.12</v>
      </c>
      <c r="H59" s="278">
        <f>E59</f>
        <v>148.82</v>
      </c>
      <c r="I59" s="154">
        <f>ROUND(D59*H59,2)</f>
        <v>203035.12</v>
      </c>
      <c r="J59" s="64"/>
      <c r="K59" s="89">
        <f>I59-F59</f>
        <v>0</v>
      </c>
      <c r="L59" s="422">
        <f t="shared" ref="L59:L62" si="6">IFERROR(K59/F59, )</f>
        <v>0</v>
      </c>
      <c r="M59" s="135"/>
      <c r="N59" s="135"/>
      <c r="O59" s="60">
        <f>'Exh JDT-5 (JDT-Rate Spread)'!J56</f>
        <v>1560028.5146650348</v>
      </c>
    </row>
    <row r="60" spans="1:16" x14ac:dyDescent="0.2">
      <c r="B60" s="106" t="s">
        <v>43</v>
      </c>
      <c r="C60" s="61" t="s">
        <v>44</v>
      </c>
      <c r="D60" s="63">
        <v>39087.972999999998</v>
      </c>
      <c r="E60" s="104">
        <v>1.35</v>
      </c>
      <c r="F60" s="109">
        <f>ROUND(D60*E60,2)</f>
        <v>52768.76</v>
      </c>
      <c r="H60" s="278">
        <f>E60</f>
        <v>1.35</v>
      </c>
      <c r="I60" s="154">
        <f>ROUND(D60*H60,2)</f>
        <v>52768.76</v>
      </c>
      <c r="J60" s="64"/>
      <c r="K60" s="89">
        <f>I60-F60</f>
        <v>0</v>
      </c>
      <c r="L60" s="422">
        <f t="shared" si="6"/>
        <v>0</v>
      </c>
      <c r="M60" s="135"/>
      <c r="N60" s="135"/>
      <c r="O60" s="62" t="s">
        <v>24</v>
      </c>
    </row>
    <row r="61" spans="1:16" x14ac:dyDescent="0.2">
      <c r="B61" s="106" t="s">
        <v>36</v>
      </c>
      <c r="C61" s="61" t="s">
        <v>23</v>
      </c>
      <c r="D61" s="63">
        <f>D67</f>
        <v>5773170.4876905456</v>
      </c>
      <c r="E61" s="88">
        <v>1.222E-2</v>
      </c>
      <c r="F61" s="109">
        <f>ROUND(D61*E61,2)</f>
        <v>70548.14</v>
      </c>
      <c r="H61" s="80">
        <f>E61</f>
        <v>1.222E-2</v>
      </c>
      <c r="I61" s="154">
        <f>ROUND(D67*H61,2)</f>
        <v>70548.14</v>
      </c>
      <c r="J61" s="64"/>
      <c r="K61" s="89">
        <f>I61-F61</f>
        <v>0</v>
      </c>
      <c r="L61" s="422">
        <f t="shared" si="6"/>
        <v>0</v>
      </c>
      <c r="M61" s="135"/>
      <c r="N61" s="135"/>
      <c r="O61" s="136">
        <f>I98-O59</f>
        <v>2.5053349651861936</v>
      </c>
    </row>
    <row r="62" spans="1:16" x14ac:dyDescent="0.2">
      <c r="B62" s="106" t="s">
        <v>59</v>
      </c>
      <c r="C62" s="61"/>
      <c r="D62" s="63"/>
      <c r="E62" s="88"/>
      <c r="F62" s="154">
        <v>7612.77</v>
      </c>
      <c r="H62" s="80"/>
      <c r="I62" s="154">
        <f>F62</f>
        <v>7612.77</v>
      </c>
      <c r="J62" s="160"/>
      <c r="K62" s="89">
        <f>I62-F62</f>
        <v>0</v>
      </c>
      <c r="L62" s="422">
        <f t="shared" si="6"/>
        <v>0</v>
      </c>
      <c r="M62" s="135"/>
      <c r="N62" s="135"/>
      <c r="O62" s="137"/>
    </row>
    <row r="63" spans="1:16" x14ac:dyDescent="0.2">
      <c r="B63" s="106"/>
      <c r="C63" s="61"/>
      <c r="D63" s="63"/>
      <c r="E63" s="88"/>
      <c r="F63" s="109"/>
      <c r="H63" s="80"/>
      <c r="I63" s="154"/>
      <c r="J63" s="64"/>
      <c r="K63" s="89"/>
      <c r="L63" s="133"/>
      <c r="M63" s="135"/>
      <c r="N63" s="135"/>
      <c r="O63" s="568">
        <f>'Exh JDT-5 (JDT-Rate Spread)'!J59</f>
        <v>4.2429683015157149E-2</v>
      </c>
      <c r="P63" s="190"/>
    </row>
    <row r="64" spans="1:16" x14ac:dyDescent="0.2">
      <c r="B64" s="106" t="s">
        <v>45</v>
      </c>
      <c r="C64" s="61"/>
      <c r="D64" s="63"/>
      <c r="E64" s="88"/>
      <c r="F64" s="109"/>
      <c r="H64" s="80"/>
      <c r="I64" s="154"/>
      <c r="J64" s="64"/>
      <c r="K64" s="89"/>
      <c r="L64" s="133"/>
      <c r="M64" s="135"/>
      <c r="N64" s="135"/>
      <c r="O64" s="161"/>
      <c r="P64" s="169"/>
    </row>
    <row r="65" spans="1:16" x14ac:dyDescent="0.2">
      <c r="B65" s="83" t="s">
        <v>68</v>
      </c>
      <c r="C65" s="92" t="s">
        <v>23</v>
      </c>
      <c r="D65" s="63">
        <v>1063981.5778999999</v>
      </c>
      <c r="E65" s="88">
        <v>0.18382000000000001</v>
      </c>
      <c r="F65" s="109">
        <f>ROUND(D65*E65,2)</f>
        <v>195581.09</v>
      </c>
      <c r="H65" s="80">
        <f>ROUND(E65*(1+$O$65),5)</f>
        <v>0.1951</v>
      </c>
      <c r="I65" s="154">
        <f>ROUND(D65*H65,2)</f>
        <v>207582.81</v>
      </c>
      <c r="J65" s="64"/>
      <c r="K65" s="89">
        <f>I65-F65</f>
        <v>12001.720000000001</v>
      </c>
      <c r="L65" s="422">
        <f t="shared" ref="L65:L66" si="7">IFERROR(K65/F65, )</f>
        <v>6.1364419228873313E-2</v>
      </c>
      <c r="M65" s="135"/>
      <c r="N65" s="135"/>
      <c r="O65" s="569">
        <f>(O59-SUM(I88:I91))/SUM(F94:F95)-1</f>
        <v>6.1383682309006371E-2</v>
      </c>
      <c r="P65" s="190"/>
    </row>
    <row r="66" spans="1:16" ht="12.75" customHeight="1" x14ac:dyDescent="0.2">
      <c r="B66" s="83" t="s">
        <v>69</v>
      </c>
      <c r="C66" s="92" t="s">
        <v>23</v>
      </c>
      <c r="D66" s="63">
        <v>4709188.9097905457</v>
      </c>
      <c r="E66" s="88">
        <v>0.13031000000000001</v>
      </c>
      <c r="F66" s="109">
        <f>ROUND(D66*E66,2)</f>
        <v>613654.41</v>
      </c>
      <c r="H66" s="80">
        <f>ROUND(E66*(1+$O$65),5)</f>
        <v>0.13830999999999999</v>
      </c>
      <c r="I66" s="154">
        <f>ROUND(D66*H66,2)</f>
        <v>651327.92000000004</v>
      </c>
      <c r="J66" s="64"/>
      <c r="K66" s="89">
        <f>I66-F66</f>
        <v>37673.510000000009</v>
      </c>
      <c r="L66" s="422">
        <f t="shared" si="7"/>
        <v>6.1392062675798269E-2</v>
      </c>
      <c r="M66" s="135"/>
      <c r="N66" s="135"/>
      <c r="O66" s="161"/>
      <c r="P66" s="190"/>
    </row>
    <row r="67" spans="1:16" ht="12.75" customHeight="1" x14ac:dyDescent="0.2">
      <c r="B67" s="97" t="s">
        <v>27</v>
      </c>
      <c r="C67" s="61" t="s">
        <v>23</v>
      </c>
      <c r="D67" s="170">
        <f>SUM(D65:D66)</f>
        <v>5773170.4876905456</v>
      </c>
      <c r="E67" s="69"/>
      <c r="F67" s="155">
        <f>SUM(F59:F66)</f>
        <v>1143200.29</v>
      </c>
      <c r="H67" s="104"/>
      <c r="I67" s="155">
        <f>SUM(I59:I66)</f>
        <v>1192875.52</v>
      </c>
      <c r="J67" s="64"/>
      <c r="K67" s="94">
        <f>SUM(K59:K66)</f>
        <v>49675.23000000001</v>
      </c>
      <c r="L67" s="425">
        <f>IFERROR(K67/F67, )</f>
        <v>4.3452779390040226E-2</v>
      </c>
      <c r="M67" s="135"/>
      <c r="N67" s="135"/>
      <c r="O67" s="113"/>
      <c r="P67" s="190"/>
    </row>
    <row r="68" spans="1:16" x14ac:dyDescent="0.2">
      <c r="B68" s="97"/>
      <c r="C68" s="134"/>
      <c r="D68" s="63"/>
      <c r="E68" s="69"/>
      <c r="F68" s="154"/>
      <c r="H68" s="104"/>
      <c r="I68" s="154"/>
      <c r="J68" s="64"/>
      <c r="K68" s="89"/>
      <c r="L68" s="59"/>
      <c r="M68" s="135"/>
      <c r="N68" s="143"/>
      <c r="O68" s="140"/>
      <c r="P68" s="190"/>
    </row>
    <row r="69" spans="1:16" s="61" customFormat="1" x14ac:dyDescent="0.2">
      <c r="B69" s="106" t="s">
        <v>116</v>
      </c>
      <c r="D69" s="63"/>
      <c r="E69" s="98"/>
      <c r="F69" s="155">
        <f>F67</f>
        <v>1143200.29</v>
      </c>
      <c r="G69" s="63"/>
      <c r="H69" s="104"/>
      <c r="I69" s="155">
        <f>I67</f>
        <v>1192875.52</v>
      </c>
      <c r="J69" s="64"/>
      <c r="K69" s="94">
        <f>K67</f>
        <v>49675.23000000001</v>
      </c>
      <c r="L69" s="425">
        <f>IFERROR(K69/F69, )</f>
        <v>4.3452779390040226E-2</v>
      </c>
      <c r="M69" s="135"/>
      <c r="N69" s="135"/>
    </row>
    <row r="70" spans="1:16" x14ac:dyDescent="0.2">
      <c r="A70" s="61"/>
      <c r="B70" s="71"/>
      <c r="C70" s="144"/>
      <c r="D70" s="145"/>
      <c r="E70" s="162"/>
      <c r="F70" s="108"/>
      <c r="G70" s="145"/>
      <c r="H70" s="147"/>
      <c r="I70" s="158"/>
      <c r="J70" s="148"/>
      <c r="K70" s="76"/>
      <c r="L70" s="163"/>
      <c r="M70" s="135"/>
      <c r="N70" s="135"/>
    </row>
    <row r="71" spans="1:16" s="61" customFormat="1" x14ac:dyDescent="0.2">
      <c r="D71" s="63"/>
      <c r="E71" s="164"/>
      <c r="F71" s="109"/>
      <c r="G71" s="63"/>
      <c r="H71" s="104"/>
      <c r="I71" s="154"/>
      <c r="J71" s="64"/>
      <c r="K71" s="89"/>
      <c r="L71" s="165"/>
      <c r="M71" s="135"/>
      <c r="N71" s="135"/>
    </row>
    <row r="72" spans="1:16" x14ac:dyDescent="0.2">
      <c r="A72" s="61"/>
      <c r="B72" s="53" t="s">
        <v>70</v>
      </c>
      <c r="C72" s="475"/>
      <c r="D72" s="476"/>
      <c r="E72" s="477"/>
      <c r="F72" s="483"/>
      <c r="G72" s="476"/>
      <c r="H72" s="480"/>
      <c r="I72" s="485"/>
      <c r="J72" s="481"/>
      <c r="K72" s="478"/>
      <c r="L72" s="486"/>
      <c r="M72" s="135"/>
      <c r="N72" s="135"/>
    </row>
    <row r="73" spans="1:16" x14ac:dyDescent="0.2">
      <c r="A73" s="61"/>
      <c r="B73" s="106"/>
      <c r="C73" s="61"/>
      <c r="D73" s="63"/>
      <c r="E73" s="69"/>
      <c r="F73" s="109"/>
      <c r="G73" s="84"/>
      <c r="H73" s="104"/>
      <c r="I73" s="154"/>
      <c r="J73" s="64"/>
      <c r="K73" s="89"/>
      <c r="L73" s="133"/>
      <c r="M73" s="135"/>
      <c r="N73" s="135"/>
    </row>
    <row r="74" spans="1:16" x14ac:dyDescent="0.2">
      <c r="A74" s="61"/>
      <c r="B74" s="97" t="s">
        <v>20</v>
      </c>
      <c r="C74" s="134" t="s">
        <v>21</v>
      </c>
      <c r="D74" s="63">
        <v>135.03332221112262</v>
      </c>
      <c r="E74" s="104">
        <v>457.76</v>
      </c>
      <c r="F74" s="109">
        <f>ROUND(D74*E74,2)</f>
        <v>61812.85</v>
      </c>
      <c r="H74" s="278">
        <f>E74</f>
        <v>457.76</v>
      </c>
      <c r="I74" s="154">
        <f>ROUND(D74*H74,2)</f>
        <v>61812.85</v>
      </c>
      <c r="J74" s="64"/>
      <c r="K74" s="89">
        <f>I74-F74</f>
        <v>0</v>
      </c>
      <c r="L74" s="422">
        <f t="shared" ref="L74:L76" si="8">IFERROR(K74/F74, )</f>
        <v>0</v>
      </c>
      <c r="M74" s="135"/>
      <c r="N74" s="135"/>
    </row>
    <row r="75" spans="1:16" x14ac:dyDescent="0.2">
      <c r="A75" s="61"/>
      <c r="B75" s="106" t="s">
        <v>43</v>
      </c>
      <c r="C75" s="61" t="s">
        <v>44</v>
      </c>
      <c r="D75" s="63">
        <v>43385</v>
      </c>
      <c r="E75" s="104">
        <v>1.35</v>
      </c>
      <c r="F75" s="109">
        <f>ROUND(D75*E75,2)</f>
        <v>58569.75</v>
      </c>
      <c r="H75" s="278">
        <f>H60</f>
        <v>1.35</v>
      </c>
      <c r="I75" s="154">
        <f>ROUND(D75*H75,2)</f>
        <v>58569.75</v>
      </c>
      <c r="J75" s="64"/>
      <c r="K75" s="89">
        <f>I75-F75</f>
        <v>0</v>
      </c>
      <c r="L75" s="422">
        <f t="shared" si="8"/>
        <v>0</v>
      </c>
      <c r="M75" s="135"/>
      <c r="N75" s="135"/>
    </row>
    <row r="76" spans="1:16" x14ac:dyDescent="0.2">
      <c r="A76" s="61"/>
      <c r="B76" s="106" t="s">
        <v>59</v>
      </c>
      <c r="C76" s="61"/>
      <c r="D76" s="63"/>
      <c r="E76" s="88"/>
      <c r="F76" s="154">
        <v>0</v>
      </c>
      <c r="H76" s="80"/>
      <c r="I76" s="154">
        <f>F76</f>
        <v>0</v>
      </c>
      <c r="J76" s="160"/>
      <c r="K76" s="89">
        <f>I76-F76</f>
        <v>0</v>
      </c>
      <c r="L76" s="422">
        <f t="shared" si="8"/>
        <v>0</v>
      </c>
      <c r="M76" s="135"/>
      <c r="N76" s="135"/>
    </row>
    <row r="77" spans="1:16" x14ac:dyDescent="0.2">
      <c r="A77" s="61"/>
      <c r="B77" s="106"/>
      <c r="C77" s="61"/>
      <c r="D77" s="63"/>
      <c r="E77" s="88"/>
      <c r="F77" s="109"/>
      <c r="H77" s="80"/>
      <c r="I77" s="154"/>
      <c r="J77" s="64"/>
      <c r="K77" s="89"/>
      <c r="L77" s="133"/>
      <c r="M77" s="135"/>
      <c r="N77" s="135"/>
    </row>
    <row r="78" spans="1:16" x14ac:dyDescent="0.2">
      <c r="A78" s="61"/>
      <c r="B78" s="106" t="s">
        <v>45</v>
      </c>
      <c r="C78" s="61"/>
      <c r="D78" s="63"/>
      <c r="E78" s="88"/>
      <c r="F78" s="109"/>
      <c r="H78" s="80"/>
      <c r="I78" s="154"/>
      <c r="J78" s="64"/>
      <c r="K78" s="89"/>
      <c r="L78" s="133"/>
      <c r="M78" s="135"/>
      <c r="N78" s="135"/>
    </row>
    <row r="79" spans="1:16" x14ac:dyDescent="0.2">
      <c r="A79" s="61"/>
      <c r="B79" s="83" t="s">
        <v>68</v>
      </c>
      <c r="C79" s="92" t="s">
        <v>23</v>
      </c>
      <c r="D79" s="63">
        <v>160051.62</v>
      </c>
      <c r="E79" s="88">
        <v>0.18382000000000001</v>
      </c>
      <c r="F79" s="109">
        <f>ROUND(D79*E79,2)</f>
        <v>29420.69</v>
      </c>
      <c r="H79" s="80">
        <f>H65</f>
        <v>0.1951</v>
      </c>
      <c r="I79" s="154">
        <f>ROUND(D79*H79,2)</f>
        <v>31226.07</v>
      </c>
      <c r="J79" s="64"/>
      <c r="K79" s="89">
        <f>I79-F79</f>
        <v>1805.380000000001</v>
      </c>
      <c r="L79" s="422">
        <f t="shared" ref="L79:L80" si="9">IFERROR(K79/F79, )</f>
        <v>6.1364298390010605E-2</v>
      </c>
      <c r="M79" s="135"/>
      <c r="N79" s="135"/>
    </row>
    <row r="80" spans="1:16" x14ac:dyDescent="0.2">
      <c r="A80" s="61"/>
      <c r="B80" s="83" t="s">
        <v>69</v>
      </c>
      <c r="C80" s="92" t="s">
        <v>23</v>
      </c>
      <c r="D80" s="63">
        <v>1558432.7200000002</v>
      </c>
      <c r="E80" s="88">
        <v>0.13031000000000001</v>
      </c>
      <c r="F80" s="109">
        <f>ROUND(D80*E80,2)</f>
        <v>203079.37</v>
      </c>
      <c r="H80" s="80">
        <f>H66</f>
        <v>0.13830999999999999</v>
      </c>
      <c r="I80" s="154">
        <f>ROUND(D80*H80,2)</f>
        <v>215546.83</v>
      </c>
      <c r="J80" s="64"/>
      <c r="K80" s="89">
        <f>I80-F80</f>
        <v>12467.459999999992</v>
      </c>
      <c r="L80" s="422">
        <f t="shared" si="9"/>
        <v>6.1392055726783044E-2</v>
      </c>
      <c r="M80" s="135"/>
      <c r="N80" s="135"/>
    </row>
    <row r="81" spans="1:14" x14ac:dyDescent="0.2">
      <c r="A81" s="61"/>
      <c r="B81" s="97" t="s">
        <v>27</v>
      </c>
      <c r="C81" s="61" t="s">
        <v>23</v>
      </c>
      <c r="D81" s="170">
        <f>SUM(D79:D80)</f>
        <v>1718484.3400000003</v>
      </c>
      <c r="E81" s="69"/>
      <c r="F81" s="155">
        <f>SUM(F74:F80)</f>
        <v>352882.66000000003</v>
      </c>
      <c r="H81" s="104"/>
      <c r="I81" s="155">
        <f>SUM(I74:I80)</f>
        <v>367155.5</v>
      </c>
      <c r="J81" s="64"/>
      <c r="K81" s="94">
        <f>SUM(K74:K80)</f>
        <v>14272.839999999993</v>
      </c>
      <c r="L81" s="425">
        <f>IFERROR(K81/F81, )</f>
        <v>4.044641921481773E-2</v>
      </c>
      <c r="M81" s="135"/>
      <c r="N81" s="135"/>
    </row>
    <row r="82" spans="1:14" x14ac:dyDescent="0.2">
      <c r="A82" s="61"/>
      <c r="B82" s="97"/>
      <c r="C82" s="134"/>
      <c r="D82" s="63"/>
      <c r="E82" s="69"/>
      <c r="F82" s="154"/>
      <c r="H82" s="104"/>
      <c r="I82" s="154"/>
      <c r="J82" s="64"/>
      <c r="K82" s="89"/>
      <c r="L82" s="59"/>
      <c r="M82" s="135"/>
      <c r="N82" s="135"/>
    </row>
    <row r="83" spans="1:14" x14ac:dyDescent="0.2">
      <c r="A83" s="61"/>
      <c r="B83" s="97" t="s">
        <v>116</v>
      </c>
      <c r="C83" s="61"/>
      <c r="D83" s="63"/>
      <c r="E83" s="104"/>
      <c r="F83" s="155">
        <f>+F81</f>
        <v>352882.66000000003</v>
      </c>
      <c r="G83" s="155"/>
      <c r="H83" s="104"/>
      <c r="I83" s="155">
        <f>+I81</f>
        <v>367155.5</v>
      </c>
      <c r="J83" s="98"/>
      <c r="K83" s="94">
        <f>+K81</f>
        <v>14272.839999999993</v>
      </c>
      <c r="L83" s="425">
        <f>IFERROR(K83/F83, )</f>
        <v>4.044641921481773E-2</v>
      </c>
      <c r="M83" s="135"/>
      <c r="N83" s="135"/>
    </row>
    <row r="84" spans="1:14" x14ac:dyDescent="0.2">
      <c r="A84" s="61"/>
      <c r="B84" s="71"/>
      <c r="C84" s="144"/>
      <c r="D84" s="145"/>
      <c r="E84" s="146"/>
      <c r="F84" s="108"/>
      <c r="G84" s="145"/>
      <c r="H84" s="147"/>
      <c r="I84" s="158"/>
      <c r="J84" s="148"/>
      <c r="K84" s="76"/>
      <c r="L84" s="77"/>
      <c r="M84" s="135"/>
      <c r="N84" s="135"/>
    </row>
    <row r="85" spans="1:14" s="61" customFormat="1" x14ac:dyDescent="0.2">
      <c r="D85" s="63"/>
      <c r="E85" s="164"/>
      <c r="F85" s="109"/>
      <c r="G85" s="63"/>
      <c r="H85" s="104"/>
      <c r="I85" s="154"/>
      <c r="J85" s="64"/>
      <c r="K85" s="89"/>
      <c r="L85" s="165"/>
      <c r="M85" s="135"/>
      <c r="N85" s="135"/>
    </row>
    <row r="86" spans="1:14" x14ac:dyDescent="0.2">
      <c r="A86" s="61"/>
      <c r="B86" s="53" t="s">
        <v>71</v>
      </c>
      <c r="C86" s="475"/>
      <c r="D86" s="476"/>
      <c r="E86" s="477"/>
      <c r="F86" s="483"/>
      <c r="G86" s="476"/>
      <c r="H86" s="480"/>
      <c r="I86" s="485"/>
      <c r="J86" s="481"/>
      <c r="K86" s="478"/>
      <c r="L86" s="486"/>
      <c r="M86" s="135"/>
      <c r="N86" s="135"/>
    </row>
    <row r="87" spans="1:14" x14ac:dyDescent="0.2">
      <c r="A87" s="61"/>
      <c r="B87" s="106"/>
      <c r="C87" s="61"/>
      <c r="D87" s="63"/>
      <c r="E87" s="69"/>
      <c r="F87" s="109"/>
      <c r="G87" s="84"/>
      <c r="H87" s="104"/>
      <c r="I87" s="154"/>
      <c r="J87" s="64"/>
      <c r="K87" s="89"/>
      <c r="L87" s="133"/>
      <c r="M87" s="135"/>
      <c r="N87" s="135"/>
    </row>
    <row r="88" spans="1:14" x14ac:dyDescent="0.2">
      <c r="A88" s="61"/>
      <c r="B88" s="97" t="s">
        <v>20</v>
      </c>
      <c r="C88" s="134" t="s">
        <v>21</v>
      </c>
      <c r="D88" s="63">
        <f>D59+D74</f>
        <v>1499.3332818939609</v>
      </c>
      <c r="E88" s="104"/>
      <c r="F88" s="109">
        <f>F59+F74</f>
        <v>264847.96999999997</v>
      </c>
      <c r="H88" s="81"/>
      <c r="I88" s="109">
        <f>I59+I74</f>
        <v>264847.96999999997</v>
      </c>
      <c r="J88" s="64"/>
      <c r="K88" s="89">
        <f>I88-F88</f>
        <v>0</v>
      </c>
      <c r="L88" s="422">
        <f t="shared" ref="L88:L91" si="10">IFERROR(K88/F88, )</f>
        <v>0</v>
      </c>
      <c r="M88" s="135"/>
      <c r="N88" s="135"/>
    </row>
    <row r="89" spans="1:14" x14ac:dyDescent="0.2">
      <c r="A89" s="61"/>
      <c r="B89" s="106" t="s">
        <v>43</v>
      </c>
      <c r="C89" s="61" t="s">
        <v>44</v>
      </c>
      <c r="D89" s="63">
        <f>D60+D75</f>
        <v>82472.972999999998</v>
      </c>
      <c r="E89" s="104"/>
      <c r="F89" s="109">
        <f>F60+F75</f>
        <v>111338.51000000001</v>
      </c>
      <c r="H89" s="81"/>
      <c r="I89" s="109">
        <f>I60+I75</f>
        <v>111338.51000000001</v>
      </c>
      <c r="J89" s="64"/>
      <c r="K89" s="89">
        <f>I89-F89</f>
        <v>0</v>
      </c>
      <c r="L89" s="422">
        <f t="shared" si="10"/>
        <v>0</v>
      </c>
      <c r="M89" s="135"/>
      <c r="N89" s="135"/>
    </row>
    <row r="90" spans="1:14" x14ac:dyDescent="0.2">
      <c r="A90" s="61"/>
      <c r="B90" s="106" t="s">
        <v>36</v>
      </c>
      <c r="C90" s="61" t="s">
        <v>23</v>
      </c>
      <c r="D90" s="63">
        <f>D61</f>
        <v>5773170.4876905456</v>
      </c>
      <c r="E90" s="88"/>
      <c r="F90" s="109">
        <f>F61</f>
        <v>70548.14</v>
      </c>
      <c r="H90" s="82"/>
      <c r="I90" s="109">
        <f>I61</f>
        <v>70548.14</v>
      </c>
      <c r="J90" s="64"/>
      <c r="K90" s="89">
        <f>I90-F90</f>
        <v>0</v>
      </c>
      <c r="L90" s="422">
        <f t="shared" si="10"/>
        <v>0</v>
      </c>
      <c r="M90" s="135"/>
      <c r="N90" s="135"/>
    </row>
    <row r="91" spans="1:14" x14ac:dyDescent="0.2">
      <c r="A91" s="61"/>
      <c r="B91" s="106" t="s">
        <v>59</v>
      </c>
      <c r="C91" s="61"/>
      <c r="D91" s="63"/>
      <c r="E91" s="88"/>
      <c r="F91" s="154">
        <f>F62+F76</f>
        <v>7612.77</v>
      </c>
      <c r="H91" s="88"/>
      <c r="I91" s="154">
        <f>I62+I76</f>
        <v>7612.77</v>
      </c>
      <c r="J91" s="160"/>
      <c r="K91" s="89">
        <f>I91-F91</f>
        <v>0</v>
      </c>
      <c r="L91" s="422">
        <f t="shared" si="10"/>
        <v>0</v>
      </c>
      <c r="M91" s="135"/>
      <c r="N91" s="135"/>
    </row>
    <row r="92" spans="1:14" x14ac:dyDescent="0.2">
      <c r="A92" s="61"/>
      <c r="B92" s="106"/>
      <c r="C92" s="61"/>
      <c r="D92" s="63"/>
      <c r="E92" s="88"/>
      <c r="F92" s="109"/>
      <c r="H92" s="88"/>
      <c r="I92" s="109"/>
      <c r="J92" s="64"/>
      <c r="K92" s="89"/>
      <c r="L92" s="133"/>
      <c r="M92" s="135"/>
      <c r="N92" s="135"/>
    </row>
    <row r="93" spans="1:14" x14ac:dyDescent="0.2">
      <c r="A93" s="61"/>
      <c r="B93" s="106" t="s">
        <v>45</v>
      </c>
      <c r="C93" s="61"/>
      <c r="D93" s="63"/>
      <c r="E93" s="88"/>
      <c r="F93" s="109"/>
      <c r="H93" s="88"/>
      <c r="I93" s="109"/>
      <c r="J93" s="64"/>
      <c r="K93" s="89"/>
      <c r="L93" s="133"/>
      <c r="M93" s="135"/>
      <c r="N93" s="135"/>
    </row>
    <row r="94" spans="1:14" x14ac:dyDescent="0.2">
      <c r="A94" s="61"/>
      <c r="B94" s="83" t="s">
        <v>68</v>
      </c>
      <c r="C94" s="92" t="s">
        <v>23</v>
      </c>
      <c r="D94" s="63">
        <f>D65+D79</f>
        <v>1224033.1979</v>
      </c>
      <c r="E94" s="88"/>
      <c r="F94" s="109">
        <f>F65+F79</f>
        <v>225001.78</v>
      </c>
      <c r="H94" s="88"/>
      <c r="I94" s="109">
        <f>I65+I79</f>
        <v>238808.88</v>
      </c>
      <c r="J94" s="64"/>
      <c r="K94" s="89">
        <f>I94-F94</f>
        <v>13807.100000000006</v>
      </c>
      <c r="L94" s="422">
        <f t="shared" ref="L94:L95" si="11">IFERROR(K94/F94, )</f>
        <v>6.1364403428275129E-2</v>
      </c>
      <c r="M94" s="135"/>
      <c r="N94" s="135"/>
    </row>
    <row r="95" spans="1:14" x14ac:dyDescent="0.2">
      <c r="A95" s="61"/>
      <c r="B95" s="83" t="s">
        <v>69</v>
      </c>
      <c r="C95" s="92" t="s">
        <v>23</v>
      </c>
      <c r="D95" s="63">
        <f>D66+D80</f>
        <v>6267621.6297905464</v>
      </c>
      <c r="E95" s="88"/>
      <c r="F95" s="109">
        <f>F66+F80</f>
        <v>816733.78</v>
      </c>
      <c r="H95" s="88"/>
      <c r="I95" s="109">
        <f>I66+I80</f>
        <v>866874.75</v>
      </c>
      <c r="J95" s="64"/>
      <c r="K95" s="89">
        <f>I95-F95</f>
        <v>50140.969999999972</v>
      </c>
      <c r="L95" s="422">
        <f t="shared" si="11"/>
        <v>6.1392060947938226E-2</v>
      </c>
      <c r="M95" s="135"/>
      <c r="N95" s="135"/>
    </row>
    <row r="96" spans="1:14" x14ac:dyDescent="0.2">
      <c r="A96" s="61"/>
      <c r="B96" s="97" t="s">
        <v>27</v>
      </c>
      <c r="C96" s="61" t="s">
        <v>23</v>
      </c>
      <c r="D96" s="170">
        <f>SUM(D94:D95)</f>
        <v>7491654.8276905464</v>
      </c>
      <c r="E96" s="69"/>
      <c r="F96" s="155">
        <f>SUM(F88:F95)</f>
        <v>1496082.9500000002</v>
      </c>
      <c r="H96" s="104"/>
      <c r="I96" s="155">
        <f>SUM(I88:I95)</f>
        <v>1560031.02</v>
      </c>
      <c r="J96" s="64"/>
      <c r="K96" s="94">
        <f>SUM(K88:K95)</f>
        <v>63948.069999999978</v>
      </c>
      <c r="L96" s="425">
        <f>IFERROR(K96/F96, )</f>
        <v>4.2743666051404415E-2</v>
      </c>
      <c r="M96" s="135"/>
      <c r="N96" s="135"/>
    </row>
    <row r="97" spans="1:16" x14ac:dyDescent="0.2">
      <c r="A97" s="61"/>
      <c r="B97" s="97"/>
      <c r="C97" s="134"/>
      <c r="D97" s="63"/>
      <c r="E97" s="69"/>
      <c r="F97" s="154"/>
      <c r="H97" s="104"/>
      <c r="I97" s="154"/>
      <c r="J97" s="64"/>
      <c r="K97" s="89"/>
      <c r="L97" s="59"/>
      <c r="M97" s="135"/>
      <c r="N97" s="135"/>
    </row>
    <row r="98" spans="1:16" x14ac:dyDescent="0.2">
      <c r="A98" s="61"/>
      <c r="B98" s="97" t="s">
        <v>116</v>
      </c>
      <c r="C98" s="134"/>
      <c r="D98" s="92"/>
      <c r="E98" s="98"/>
      <c r="F98" s="155">
        <f>F96</f>
        <v>1496082.9500000002</v>
      </c>
      <c r="G98" s="92"/>
      <c r="H98" s="104"/>
      <c r="I98" s="155">
        <f>I96</f>
        <v>1560031.02</v>
      </c>
      <c r="J98" s="64"/>
      <c r="K98" s="94">
        <f>K96</f>
        <v>63948.069999999978</v>
      </c>
      <c r="L98" s="425">
        <f>IFERROR(K98/F98, )</f>
        <v>4.2743666051404415E-2</v>
      </c>
      <c r="M98" s="135"/>
      <c r="N98" s="135"/>
    </row>
    <row r="99" spans="1:16" x14ac:dyDescent="0.2">
      <c r="A99" s="61"/>
      <c r="B99" s="71"/>
      <c r="C99" s="144"/>
      <c r="D99" s="145"/>
      <c r="E99" s="146"/>
      <c r="F99" s="108"/>
      <c r="G99" s="145"/>
      <c r="H99" s="147"/>
      <c r="I99" s="158"/>
      <c r="J99" s="148"/>
      <c r="K99" s="76"/>
      <c r="L99" s="163"/>
      <c r="M99" s="135"/>
      <c r="N99" s="135"/>
    </row>
    <row r="100" spans="1:16" s="61" customFormat="1" x14ac:dyDescent="0.2">
      <c r="B100" s="92"/>
      <c r="C100" s="92"/>
      <c r="D100" s="63"/>
      <c r="E100" s="164"/>
      <c r="F100" s="109"/>
      <c r="G100" s="63"/>
      <c r="H100" s="104"/>
      <c r="I100" s="154"/>
      <c r="J100" s="149"/>
      <c r="K100" s="109"/>
      <c r="L100" s="166"/>
      <c r="M100" s="135"/>
      <c r="N100" s="135"/>
    </row>
    <row r="101" spans="1:16" s="61" customFormat="1" x14ac:dyDescent="0.2">
      <c r="B101" s="92"/>
      <c r="C101" s="92"/>
      <c r="D101" s="63"/>
      <c r="E101" s="88"/>
      <c r="F101" s="109"/>
      <c r="G101" s="63"/>
      <c r="H101" s="104"/>
      <c r="I101" s="154"/>
      <c r="J101" s="149"/>
      <c r="K101" s="109"/>
      <c r="L101" s="166"/>
      <c r="M101" s="135"/>
      <c r="N101" s="135"/>
    </row>
    <row r="102" spans="1:16" x14ac:dyDescent="0.2">
      <c r="B102" s="53" t="s">
        <v>72</v>
      </c>
      <c r="C102" s="475"/>
      <c r="D102" s="476"/>
      <c r="E102" s="477"/>
      <c r="F102" s="483"/>
      <c r="G102" s="476"/>
      <c r="H102" s="480"/>
      <c r="I102" s="485"/>
      <c r="J102" s="481"/>
      <c r="K102" s="478"/>
      <c r="L102" s="482"/>
      <c r="M102" s="135"/>
      <c r="N102" s="135"/>
      <c r="O102" s="61"/>
    </row>
    <row r="103" spans="1:16" x14ac:dyDescent="0.2">
      <c r="B103" s="106"/>
      <c r="C103" s="61"/>
      <c r="D103" s="63"/>
      <c r="E103" s="69"/>
      <c r="F103" s="109"/>
      <c r="H103" s="104"/>
      <c r="I103" s="154"/>
      <c r="J103" s="64"/>
      <c r="K103" s="89"/>
      <c r="L103" s="133"/>
      <c r="M103" s="135"/>
      <c r="N103" s="135"/>
      <c r="O103" s="11" t="s">
        <v>73</v>
      </c>
    </row>
    <row r="104" spans="1:16" x14ac:dyDescent="0.2">
      <c r="B104" s="97" t="s">
        <v>20</v>
      </c>
      <c r="C104" s="134" t="s">
        <v>21</v>
      </c>
      <c r="D104" s="63">
        <v>61</v>
      </c>
      <c r="E104" s="104">
        <v>606.5</v>
      </c>
      <c r="F104" s="109">
        <f>ROUND(D104*E104,2)</f>
        <v>36996.5</v>
      </c>
      <c r="H104" s="278">
        <v>715.15</v>
      </c>
      <c r="I104" s="154">
        <f>ROUND(D104*H104,2)</f>
        <v>43624.15</v>
      </c>
      <c r="J104" s="64"/>
      <c r="K104" s="89">
        <f>I104-F104</f>
        <v>6627.6500000000015</v>
      </c>
      <c r="L104" s="422">
        <f t="shared" ref="L104:L107" si="12">IFERROR(K104/F104, )</f>
        <v>0.17914262159934052</v>
      </c>
      <c r="M104" s="135"/>
      <c r="N104" s="135"/>
      <c r="O104" s="201">
        <f>'Exh JDT-5 (JDT-Rate Spread)'!K56</f>
        <v>6299755.2809057441</v>
      </c>
    </row>
    <row r="105" spans="1:16" x14ac:dyDescent="0.2">
      <c r="B105" s="106" t="s">
        <v>43</v>
      </c>
      <c r="C105" s="61" t="s">
        <v>44</v>
      </c>
      <c r="D105" s="63">
        <v>0</v>
      </c>
      <c r="E105" s="104">
        <v>1.45</v>
      </c>
      <c r="F105" s="109">
        <f>ROUND(D105*E105,2)</f>
        <v>0</v>
      </c>
      <c r="H105" s="278">
        <f>E105</f>
        <v>1.45</v>
      </c>
      <c r="I105" s="154">
        <f>ROUND(D105*H105,2)</f>
        <v>0</v>
      </c>
      <c r="J105" s="64"/>
      <c r="K105" s="89">
        <f>I105-F105</f>
        <v>0</v>
      </c>
      <c r="L105" s="422">
        <f>IFERROR(K105/F105, )</f>
        <v>0</v>
      </c>
      <c r="M105" s="135"/>
      <c r="N105" s="135"/>
      <c r="O105" s="62" t="s">
        <v>24</v>
      </c>
    </row>
    <row r="106" spans="1:16" x14ac:dyDescent="0.2">
      <c r="B106" s="106" t="s">
        <v>36</v>
      </c>
      <c r="C106" s="61"/>
      <c r="D106" s="63">
        <f>D116</f>
        <v>21819455.762355208</v>
      </c>
      <c r="E106" s="88">
        <v>8.43E-3</v>
      </c>
      <c r="F106" s="109">
        <f>ROUND(D106*E106,2)</f>
        <v>183938.01</v>
      </c>
      <c r="H106" s="80">
        <f>ROUND(E106*(1+$O$108),5)</f>
        <v>9.3200000000000002E-3</v>
      </c>
      <c r="I106" s="109">
        <f>ROUND(D106*H106,2)</f>
        <v>203357.33</v>
      </c>
      <c r="J106" s="64"/>
      <c r="K106" s="89">
        <f>I106-F106</f>
        <v>19419.319999999978</v>
      </c>
      <c r="L106" s="422">
        <f t="shared" si="12"/>
        <v>0.10557535117401769</v>
      </c>
      <c r="M106" s="135"/>
      <c r="N106" s="135"/>
      <c r="O106" s="136">
        <f>I155-O104</f>
        <v>151.2490942561999</v>
      </c>
    </row>
    <row r="107" spans="1:16" x14ac:dyDescent="0.2">
      <c r="B107" s="83" t="s">
        <v>59</v>
      </c>
      <c r="C107" s="92"/>
      <c r="D107" s="63"/>
      <c r="E107" s="104"/>
      <c r="F107" s="154">
        <v>51086.770000000004</v>
      </c>
      <c r="H107" s="88" t="s">
        <v>9</v>
      </c>
      <c r="I107" s="154">
        <f>F107</f>
        <v>51086.770000000004</v>
      </c>
      <c r="J107" s="64"/>
      <c r="K107" s="89">
        <f>I107-F107</f>
        <v>0</v>
      </c>
      <c r="L107" s="422">
        <f t="shared" si="12"/>
        <v>0</v>
      </c>
      <c r="M107" s="135"/>
      <c r="N107" s="135"/>
      <c r="O107" s="167"/>
    </row>
    <row r="108" spans="1:16" x14ac:dyDescent="0.2">
      <c r="B108" s="106"/>
      <c r="C108" s="61"/>
      <c r="D108" s="63"/>
      <c r="E108" s="98"/>
      <c r="F108" s="109"/>
      <c r="H108" s="88"/>
      <c r="I108" s="154"/>
      <c r="J108" s="64"/>
      <c r="K108" s="168"/>
      <c r="L108" s="65"/>
      <c r="M108" s="135"/>
      <c r="N108" s="135"/>
      <c r="O108" s="570">
        <f>'Exh JDT-5 (JDT-Rate Spread)'!K59</f>
        <v>0.10610240784340896</v>
      </c>
    </row>
    <row r="109" spans="1:16" x14ac:dyDescent="0.2">
      <c r="B109" s="106" t="s">
        <v>45</v>
      </c>
      <c r="C109" s="61"/>
      <c r="D109" s="63"/>
      <c r="E109" s="98"/>
      <c r="F109" s="109"/>
      <c r="H109" s="88"/>
      <c r="I109" s="154"/>
      <c r="J109" s="64"/>
      <c r="K109" s="168"/>
      <c r="L109" s="65"/>
      <c r="M109" s="135"/>
      <c r="N109" s="135"/>
      <c r="O109" s="571">
        <f>(O104-SUM(I141:I144,I152))/SUM(F147:F151)-1</f>
        <v>0.18370474105037182</v>
      </c>
      <c r="P109" s="190"/>
    </row>
    <row r="110" spans="1:16" x14ac:dyDescent="0.2">
      <c r="B110" s="106" t="s">
        <v>60</v>
      </c>
      <c r="C110" s="61" t="s">
        <v>23</v>
      </c>
      <c r="D110" s="63">
        <v>1512193</v>
      </c>
      <c r="E110" s="88">
        <v>0.17533000000000001</v>
      </c>
      <c r="F110" s="109">
        <f t="shared" ref="F110:F115" si="13">ROUND(D110*E110,2)</f>
        <v>265132.79999999999</v>
      </c>
      <c r="H110" s="80">
        <f>ROUND(E110*(1+$O$109),5)</f>
        <v>0.20754</v>
      </c>
      <c r="I110" s="154">
        <f t="shared" ref="I110:I115" si="14">ROUND(D110*H110,2)</f>
        <v>313840.53999999998</v>
      </c>
      <c r="J110" s="64"/>
      <c r="K110" s="89">
        <f t="shared" ref="K110:K116" si="15">I110-F110</f>
        <v>48707.739999999991</v>
      </c>
      <c r="L110" s="422">
        <f t="shared" ref="L110:L115" si="16">IFERROR(K110/F110, )</f>
        <v>0.18371072911386291</v>
      </c>
      <c r="M110" s="135"/>
      <c r="N110" s="135"/>
      <c r="O110" s="571">
        <f>O108*0.33</f>
        <v>3.5013794588324959E-2</v>
      </c>
      <c r="P110" s="169"/>
    </row>
    <row r="111" spans="1:16" x14ac:dyDescent="0.2">
      <c r="B111" s="106" t="s">
        <v>61</v>
      </c>
      <c r="C111" s="61" t="s">
        <v>23</v>
      </c>
      <c r="D111" s="63">
        <v>1398016.115</v>
      </c>
      <c r="E111" s="88">
        <v>0.10595</v>
      </c>
      <c r="F111" s="109">
        <f t="shared" si="13"/>
        <v>148119.81</v>
      </c>
      <c r="H111" s="80">
        <f t="shared" ref="H111:H114" si="17">ROUND(E111*(1+$O$109),5)</f>
        <v>0.12540999999999999</v>
      </c>
      <c r="I111" s="154">
        <f t="shared" si="14"/>
        <v>175325.2</v>
      </c>
      <c r="J111" s="64"/>
      <c r="K111" s="89">
        <f t="shared" si="15"/>
        <v>27205.390000000014</v>
      </c>
      <c r="L111" s="422">
        <f t="shared" si="16"/>
        <v>0.18367151564669179</v>
      </c>
      <c r="M111" s="135"/>
      <c r="N111" s="135"/>
      <c r="O111" s="101"/>
      <c r="P111" s="61"/>
    </row>
    <row r="112" spans="1:16" x14ac:dyDescent="0.2">
      <c r="B112" s="106" t="s">
        <v>64</v>
      </c>
      <c r="C112" s="61" t="s">
        <v>23</v>
      </c>
      <c r="D112" s="63">
        <v>2316890.0959999999</v>
      </c>
      <c r="E112" s="88">
        <v>6.7419999999999994E-2</v>
      </c>
      <c r="F112" s="109">
        <f t="shared" si="13"/>
        <v>156204.73000000001</v>
      </c>
      <c r="H112" s="80">
        <f t="shared" si="17"/>
        <v>7.9810000000000006E-2</v>
      </c>
      <c r="I112" s="154">
        <f t="shared" si="14"/>
        <v>184911</v>
      </c>
      <c r="J112" s="64"/>
      <c r="K112" s="89">
        <f t="shared" si="15"/>
        <v>28706.26999999999</v>
      </c>
      <c r="L112" s="422">
        <f t="shared" si="16"/>
        <v>0.18377337229160723</v>
      </c>
      <c r="M112" s="135"/>
      <c r="N112" s="135"/>
      <c r="O112" s="134"/>
      <c r="P112" s="134"/>
    </row>
    <row r="113" spans="1:16" x14ac:dyDescent="0.2">
      <c r="B113" s="106" t="s">
        <v>74</v>
      </c>
      <c r="C113" s="61" t="s">
        <v>23</v>
      </c>
      <c r="D113" s="63">
        <v>3045256.8779999996</v>
      </c>
      <c r="E113" s="88">
        <v>4.3229999999999998E-2</v>
      </c>
      <c r="F113" s="109">
        <f t="shared" si="13"/>
        <v>131646.45000000001</v>
      </c>
      <c r="H113" s="80">
        <f t="shared" si="17"/>
        <v>5.117E-2</v>
      </c>
      <c r="I113" s="154">
        <f t="shared" si="14"/>
        <v>155825.79</v>
      </c>
      <c r="J113" s="64"/>
      <c r="K113" s="89">
        <f t="shared" si="15"/>
        <v>24179.339999999997</v>
      </c>
      <c r="L113" s="422">
        <f t="shared" si="16"/>
        <v>0.18366875825364068</v>
      </c>
      <c r="M113" s="135"/>
      <c r="N113" s="135"/>
      <c r="O113" s="61"/>
      <c r="P113" s="61"/>
    </row>
    <row r="114" spans="1:16" x14ac:dyDescent="0.2">
      <c r="B114" s="106" t="s">
        <v>75</v>
      </c>
      <c r="C114" s="61" t="s">
        <v>23</v>
      </c>
      <c r="D114" s="63">
        <v>3792042.2029999997</v>
      </c>
      <c r="E114" s="88">
        <v>3.1109999999999999E-2</v>
      </c>
      <c r="F114" s="109">
        <f t="shared" si="13"/>
        <v>117970.43</v>
      </c>
      <c r="H114" s="80">
        <f t="shared" si="17"/>
        <v>3.6830000000000002E-2</v>
      </c>
      <c r="I114" s="154">
        <f t="shared" si="14"/>
        <v>139660.91</v>
      </c>
      <c r="J114" s="64"/>
      <c r="K114" s="89">
        <f t="shared" si="15"/>
        <v>21690.48000000001</v>
      </c>
      <c r="L114" s="422">
        <f t="shared" si="16"/>
        <v>0.18386370211586084</v>
      </c>
      <c r="M114" s="135"/>
      <c r="N114" s="135"/>
      <c r="P114" s="61"/>
    </row>
    <row r="115" spans="1:16" x14ac:dyDescent="0.2">
      <c r="B115" s="106" t="s">
        <v>76</v>
      </c>
      <c r="C115" s="61" t="s">
        <v>23</v>
      </c>
      <c r="D115" s="63">
        <v>9755057.4703552071</v>
      </c>
      <c r="E115" s="88">
        <v>2.3990000000000001E-2</v>
      </c>
      <c r="F115" s="109">
        <f t="shared" si="13"/>
        <v>234023.83</v>
      </c>
      <c r="H115" s="80">
        <f>ROUND(E115*(1+$O$110),5)</f>
        <v>2.4830000000000001E-2</v>
      </c>
      <c r="I115" s="154">
        <f t="shared" si="14"/>
        <v>242218.08</v>
      </c>
      <c r="J115" s="64"/>
      <c r="K115" s="89">
        <f t="shared" si="15"/>
        <v>8194.25</v>
      </c>
      <c r="L115" s="422">
        <f t="shared" si="16"/>
        <v>3.501459659044124E-2</v>
      </c>
      <c r="M115" s="135"/>
      <c r="N115" s="135"/>
      <c r="O115" s="61"/>
      <c r="P115" s="134"/>
    </row>
    <row r="116" spans="1:16" x14ac:dyDescent="0.2">
      <c r="B116" s="97" t="s">
        <v>27</v>
      </c>
      <c r="C116" s="61" t="s">
        <v>23</v>
      </c>
      <c r="D116" s="170">
        <f>SUM(D110:D115)</f>
        <v>21819455.762355208</v>
      </c>
      <c r="E116" s="69"/>
      <c r="F116" s="155">
        <f>SUM(F104:F115)</f>
        <v>1325119.33</v>
      </c>
      <c r="H116" s="104"/>
      <c r="I116" s="155">
        <f>SUM(I104:I115)</f>
        <v>1509849.77</v>
      </c>
      <c r="J116" s="64"/>
      <c r="K116" s="94">
        <f t="shared" si="15"/>
        <v>184730.43999999994</v>
      </c>
      <c r="L116" s="425">
        <f>IFERROR(K116/F116, )</f>
        <v>0.13940664498494632</v>
      </c>
      <c r="M116" s="135"/>
      <c r="N116" s="135"/>
      <c r="O116" s="61"/>
      <c r="P116" s="171"/>
    </row>
    <row r="117" spans="1:16" x14ac:dyDescent="0.2">
      <c r="B117" s="97"/>
      <c r="C117" s="134"/>
      <c r="D117" s="63"/>
      <c r="E117" s="69"/>
      <c r="F117" s="109"/>
      <c r="H117" s="104"/>
      <c r="I117" s="154"/>
      <c r="J117" s="64"/>
      <c r="K117" s="89"/>
      <c r="L117" s="59"/>
      <c r="M117" s="135"/>
      <c r="N117" s="143"/>
      <c r="O117" s="172"/>
      <c r="P117" s="61"/>
    </row>
    <row r="118" spans="1:16" x14ac:dyDescent="0.2">
      <c r="B118" s="106" t="s">
        <v>116</v>
      </c>
      <c r="C118" s="61"/>
      <c r="D118" s="63"/>
      <c r="E118" s="98"/>
      <c r="F118" s="155">
        <f>F116</f>
        <v>1325119.33</v>
      </c>
      <c r="H118" s="104"/>
      <c r="I118" s="155">
        <f>I116</f>
        <v>1509849.77</v>
      </c>
      <c r="J118" s="64"/>
      <c r="K118" s="94">
        <f>K116</f>
        <v>184730.43999999994</v>
      </c>
      <c r="L118" s="425">
        <f>IFERROR(K118/F118, )</f>
        <v>0.13940664498494632</v>
      </c>
      <c r="M118" s="135"/>
      <c r="N118" s="135"/>
      <c r="O118" s="61"/>
      <c r="P118" s="61"/>
    </row>
    <row r="119" spans="1:16" x14ac:dyDescent="0.2">
      <c r="A119" s="61"/>
      <c r="B119" s="71"/>
      <c r="C119" s="144"/>
      <c r="D119" s="145"/>
      <c r="E119" s="157"/>
      <c r="F119" s="108"/>
      <c r="G119" s="145"/>
      <c r="H119" s="147"/>
      <c r="I119" s="158"/>
      <c r="J119" s="148"/>
      <c r="K119" s="76"/>
      <c r="L119" s="163"/>
      <c r="M119" s="135"/>
      <c r="N119" s="135"/>
      <c r="O119" s="134"/>
      <c r="P119" s="61"/>
    </row>
    <row r="120" spans="1:16" x14ac:dyDescent="0.2">
      <c r="A120" s="61"/>
      <c r="B120" s="61"/>
      <c r="C120" s="61"/>
      <c r="D120" s="63"/>
      <c r="E120" s="88"/>
      <c r="F120" s="109"/>
      <c r="H120" s="104"/>
      <c r="I120" s="154"/>
      <c r="J120" s="64"/>
      <c r="K120" s="89"/>
      <c r="L120" s="165"/>
      <c r="M120" s="135"/>
      <c r="N120" s="135"/>
      <c r="O120" s="61"/>
      <c r="P120" s="61"/>
    </row>
    <row r="121" spans="1:16" x14ac:dyDescent="0.2">
      <c r="A121" s="61"/>
      <c r="B121" s="53" t="s">
        <v>77</v>
      </c>
      <c r="C121" s="475"/>
      <c r="D121" s="476"/>
      <c r="E121" s="477"/>
      <c r="F121" s="483"/>
      <c r="G121" s="476"/>
      <c r="H121" s="480"/>
      <c r="I121" s="485"/>
      <c r="J121" s="481"/>
      <c r="K121" s="478"/>
      <c r="L121" s="482"/>
      <c r="M121" s="135"/>
      <c r="N121" s="135"/>
      <c r="O121" s="61"/>
      <c r="P121" s="61"/>
    </row>
    <row r="122" spans="1:16" x14ac:dyDescent="0.2">
      <c r="A122" s="61"/>
      <c r="B122" s="106"/>
      <c r="C122" s="61"/>
      <c r="D122" s="63"/>
      <c r="E122" s="69"/>
      <c r="F122" s="109"/>
      <c r="H122" s="104"/>
      <c r="I122" s="154"/>
      <c r="J122" s="64"/>
      <c r="K122" s="89"/>
      <c r="L122" s="133"/>
      <c r="M122" s="135"/>
      <c r="N122" s="135"/>
      <c r="O122" s="61"/>
      <c r="P122" s="61"/>
    </row>
    <row r="123" spans="1:16" x14ac:dyDescent="0.2">
      <c r="A123" s="61"/>
      <c r="B123" s="97" t="s">
        <v>20</v>
      </c>
      <c r="C123" s="134" t="s">
        <v>21</v>
      </c>
      <c r="D123" s="63">
        <v>120.00000000000001</v>
      </c>
      <c r="E123" s="104">
        <v>918.31</v>
      </c>
      <c r="F123" s="109">
        <f>ROUND(D123*E123,2)</f>
        <v>110197.2</v>
      </c>
      <c r="H123" s="278">
        <v>1082.81</v>
      </c>
      <c r="I123" s="154">
        <f>ROUND(D123*H123,2)</f>
        <v>129937.2</v>
      </c>
      <c r="J123" s="64"/>
      <c r="K123" s="89">
        <f>I123-F123</f>
        <v>19740</v>
      </c>
      <c r="L123" s="422">
        <f t="shared" ref="L123:L124" si="18">IFERROR(K123/F123, )</f>
        <v>0.179133408108373</v>
      </c>
      <c r="M123" s="135"/>
      <c r="N123" s="135"/>
      <c r="O123" s="61"/>
      <c r="P123" s="61"/>
    </row>
    <row r="124" spans="1:16" x14ac:dyDescent="0.2">
      <c r="A124" s="61"/>
      <c r="B124" s="106" t="s">
        <v>43</v>
      </c>
      <c r="C124" s="61" t="s">
        <v>44</v>
      </c>
      <c r="D124" s="63">
        <v>296082</v>
      </c>
      <c r="E124" s="104">
        <v>1.45</v>
      </c>
      <c r="F124" s="109">
        <f>ROUND(D124*E124,2)</f>
        <v>429318.9</v>
      </c>
      <c r="H124" s="278">
        <f>H105</f>
        <v>1.45</v>
      </c>
      <c r="I124" s="154">
        <f>ROUND(D124*H124,2)</f>
        <v>429318.9</v>
      </c>
      <c r="J124" s="64"/>
      <c r="K124" s="89">
        <f>I124-F124</f>
        <v>0</v>
      </c>
      <c r="L124" s="422">
        <f t="shared" si="18"/>
        <v>0</v>
      </c>
      <c r="M124" s="135"/>
      <c r="N124" s="135"/>
    </row>
    <row r="125" spans="1:16" x14ac:dyDescent="0.2">
      <c r="A125" s="61"/>
      <c r="B125" s="106" t="s">
        <v>59</v>
      </c>
      <c r="C125" s="61"/>
      <c r="D125" s="63"/>
      <c r="E125" s="104"/>
      <c r="F125" s="154">
        <v>19447.379999999997</v>
      </c>
      <c r="H125" s="278"/>
      <c r="I125" s="154">
        <f>F125</f>
        <v>19447.379999999997</v>
      </c>
      <c r="J125" s="64"/>
      <c r="K125" s="168"/>
      <c r="L125" s="422">
        <f>IFERROR(K125/F125, )</f>
        <v>0</v>
      </c>
      <c r="M125" s="135"/>
      <c r="N125" s="135"/>
    </row>
    <row r="126" spans="1:16" x14ac:dyDescent="0.2">
      <c r="A126" s="61"/>
      <c r="B126" s="83"/>
      <c r="C126" s="61"/>
      <c r="D126" s="63"/>
      <c r="E126" s="88"/>
      <c r="F126" s="109"/>
      <c r="H126" s="80"/>
      <c r="I126" s="154"/>
      <c r="J126" s="64"/>
      <c r="K126" s="168"/>
      <c r="L126" s="65"/>
      <c r="M126" s="135"/>
      <c r="N126" s="135"/>
    </row>
    <row r="127" spans="1:16" x14ac:dyDescent="0.2">
      <c r="A127" s="61"/>
      <c r="B127" s="106" t="s">
        <v>45</v>
      </c>
      <c r="C127" s="61"/>
      <c r="D127" s="63"/>
      <c r="E127" s="98"/>
      <c r="F127" s="109"/>
      <c r="H127" s="80"/>
      <c r="I127" s="154"/>
      <c r="J127" s="64"/>
      <c r="K127" s="168"/>
      <c r="L127" s="65"/>
      <c r="M127" s="135"/>
      <c r="N127" s="135"/>
    </row>
    <row r="128" spans="1:16" x14ac:dyDescent="0.2">
      <c r="A128" s="61"/>
      <c r="B128" s="106" t="s">
        <v>60</v>
      </c>
      <c r="C128" s="61" t="s">
        <v>23</v>
      </c>
      <c r="D128" s="63">
        <v>2998789.67</v>
      </c>
      <c r="E128" s="88">
        <v>0.17533000000000001</v>
      </c>
      <c r="F128" s="109">
        <f t="shared" ref="F128:F133" si="19">ROUND(D128*E128,2)</f>
        <v>525777.79</v>
      </c>
      <c r="H128" s="80">
        <f t="shared" ref="H128:H133" si="20">H110</f>
        <v>0.20754</v>
      </c>
      <c r="I128" s="154">
        <f t="shared" ref="I128:I133" si="21">ROUND(D128*H128,2)</f>
        <v>622368.81000000006</v>
      </c>
      <c r="J128" s="64"/>
      <c r="K128" s="89">
        <f t="shared" ref="K128:K133" si="22">I128-F128</f>
        <v>96591.020000000019</v>
      </c>
      <c r="L128" s="422">
        <f t="shared" ref="L128:L133" si="23">IFERROR(K128/F128, )</f>
        <v>0.18371072692134829</v>
      </c>
      <c r="M128" s="135"/>
      <c r="N128" s="135"/>
    </row>
    <row r="129" spans="1:15" x14ac:dyDescent="0.2">
      <c r="A129" s="61"/>
      <c r="B129" s="106" t="s">
        <v>61</v>
      </c>
      <c r="C129" s="61" t="s">
        <v>23</v>
      </c>
      <c r="D129" s="63">
        <v>3000000</v>
      </c>
      <c r="E129" s="88">
        <v>0.10595</v>
      </c>
      <c r="F129" s="109">
        <f t="shared" si="19"/>
        <v>317850</v>
      </c>
      <c r="H129" s="80">
        <f t="shared" si="20"/>
        <v>0.12540999999999999</v>
      </c>
      <c r="I129" s="154">
        <f t="shared" si="21"/>
        <v>376230</v>
      </c>
      <c r="J129" s="64"/>
      <c r="K129" s="89">
        <f t="shared" si="22"/>
        <v>58380</v>
      </c>
      <c r="L129" s="422">
        <f t="shared" si="23"/>
        <v>0.18367154318074563</v>
      </c>
      <c r="M129" s="135"/>
      <c r="N129" s="135"/>
    </row>
    <row r="130" spans="1:15" x14ac:dyDescent="0.2">
      <c r="A130" s="61"/>
      <c r="B130" s="106" t="s">
        <v>64</v>
      </c>
      <c r="C130" s="61" t="s">
        <v>23</v>
      </c>
      <c r="D130" s="63">
        <v>6000000</v>
      </c>
      <c r="E130" s="88">
        <v>6.7419999999999994E-2</v>
      </c>
      <c r="F130" s="109">
        <f t="shared" si="19"/>
        <v>404520</v>
      </c>
      <c r="H130" s="80">
        <f t="shared" si="20"/>
        <v>7.9810000000000006E-2</v>
      </c>
      <c r="I130" s="154">
        <f t="shared" si="21"/>
        <v>478860</v>
      </c>
      <c r="J130" s="64"/>
      <c r="K130" s="89">
        <f t="shared" si="22"/>
        <v>74340</v>
      </c>
      <c r="L130" s="422">
        <f t="shared" si="23"/>
        <v>0.18377336102046871</v>
      </c>
      <c r="M130" s="135"/>
      <c r="N130" s="135"/>
    </row>
    <row r="131" spans="1:15" x14ac:dyDescent="0.2">
      <c r="A131" s="61"/>
      <c r="B131" s="106" t="s">
        <v>74</v>
      </c>
      <c r="C131" s="61" t="s">
        <v>23</v>
      </c>
      <c r="D131" s="63">
        <v>11463691.02</v>
      </c>
      <c r="E131" s="88">
        <v>4.3229999999999998E-2</v>
      </c>
      <c r="F131" s="109">
        <f t="shared" si="19"/>
        <v>495575.36</v>
      </c>
      <c r="H131" s="80">
        <f t="shared" si="20"/>
        <v>5.117E-2</v>
      </c>
      <c r="I131" s="154">
        <f t="shared" si="21"/>
        <v>586597.06999999995</v>
      </c>
      <c r="J131" s="64"/>
      <c r="K131" s="89">
        <f t="shared" si="22"/>
        <v>91021.709999999963</v>
      </c>
      <c r="L131" s="422">
        <f t="shared" si="23"/>
        <v>0.18366875625131962</v>
      </c>
      <c r="M131" s="135"/>
      <c r="N131" s="135"/>
    </row>
    <row r="132" spans="1:15" x14ac:dyDescent="0.2">
      <c r="A132" s="61"/>
      <c r="B132" s="106" t="s">
        <v>75</v>
      </c>
      <c r="C132" s="61" t="s">
        <v>23</v>
      </c>
      <c r="D132" s="63">
        <v>25744602.149999999</v>
      </c>
      <c r="E132" s="88">
        <v>3.1109999999999999E-2</v>
      </c>
      <c r="F132" s="109">
        <f t="shared" si="19"/>
        <v>800914.57</v>
      </c>
      <c r="H132" s="80">
        <f t="shared" si="20"/>
        <v>3.6830000000000002E-2</v>
      </c>
      <c r="I132" s="154">
        <f t="shared" si="21"/>
        <v>948173.7</v>
      </c>
      <c r="J132" s="64"/>
      <c r="K132" s="89">
        <f t="shared" si="22"/>
        <v>147259.13</v>
      </c>
      <c r="L132" s="422">
        <f t="shared" si="23"/>
        <v>0.18386371720020028</v>
      </c>
      <c r="M132" s="135"/>
      <c r="N132" s="135"/>
    </row>
    <row r="133" spans="1:15" x14ac:dyDescent="0.2">
      <c r="A133" s="61"/>
      <c r="B133" s="106" t="s">
        <v>76</v>
      </c>
      <c r="C133" s="61" t="s">
        <v>23</v>
      </c>
      <c r="D133" s="63">
        <v>48293342.805479579</v>
      </c>
      <c r="E133" s="88">
        <v>2.3990000000000001E-2</v>
      </c>
      <c r="F133" s="109">
        <f t="shared" si="19"/>
        <v>1158557.29</v>
      </c>
      <c r="H133" s="80">
        <f t="shared" si="20"/>
        <v>2.4830000000000001E-2</v>
      </c>
      <c r="I133" s="154">
        <f t="shared" si="21"/>
        <v>1199123.7</v>
      </c>
      <c r="J133" s="64"/>
      <c r="K133" s="89">
        <f t="shared" si="22"/>
        <v>40566.409999999916</v>
      </c>
      <c r="L133" s="422">
        <f t="shared" si="23"/>
        <v>3.501459129397038E-2</v>
      </c>
      <c r="M133" s="135"/>
      <c r="N133" s="135"/>
    </row>
    <row r="134" spans="1:15" x14ac:dyDescent="0.2">
      <c r="A134" s="61"/>
      <c r="B134" s="97" t="s">
        <v>27</v>
      </c>
      <c r="C134" s="61"/>
      <c r="D134" s="170">
        <f>SUM(D128:D133)</f>
        <v>97500425.645479575</v>
      </c>
      <c r="E134" s="88"/>
      <c r="F134" s="155">
        <f>SUM(F123:F133)</f>
        <v>4262158.49</v>
      </c>
      <c r="H134" s="88"/>
      <c r="I134" s="155">
        <f>SUM(I123:I133)</f>
        <v>4790056.76</v>
      </c>
      <c r="J134" s="64"/>
      <c r="K134" s="155">
        <f>SUM(K123:K133)</f>
        <v>527898.2699999999</v>
      </c>
      <c r="L134" s="425">
        <f>IFERROR(K134/F134, )</f>
        <v>0.12385702484752037</v>
      </c>
      <c r="M134" s="135"/>
      <c r="N134" s="135"/>
    </row>
    <row r="135" spans="1:15" x14ac:dyDescent="0.2">
      <c r="A135" s="61"/>
      <c r="B135" s="106"/>
      <c r="C135" s="134"/>
      <c r="D135" s="63"/>
      <c r="E135" s="88"/>
      <c r="F135" s="109"/>
      <c r="H135" s="104"/>
      <c r="I135" s="154"/>
      <c r="J135" s="64"/>
      <c r="K135" s="89"/>
      <c r="L135" s="59"/>
      <c r="M135" s="135"/>
      <c r="N135" s="135"/>
    </row>
    <row r="136" spans="1:15" x14ac:dyDescent="0.2">
      <c r="A136" s="61"/>
      <c r="B136" s="106" t="s">
        <v>116</v>
      </c>
      <c r="C136" s="61"/>
      <c r="D136" s="63"/>
      <c r="E136" s="98"/>
      <c r="F136" s="155">
        <f>F134</f>
        <v>4262158.49</v>
      </c>
      <c r="H136" s="104"/>
      <c r="I136" s="155">
        <f>I134</f>
        <v>4790056.76</v>
      </c>
      <c r="J136" s="64"/>
      <c r="K136" s="94">
        <f>K134</f>
        <v>527898.2699999999</v>
      </c>
      <c r="L136" s="425">
        <f>IFERROR(K136/F136, )</f>
        <v>0.12385702484752037</v>
      </c>
      <c r="M136" s="135"/>
      <c r="N136" s="135"/>
      <c r="O136" s="110"/>
    </row>
    <row r="137" spans="1:15" s="61" customFormat="1" x14ac:dyDescent="0.2">
      <c r="B137" s="71"/>
      <c r="C137" s="144"/>
      <c r="D137" s="145"/>
      <c r="E137" s="157"/>
      <c r="F137" s="108"/>
      <c r="G137" s="145"/>
      <c r="H137" s="147"/>
      <c r="I137" s="158"/>
      <c r="J137" s="148"/>
      <c r="K137" s="76"/>
      <c r="L137" s="163"/>
      <c r="M137" s="135"/>
      <c r="N137" s="135"/>
    </row>
    <row r="138" spans="1:15" s="61" customFormat="1" x14ac:dyDescent="0.2">
      <c r="D138" s="63"/>
      <c r="E138" s="88"/>
      <c r="F138" s="109"/>
      <c r="G138" s="63"/>
      <c r="H138" s="104"/>
      <c r="I138" s="154"/>
      <c r="J138" s="64"/>
      <c r="K138" s="89"/>
      <c r="L138" s="165"/>
      <c r="M138" s="135"/>
      <c r="N138" s="135"/>
    </row>
    <row r="139" spans="1:15" x14ac:dyDescent="0.2">
      <c r="A139" s="61"/>
      <c r="B139" s="78" t="s">
        <v>78</v>
      </c>
      <c r="C139" s="487"/>
      <c r="D139" s="476"/>
      <c r="E139" s="488"/>
      <c r="F139" s="483"/>
      <c r="G139" s="476"/>
      <c r="H139" s="480"/>
      <c r="I139" s="485"/>
      <c r="J139" s="484"/>
      <c r="K139" s="483"/>
      <c r="L139" s="489"/>
      <c r="M139" s="135"/>
      <c r="N139" s="135"/>
    </row>
    <row r="140" spans="1:15" x14ac:dyDescent="0.2">
      <c r="A140" s="61"/>
      <c r="B140" s="83"/>
      <c r="C140" s="92"/>
      <c r="D140" s="63"/>
      <c r="E140" s="88"/>
      <c r="F140" s="109"/>
      <c r="H140" s="104"/>
      <c r="I140" s="154"/>
      <c r="J140" s="149"/>
      <c r="K140" s="109"/>
      <c r="L140" s="156"/>
      <c r="M140" s="135"/>
      <c r="N140" s="135"/>
    </row>
    <row r="141" spans="1:15" x14ac:dyDescent="0.2">
      <c r="A141" s="61"/>
      <c r="B141" s="79" t="s">
        <v>20</v>
      </c>
      <c r="C141" s="103" t="s">
        <v>21</v>
      </c>
      <c r="D141" s="63">
        <f>D123+D104</f>
        <v>181</v>
      </c>
      <c r="E141" s="104"/>
      <c r="F141" s="109">
        <f>F123+F104</f>
        <v>147193.70000000001</v>
      </c>
      <c r="H141" s="81"/>
      <c r="I141" s="109">
        <f>I123+I104</f>
        <v>173561.35</v>
      </c>
      <c r="J141" s="149"/>
      <c r="K141" s="154">
        <f>I141-F141</f>
        <v>26367.649999999994</v>
      </c>
      <c r="L141" s="424">
        <f t="shared" ref="L141:L144" si="24">IFERROR(K141/F141, )</f>
        <v>0.17913572387948665</v>
      </c>
      <c r="M141" s="135"/>
      <c r="N141" s="135"/>
    </row>
    <row r="142" spans="1:15" x14ac:dyDescent="0.2">
      <c r="A142" s="61"/>
      <c r="B142" s="83" t="s">
        <v>43</v>
      </c>
      <c r="C142" s="92" t="s">
        <v>44</v>
      </c>
      <c r="D142" s="63">
        <f>D124+D105</f>
        <v>296082</v>
      </c>
      <c r="E142" s="104"/>
      <c r="F142" s="109">
        <f>F124+F105</f>
        <v>429318.9</v>
      </c>
      <c r="H142" s="81"/>
      <c r="I142" s="109">
        <f>I124+I105</f>
        <v>429318.9</v>
      </c>
      <c r="J142" s="149"/>
      <c r="K142" s="154">
        <f>I142-F142</f>
        <v>0</v>
      </c>
      <c r="L142" s="424">
        <f t="shared" si="24"/>
        <v>0</v>
      </c>
      <c r="M142" s="135"/>
      <c r="N142" s="135"/>
    </row>
    <row r="143" spans="1:15" x14ac:dyDescent="0.2">
      <c r="A143" s="61"/>
      <c r="B143" s="83" t="s">
        <v>36</v>
      </c>
      <c r="C143" s="92"/>
      <c r="D143" s="63"/>
      <c r="E143" s="104"/>
      <c r="F143" s="109">
        <f>F106</f>
        <v>183938.01</v>
      </c>
      <c r="H143" s="81"/>
      <c r="I143" s="109">
        <f>I106</f>
        <v>203357.33</v>
      </c>
      <c r="J143" s="149"/>
      <c r="K143" s="154">
        <f>I143-F143</f>
        <v>19419.319999999978</v>
      </c>
      <c r="L143" s="424">
        <f t="shared" si="24"/>
        <v>0.10557535117401769</v>
      </c>
      <c r="M143" s="135"/>
      <c r="N143" s="135"/>
    </row>
    <row r="144" spans="1:15" x14ac:dyDescent="0.2">
      <c r="A144" s="61"/>
      <c r="B144" s="83" t="s">
        <v>59</v>
      </c>
      <c r="C144" s="92"/>
      <c r="D144" s="63"/>
      <c r="E144" s="104"/>
      <c r="F144" s="154">
        <f>F125+F107</f>
        <v>70534.149999999994</v>
      </c>
      <c r="H144" s="104"/>
      <c r="I144" s="154">
        <f>I125+I107</f>
        <v>70534.149999999994</v>
      </c>
      <c r="J144" s="149"/>
      <c r="K144" s="154">
        <f>I144-F144</f>
        <v>0</v>
      </c>
      <c r="L144" s="424">
        <f t="shared" si="24"/>
        <v>0</v>
      </c>
      <c r="M144" s="135"/>
      <c r="N144" s="135"/>
    </row>
    <row r="145" spans="1:16" x14ac:dyDescent="0.2">
      <c r="A145" s="61"/>
      <c r="B145" s="83"/>
      <c r="C145" s="92"/>
      <c r="D145" s="63"/>
      <c r="E145" s="104"/>
      <c r="F145" s="154"/>
      <c r="H145" s="88"/>
      <c r="I145" s="174"/>
      <c r="J145" s="149"/>
      <c r="K145" s="154"/>
      <c r="L145" s="173"/>
      <c r="M145" s="135"/>
      <c r="N145" s="135"/>
    </row>
    <row r="146" spans="1:16" ht="12" customHeight="1" x14ac:dyDescent="0.2">
      <c r="A146" s="61"/>
      <c r="B146" s="83" t="s">
        <v>45</v>
      </c>
      <c r="C146" s="92"/>
      <c r="D146" s="63"/>
      <c r="E146" s="104"/>
      <c r="F146" s="109"/>
      <c r="H146" s="88"/>
      <c r="I146" s="109"/>
      <c r="J146" s="149"/>
      <c r="K146" s="154"/>
      <c r="L146" s="173"/>
      <c r="M146" s="135"/>
      <c r="N146" s="135"/>
    </row>
    <row r="147" spans="1:16" x14ac:dyDescent="0.2">
      <c r="A147" s="61"/>
      <c r="B147" s="83" t="s">
        <v>60</v>
      </c>
      <c r="C147" s="92" t="s">
        <v>23</v>
      </c>
      <c r="D147" s="63">
        <f t="shared" ref="D147:D152" si="25">D128+D110</f>
        <v>4510982.67</v>
      </c>
      <c r="E147" s="88"/>
      <c r="F147" s="109">
        <f t="shared" ref="F147:F152" si="26">F128+F110</f>
        <v>790910.59000000008</v>
      </c>
      <c r="H147" s="82"/>
      <c r="I147" s="109">
        <f t="shared" ref="I147:I152" si="27">I128+I110</f>
        <v>936209.35000000009</v>
      </c>
      <c r="J147" s="149"/>
      <c r="K147" s="154">
        <f t="shared" ref="K147:K152" si="28">I147-F147</f>
        <v>145298.76</v>
      </c>
      <c r="L147" s="424">
        <f t="shared" ref="L147:L152" si="29">IFERROR(K147/F147, )</f>
        <v>0.18371072765633342</v>
      </c>
      <c r="M147" s="135"/>
      <c r="N147" s="135"/>
    </row>
    <row r="148" spans="1:16" x14ac:dyDescent="0.2">
      <c r="A148" s="61"/>
      <c r="B148" s="83" t="s">
        <v>61</v>
      </c>
      <c r="C148" s="92" t="s">
        <v>23</v>
      </c>
      <c r="D148" s="63">
        <f t="shared" si="25"/>
        <v>4398016.1150000002</v>
      </c>
      <c r="E148" s="88"/>
      <c r="F148" s="109">
        <f t="shared" si="26"/>
        <v>465969.81</v>
      </c>
      <c r="H148" s="82"/>
      <c r="I148" s="109">
        <f t="shared" si="27"/>
        <v>551555.19999999995</v>
      </c>
      <c r="J148" s="149"/>
      <c r="K148" s="154">
        <f t="shared" si="28"/>
        <v>85585.389999999956</v>
      </c>
      <c r="L148" s="424">
        <f t="shared" si="29"/>
        <v>0.18367153442837844</v>
      </c>
      <c r="M148" s="135"/>
      <c r="N148" s="135"/>
    </row>
    <row r="149" spans="1:16" x14ac:dyDescent="0.2">
      <c r="A149" s="61"/>
      <c r="B149" s="83" t="s">
        <v>64</v>
      </c>
      <c r="C149" s="92" t="s">
        <v>23</v>
      </c>
      <c r="D149" s="63">
        <f t="shared" si="25"/>
        <v>8316890.0959999999</v>
      </c>
      <c r="E149" s="88"/>
      <c r="F149" s="109">
        <f t="shared" si="26"/>
        <v>560724.73</v>
      </c>
      <c r="H149" s="82"/>
      <c r="I149" s="109">
        <f t="shared" si="27"/>
        <v>663771</v>
      </c>
      <c r="J149" s="149"/>
      <c r="K149" s="154">
        <f t="shared" si="28"/>
        <v>103046.27000000002</v>
      </c>
      <c r="L149" s="424">
        <f t="shared" si="29"/>
        <v>0.18377336416034304</v>
      </c>
      <c r="M149" s="135"/>
      <c r="N149" s="135"/>
    </row>
    <row r="150" spans="1:16" x14ac:dyDescent="0.2">
      <c r="A150" s="61"/>
      <c r="B150" s="83" t="s">
        <v>74</v>
      </c>
      <c r="C150" s="92" t="s">
        <v>23</v>
      </c>
      <c r="D150" s="63">
        <f t="shared" si="25"/>
        <v>14508947.897999998</v>
      </c>
      <c r="E150" s="88"/>
      <c r="F150" s="109">
        <f t="shared" si="26"/>
        <v>627221.81000000006</v>
      </c>
      <c r="H150" s="82"/>
      <c r="I150" s="109">
        <f t="shared" si="27"/>
        <v>742422.86</v>
      </c>
      <c r="J150" s="149"/>
      <c r="K150" s="154">
        <f t="shared" si="28"/>
        <v>115201.04999999993</v>
      </c>
      <c r="L150" s="424">
        <f t="shared" si="29"/>
        <v>0.18366875667158308</v>
      </c>
      <c r="M150" s="135"/>
      <c r="N150" s="135"/>
    </row>
    <row r="151" spans="1:16" x14ac:dyDescent="0.2">
      <c r="A151" s="61"/>
      <c r="B151" s="83" t="s">
        <v>75</v>
      </c>
      <c r="C151" s="92" t="s">
        <v>23</v>
      </c>
      <c r="D151" s="63">
        <f t="shared" si="25"/>
        <v>29536644.353</v>
      </c>
      <c r="E151" s="88"/>
      <c r="F151" s="109">
        <f t="shared" si="26"/>
        <v>918885</v>
      </c>
      <c r="H151" s="82"/>
      <c r="I151" s="109">
        <f t="shared" si="27"/>
        <v>1087834.6099999999</v>
      </c>
      <c r="J151" s="149"/>
      <c r="K151" s="154">
        <f t="shared" si="28"/>
        <v>168949.60999999987</v>
      </c>
      <c r="L151" s="424">
        <f t="shared" si="29"/>
        <v>0.18386371526360737</v>
      </c>
      <c r="M151" s="135"/>
      <c r="N151" s="135"/>
    </row>
    <row r="152" spans="1:16" x14ac:dyDescent="0.2">
      <c r="A152" s="61"/>
      <c r="B152" s="83" t="s">
        <v>76</v>
      </c>
      <c r="C152" s="92" t="s">
        <v>23</v>
      </c>
      <c r="D152" s="63">
        <f t="shared" si="25"/>
        <v>58048400.275834784</v>
      </c>
      <c r="E152" s="88"/>
      <c r="F152" s="109">
        <f t="shared" si="26"/>
        <v>1392581.12</v>
      </c>
      <c r="H152" s="82"/>
      <c r="I152" s="109">
        <f t="shared" si="27"/>
        <v>1441341.78</v>
      </c>
      <c r="J152" s="149"/>
      <c r="K152" s="154">
        <f t="shared" si="28"/>
        <v>48760.659999999916</v>
      </c>
      <c r="L152" s="424">
        <f t="shared" si="29"/>
        <v>3.5014592184044485E-2</v>
      </c>
      <c r="M152" s="135"/>
      <c r="N152" s="135"/>
    </row>
    <row r="153" spans="1:16" x14ac:dyDescent="0.2">
      <c r="A153" s="61"/>
      <c r="B153" s="97" t="s">
        <v>27</v>
      </c>
      <c r="C153" s="92" t="s">
        <v>23</v>
      </c>
      <c r="D153" s="170">
        <f>SUM(D147:D152)</f>
        <v>119319881.40783478</v>
      </c>
      <c r="E153" s="88"/>
      <c r="F153" s="67">
        <f>SUM(F141:F152)</f>
        <v>5587277.8200000003</v>
      </c>
      <c r="H153" s="104"/>
      <c r="I153" s="67">
        <f>SUM(I141:I152)</f>
        <v>6299906.5300000003</v>
      </c>
      <c r="J153" s="149"/>
      <c r="K153" s="67">
        <f>SUM(K141:K152)</f>
        <v>712628.70999999973</v>
      </c>
      <c r="L153" s="423">
        <f>IFERROR(K153/F153, )</f>
        <v>0.12754488553425819</v>
      </c>
      <c r="M153" s="135"/>
      <c r="N153" s="135"/>
      <c r="P153" s="171"/>
    </row>
    <row r="154" spans="1:16" x14ac:dyDescent="0.2">
      <c r="A154" s="61"/>
      <c r="B154" s="79"/>
      <c r="C154" s="103"/>
      <c r="D154" s="63"/>
      <c r="E154" s="88"/>
      <c r="F154" s="109"/>
      <c r="H154" s="104"/>
      <c r="I154" s="154"/>
      <c r="J154" s="149"/>
      <c r="K154" s="109"/>
      <c r="L154" s="90"/>
      <c r="M154" s="135"/>
      <c r="N154" s="135"/>
    </row>
    <row r="155" spans="1:16" x14ac:dyDescent="0.2">
      <c r="A155" s="61"/>
      <c r="B155" s="79" t="s">
        <v>116</v>
      </c>
      <c r="C155" s="103"/>
      <c r="D155" s="109"/>
      <c r="E155" s="104"/>
      <c r="F155" s="67">
        <f>F153</f>
        <v>5587277.8200000003</v>
      </c>
      <c r="G155" s="92"/>
      <c r="H155" s="104"/>
      <c r="I155" s="67">
        <f>I153</f>
        <v>6299906.5300000003</v>
      </c>
      <c r="J155" s="104"/>
      <c r="K155" s="67">
        <f>K153</f>
        <v>712628.70999999973</v>
      </c>
      <c r="L155" s="423">
        <f>IFERROR(K155/F155, )</f>
        <v>0.12754488553425819</v>
      </c>
      <c r="M155" s="135"/>
      <c r="N155" s="135"/>
    </row>
    <row r="156" spans="1:16" x14ac:dyDescent="0.2">
      <c r="A156" s="61"/>
      <c r="B156" s="71"/>
      <c r="C156" s="144"/>
      <c r="D156" s="145"/>
      <c r="E156" s="175"/>
      <c r="F156" s="158"/>
      <c r="G156" s="145"/>
      <c r="H156" s="147"/>
      <c r="I156" s="158"/>
      <c r="J156" s="148"/>
      <c r="K156" s="76"/>
      <c r="L156" s="77"/>
      <c r="M156" s="135"/>
      <c r="N156" s="135"/>
    </row>
    <row r="157" spans="1:16" x14ac:dyDescent="0.2">
      <c r="A157" s="61"/>
      <c r="B157" s="61"/>
      <c r="C157" s="61"/>
      <c r="D157" s="63"/>
      <c r="E157" s="88"/>
      <c r="F157" s="109"/>
      <c r="H157" s="104"/>
      <c r="I157" s="154"/>
      <c r="J157" s="64"/>
      <c r="K157" s="89"/>
      <c r="L157" s="165"/>
      <c r="M157" s="135"/>
      <c r="N157" s="135"/>
    </row>
    <row r="158" spans="1:16" x14ac:dyDescent="0.2">
      <c r="B158" s="112" t="s">
        <v>79</v>
      </c>
      <c r="C158" s="61"/>
      <c r="D158" s="63"/>
      <c r="E158" s="69"/>
      <c r="F158" s="104"/>
      <c r="H158" s="88"/>
      <c r="I158" s="104"/>
      <c r="J158" s="98"/>
      <c r="K158" s="98"/>
      <c r="L158" s="171"/>
      <c r="M158" s="135"/>
      <c r="N158" s="135"/>
      <c r="O158" s="68"/>
    </row>
    <row r="159" spans="1:16" x14ac:dyDescent="0.2">
      <c r="C159" s="61"/>
      <c r="D159" s="129" t="s">
        <v>23</v>
      </c>
      <c r="E159" s="69"/>
      <c r="F159" s="74" t="s">
        <v>11</v>
      </c>
      <c r="G159" s="186"/>
      <c r="H159" s="93"/>
      <c r="I159" s="74" t="s">
        <v>1</v>
      </c>
      <c r="J159" s="110"/>
      <c r="K159" s="114" t="s">
        <v>33</v>
      </c>
      <c r="L159" s="171"/>
      <c r="M159" s="135"/>
      <c r="N159" s="135"/>
      <c r="O159" s="68"/>
    </row>
    <row r="160" spans="1:16" x14ac:dyDescent="0.2">
      <c r="B160" s="112" t="s">
        <v>116</v>
      </c>
      <c r="C160" s="61"/>
      <c r="D160" s="58"/>
      <c r="E160" s="69"/>
      <c r="F160" s="177"/>
      <c r="G160" s="177"/>
      <c r="H160" s="177"/>
      <c r="I160" s="177"/>
      <c r="J160" s="176"/>
      <c r="K160" s="176"/>
      <c r="L160" s="171"/>
      <c r="M160" s="135"/>
      <c r="N160" s="135"/>
      <c r="O160" s="68"/>
    </row>
    <row r="161" spans="2:15" x14ac:dyDescent="0.2">
      <c r="B161" s="118" t="s">
        <v>80</v>
      </c>
      <c r="C161" s="61"/>
      <c r="D161" s="58">
        <f>D52</f>
        <v>88879730.522699013</v>
      </c>
      <c r="E161" s="69"/>
      <c r="F161" s="177">
        <f>F21+F36</f>
        <v>8603644.5934943184</v>
      </c>
      <c r="G161" s="177"/>
      <c r="H161" s="177"/>
      <c r="I161" s="177">
        <f>I21+I36</f>
        <v>9611990.370000001</v>
      </c>
      <c r="J161" s="176"/>
      <c r="K161" s="176">
        <f>I161-F161</f>
        <v>1008345.7765056826</v>
      </c>
      <c r="L161" s="426">
        <f t="shared" ref="L161:L163" si="30">IFERROR(K161/F161, )</f>
        <v>0.11719984078237582</v>
      </c>
      <c r="M161" s="135"/>
      <c r="N161" s="135"/>
      <c r="O161" s="68"/>
    </row>
    <row r="162" spans="2:15" x14ac:dyDescent="0.2">
      <c r="B162" s="118" t="s">
        <v>81</v>
      </c>
      <c r="C162" s="61"/>
      <c r="D162" s="58">
        <f>D96</f>
        <v>7491654.8276905464</v>
      </c>
      <c r="E162" s="69"/>
      <c r="F162" s="177">
        <f>F67+F81</f>
        <v>1496082.9500000002</v>
      </c>
      <c r="G162" s="177"/>
      <c r="H162" s="177"/>
      <c r="I162" s="177">
        <f>I67+I81</f>
        <v>1560031.02</v>
      </c>
      <c r="J162" s="176"/>
      <c r="K162" s="176">
        <f>I162-F162</f>
        <v>63948.069999999832</v>
      </c>
      <c r="L162" s="426">
        <f t="shared" si="30"/>
        <v>4.2743666051404318E-2</v>
      </c>
      <c r="M162" s="135"/>
      <c r="N162" s="135"/>
      <c r="O162" s="68"/>
    </row>
    <row r="163" spans="2:15" x14ac:dyDescent="0.2">
      <c r="B163" s="118" t="s">
        <v>82</v>
      </c>
      <c r="C163" s="61"/>
      <c r="D163" s="58">
        <f>D153</f>
        <v>119319881.40783478</v>
      </c>
      <c r="E163" s="69"/>
      <c r="F163" s="177">
        <f>F116+F134</f>
        <v>5587277.8200000003</v>
      </c>
      <c r="G163" s="177"/>
      <c r="H163" s="177"/>
      <c r="I163" s="177">
        <f>I116+I134</f>
        <v>6299906.5299999993</v>
      </c>
      <c r="J163" s="176"/>
      <c r="K163" s="176">
        <f>I163-F163</f>
        <v>712628.70999999903</v>
      </c>
      <c r="L163" s="426">
        <f t="shared" si="30"/>
        <v>0.12754488553425808</v>
      </c>
      <c r="M163" s="135"/>
      <c r="N163" s="135"/>
      <c r="O163" s="68"/>
    </row>
    <row r="164" spans="2:15" x14ac:dyDescent="0.2">
      <c r="B164" s="118" t="s">
        <v>2</v>
      </c>
      <c r="C164" s="61"/>
      <c r="D164" s="170">
        <f>SUM(D161:D163)</f>
        <v>215691266.75822434</v>
      </c>
      <c r="E164" s="69"/>
      <c r="F164" s="444">
        <f>SUM(F161:F163)</f>
        <v>15687005.363494318</v>
      </c>
      <c r="G164" s="177"/>
      <c r="H164" s="177"/>
      <c r="I164" s="444">
        <f>SUM(I161:I163)</f>
        <v>17471927.920000002</v>
      </c>
      <c r="J164" s="176"/>
      <c r="K164" s="184">
        <f>SUM(K161:K163)</f>
        <v>1784922.5565056815</v>
      </c>
      <c r="L164" s="426">
        <f>IFERROR(K164/F164, )</f>
        <v>0.11378351158465376</v>
      </c>
      <c r="M164" s="135"/>
      <c r="N164" s="135"/>
      <c r="O164" s="68"/>
    </row>
    <row r="165" spans="2:15" x14ac:dyDescent="0.2">
      <c r="C165" s="61"/>
      <c r="D165" s="58"/>
      <c r="E165" s="69"/>
      <c r="F165" s="177"/>
      <c r="G165" s="177"/>
      <c r="H165" s="177"/>
      <c r="I165" s="177"/>
      <c r="J165" s="176"/>
      <c r="K165" s="176"/>
      <c r="L165" s="171"/>
      <c r="M165" s="135"/>
      <c r="N165" s="135"/>
      <c r="O165" s="68"/>
    </row>
    <row r="166" spans="2:15" x14ac:dyDescent="0.2">
      <c r="B166" s="112" t="s">
        <v>83</v>
      </c>
      <c r="E166" s="115"/>
      <c r="F166" s="179"/>
      <c r="G166" s="178"/>
      <c r="H166" s="179"/>
      <c r="I166" s="179"/>
      <c r="J166" s="182"/>
      <c r="K166" s="182"/>
      <c r="L166" s="183"/>
      <c r="O166" s="110"/>
    </row>
    <row r="167" spans="2:15" x14ac:dyDescent="0.2">
      <c r="B167" s="181" t="s">
        <v>2</v>
      </c>
      <c r="D167" s="115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63"/>
      <c r="F167" s="179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77"/>
      <c r="H167" s="179"/>
      <c r="I167" s="445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182"/>
      <c r="K167" s="182">
        <f>I167-F167</f>
        <v>46559075.37602067</v>
      </c>
      <c r="L167" s="427">
        <f t="shared" ref="L167:L168" si="31">IFERROR(K167/F167, )</f>
        <v>8.971986344574176E-2</v>
      </c>
      <c r="O167" s="110"/>
    </row>
    <row r="168" spans="2:15" x14ac:dyDescent="0.2">
      <c r="B168" s="181" t="s">
        <v>84</v>
      </c>
      <c r="D168" s="186">
        <v>32154478.538398605</v>
      </c>
      <c r="E168" s="63"/>
      <c r="F168" s="179">
        <f>'Exh JDT-5 (JDT-Rate Spread)'!L13</f>
        <v>1679324.4523564125</v>
      </c>
      <c r="G168" s="177"/>
      <c r="H168" s="179"/>
      <c r="I168" s="446">
        <f>'Exh JDT-5 (JDT-Rate Spread)'!L56</f>
        <v>1699064.4523564125</v>
      </c>
      <c r="J168" s="182"/>
      <c r="K168" s="565">
        <f>I168-F168</f>
        <v>19740</v>
      </c>
      <c r="L168" s="427">
        <f t="shared" si="31"/>
        <v>1.1754726713054773E-2</v>
      </c>
      <c r="O168" s="110"/>
    </row>
    <row r="169" spans="2:15" x14ac:dyDescent="0.2">
      <c r="B169" s="181" t="s">
        <v>85</v>
      </c>
      <c r="D169" s="170">
        <f>SUM(D167:D168)</f>
        <v>1172906987.0608532</v>
      </c>
      <c r="E169" s="63"/>
      <c r="F169" s="444">
        <f>SUM(F167:F168)</f>
        <v>520617646.3344149</v>
      </c>
      <c r="G169" s="177"/>
      <c r="H169" s="179"/>
      <c r="I169" s="444">
        <f>SUM(I167:I168)</f>
        <v>567196461.71043563</v>
      </c>
      <c r="J169" s="182"/>
      <c r="K169" s="184">
        <f>SUM(K167:K168)</f>
        <v>46578815.37602067</v>
      </c>
      <c r="L169" s="427">
        <f>IFERROR(K169/F169, )</f>
        <v>8.9468376079786416E-2</v>
      </c>
      <c r="O169" s="110"/>
    </row>
    <row r="170" spans="2:15" x14ac:dyDescent="0.2">
      <c r="B170" s="188"/>
      <c r="C170" s="93"/>
      <c r="E170" s="63"/>
      <c r="F170" s="1"/>
      <c r="G170" s="177"/>
      <c r="H170" s="179"/>
      <c r="I170" s="185"/>
      <c r="J170" s="182"/>
      <c r="K170" s="185"/>
      <c r="L170" s="183"/>
    </row>
    <row r="171" spans="2:15" x14ac:dyDescent="0.2">
      <c r="B171" s="118" t="s">
        <v>87</v>
      </c>
      <c r="E171" s="63"/>
      <c r="F171" s="176"/>
      <c r="G171" s="177"/>
      <c r="H171" s="179"/>
      <c r="I171" s="176"/>
      <c r="J171" s="182"/>
      <c r="K171" s="176"/>
      <c r="L171" s="183"/>
    </row>
    <row r="172" spans="2:15" ht="13.5" thickBot="1" x14ac:dyDescent="0.25">
      <c r="F172" s="176"/>
      <c r="G172" s="177"/>
      <c r="H172" s="179"/>
      <c r="I172" s="176"/>
      <c r="J172" s="182"/>
      <c r="K172" s="176"/>
      <c r="L172" s="183"/>
    </row>
    <row r="173" spans="2:15" x14ac:dyDescent="0.2">
      <c r="B173" s="197" t="s">
        <v>88</v>
      </c>
      <c r="C173" s="195" t="s">
        <v>97</v>
      </c>
      <c r="D173" s="325">
        <v>15675792.294814982</v>
      </c>
      <c r="E173" s="195" t="s">
        <v>91</v>
      </c>
      <c r="F173" s="226">
        <f>D173-F164</f>
        <v>-11213.068679336458</v>
      </c>
      <c r="G173" s="177"/>
      <c r="H173" s="179" t="s">
        <v>88</v>
      </c>
      <c r="I173" s="182">
        <f>'Exh JDT-5 (JDT-Rate Spread)'!C56</f>
        <v>567193801.86914253</v>
      </c>
      <c r="J173" s="182"/>
      <c r="K173" s="182">
        <f>'Exh JDT-5 (JDT-Rate Spread)'!C46</f>
        <v>44570424.507699192</v>
      </c>
      <c r="L173" s="183"/>
    </row>
    <row r="174" spans="2:15" ht="13.5" thickBot="1" x14ac:dyDescent="0.25">
      <c r="B174" s="198" t="s">
        <v>88</v>
      </c>
      <c r="C174" s="196" t="s">
        <v>97</v>
      </c>
      <c r="D174" s="326">
        <v>522623377.36144328</v>
      </c>
      <c r="E174" s="196" t="s">
        <v>91</v>
      </c>
      <c r="F174" s="227">
        <f>D174-F169</f>
        <v>2005731.0270283818</v>
      </c>
      <c r="H174" s="188" t="s">
        <v>91</v>
      </c>
      <c r="I174" s="110">
        <f>I173-I169</f>
        <v>-2659.8412930965424</v>
      </c>
      <c r="K174" s="110">
        <f>K173-K169</f>
        <v>-2008390.8683214784</v>
      </c>
      <c r="L174" s="183"/>
    </row>
    <row r="175" spans="2:15" x14ac:dyDescent="0.2">
      <c r="L175" s="183"/>
    </row>
    <row r="176" spans="2:15" x14ac:dyDescent="0.2">
      <c r="B176" s="572"/>
      <c r="D176" s="187"/>
      <c r="L176" s="183"/>
    </row>
    <row r="177" spans="12:12" x14ac:dyDescent="0.2">
      <c r="L177" s="183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1:Y279"/>
  <sheetViews>
    <sheetView zoomScale="90" zoomScaleNormal="90" zoomScaleSheet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28" sqref="M28"/>
    </sheetView>
  </sheetViews>
  <sheetFormatPr defaultColWidth="9.140625" defaultRowHeight="12.75" x14ac:dyDescent="0.2"/>
  <cols>
    <col min="1" max="1" width="2.85546875" style="93" customWidth="1"/>
    <col min="2" max="2" width="38.42578125" style="356" customWidth="1"/>
    <col min="3" max="3" width="12.28515625" style="389" customWidth="1"/>
    <col min="4" max="4" width="12.28515625" style="93" customWidth="1"/>
    <col min="5" max="5" width="15.85546875" style="93" bestFit="1" customWidth="1"/>
    <col min="6" max="6" width="14.5703125" style="357" bestFit="1" customWidth="1"/>
    <col min="7" max="7" width="14.5703125" style="188" bestFit="1" customWidth="1"/>
    <col min="8" max="8" width="13.28515625" style="188" bestFit="1" customWidth="1"/>
    <col min="9" max="9" width="14.5703125" style="188" bestFit="1" customWidth="1"/>
    <col min="10" max="10" width="14.5703125" style="188" customWidth="1"/>
    <col min="11" max="11" width="2.85546875" style="104" customWidth="1"/>
    <col min="12" max="12" width="19.140625" style="93" bestFit="1" customWidth="1"/>
    <col min="13" max="13" width="14.5703125" style="357" bestFit="1" customWidth="1"/>
    <col min="14" max="14" width="14.5703125" style="188" bestFit="1" customWidth="1"/>
    <col min="15" max="15" width="14" style="188" bestFit="1" customWidth="1"/>
    <col min="16" max="16" width="14.5703125" style="188" bestFit="1" customWidth="1"/>
    <col min="17" max="17" width="14.5703125" style="188" customWidth="1"/>
    <col min="18" max="18" width="2.85546875" style="104" customWidth="1"/>
    <col min="19" max="19" width="15.85546875" style="93" bestFit="1" customWidth="1"/>
    <col min="20" max="20" width="14.5703125" style="357" bestFit="1" customWidth="1"/>
    <col min="21" max="21" width="14.5703125" style="188" bestFit="1" customWidth="1"/>
    <col min="22" max="22" width="14" style="188" bestFit="1" customWidth="1"/>
    <col min="23" max="23" width="14.5703125" style="188" bestFit="1" customWidth="1"/>
    <col min="24" max="16384" width="9.140625" style="93"/>
  </cols>
  <sheetData>
    <row r="1" spans="2:23" ht="12.95" customHeight="1" x14ac:dyDescent="0.2">
      <c r="B1" s="490" t="str">
        <f>'Table of Contents'!$A$1</f>
        <v>Puget Sound Energy</v>
      </c>
      <c r="C1" s="375"/>
      <c r="D1" s="28"/>
      <c r="G1" s="124"/>
      <c r="H1" s="124"/>
      <c r="I1" s="124"/>
      <c r="J1" s="124"/>
      <c r="K1" s="450"/>
      <c r="N1" s="124"/>
      <c r="O1" s="124"/>
      <c r="P1" s="124"/>
      <c r="Q1" s="124"/>
      <c r="R1" s="450"/>
      <c r="U1" s="124"/>
      <c r="V1" s="124"/>
      <c r="W1" s="124"/>
    </row>
    <row r="2" spans="2:23" x14ac:dyDescent="0.2">
      <c r="B2" s="264" t="str">
        <f>'Table of Contents'!$A$2</f>
        <v>2022 Gas General Rate Case Filing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</row>
    <row r="3" spans="2:23" x14ac:dyDescent="0.2">
      <c r="B3" s="264" t="str">
        <f>'Table of Contents'!$A$3</f>
        <v>Gas Rate Spread &amp; Design Work Paper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</row>
    <row r="4" spans="2:23" x14ac:dyDescent="0.2">
      <c r="B4" s="491" t="s">
        <v>123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</row>
    <row r="5" spans="2:23" x14ac:dyDescent="0.2">
      <c r="B5" s="491" t="str">
        <f>'Exh JDT-5 (JDT-RES_RD)'!B5</f>
        <v>Rate Spread and Schedule 141R and 141N Allocation</v>
      </c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</row>
    <row r="7" spans="2:23" x14ac:dyDescent="0.2">
      <c r="B7" s="331"/>
      <c r="C7" s="376"/>
      <c r="D7" s="245"/>
      <c r="E7" s="766" t="s">
        <v>115</v>
      </c>
      <c r="F7" s="766"/>
      <c r="G7" s="766"/>
      <c r="H7" s="766"/>
      <c r="I7" s="766"/>
      <c r="J7" s="575"/>
      <c r="K7" s="451"/>
      <c r="L7" s="766" t="s">
        <v>93</v>
      </c>
      <c r="M7" s="766"/>
      <c r="N7" s="766"/>
      <c r="O7" s="766"/>
      <c r="P7" s="766"/>
      <c r="Q7" s="575"/>
      <c r="R7" s="451"/>
      <c r="S7" s="766" t="s">
        <v>94</v>
      </c>
      <c r="T7" s="766"/>
      <c r="U7" s="766"/>
      <c r="V7" s="766"/>
      <c r="W7" s="767"/>
    </row>
    <row r="8" spans="2:23" ht="25.5" x14ac:dyDescent="0.2">
      <c r="B8" s="332" t="s">
        <v>13</v>
      </c>
      <c r="C8" s="377" t="s">
        <v>180</v>
      </c>
      <c r="D8" s="452" t="s">
        <v>121</v>
      </c>
      <c r="E8" s="453" t="s">
        <v>92</v>
      </c>
      <c r="F8" s="358" t="s">
        <v>179</v>
      </c>
      <c r="G8" s="454" t="s">
        <v>181</v>
      </c>
      <c r="H8" s="679" t="s">
        <v>111</v>
      </c>
      <c r="I8" s="679" t="s">
        <v>112</v>
      </c>
      <c r="J8" s="596" t="s">
        <v>295</v>
      </c>
      <c r="K8" s="455"/>
      <c r="L8" s="453" t="s">
        <v>92</v>
      </c>
      <c r="M8" s="358" t="s">
        <v>179</v>
      </c>
      <c r="N8" s="454" t="s">
        <v>181</v>
      </c>
      <c r="O8" s="679" t="s">
        <v>111</v>
      </c>
      <c r="P8" s="679" t="s">
        <v>112</v>
      </c>
      <c r="Q8" s="596" t="s">
        <v>295</v>
      </c>
      <c r="R8" s="455"/>
      <c r="S8" s="453" t="s">
        <v>92</v>
      </c>
      <c r="T8" s="358" t="s">
        <v>179</v>
      </c>
      <c r="U8" s="454" t="s">
        <v>181</v>
      </c>
      <c r="V8" s="455" t="s">
        <v>111</v>
      </c>
      <c r="W8" s="456" t="s">
        <v>112</v>
      </c>
    </row>
    <row r="9" spans="2:23" x14ac:dyDescent="0.2">
      <c r="B9" s="333"/>
      <c r="C9" s="378"/>
      <c r="D9" s="212"/>
      <c r="E9" s="457"/>
      <c r="F9" s="359"/>
      <c r="G9" s="220"/>
      <c r="H9" s="680"/>
      <c r="I9" s="680"/>
      <c r="J9" s="220"/>
      <c r="K9" s="220"/>
      <c r="L9" s="457"/>
      <c r="M9" s="359"/>
      <c r="N9" s="220"/>
      <c r="O9" s="680"/>
      <c r="P9" s="680"/>
      <c r="Q9" s="220"/>
      <c r="R9" s="220"/>
      <c r="S9" s="457"/>
      <c r="T9" s="359"/>
      <c r="U9" s="220"/>
      <c r="V9" s="220"/>
      <c r="W9" s="458"/>
    </row>
    <row r="10" spans="2:23" x14ac:dyDescent="0.2">
      <c r="B10" s="334" t="s">
        <v>122</v>
      </c>
      <c r="C10" s="379"/>
      <c r="D10" s="335"/>
      <c r="E10" s="247">
        <f>E17+E25+E33</f>
        <v>636378193</v>
      </c>
      <c r="F10" s="360"/>
      <c r="G10" s="336"/>
      <c r="H10" s="681">
        <f>'Exh JDT-5 (JDT-Rate Spread)'!F70</f>
        <v>15615300.17325394</v>
      </c>
      <c r="I10" s="681">
        <f>'Exh JDT-5 (JDT-Rate Spread)'!F81</f>
        <v>14266993.036877459</v>
      </c>
      <c r="J10" s="597">
        <f>'Exh JDT-5 (JDT-Rate Spread)'!F86</f>
        <v>2074672.7347817947</v>
      </c>
      <c r="K10" s="337"/>
      <c r="L10" s="247">
        <f>L17+L25+L33</f>
        <v>639473381</v>
      </c>
      <c r="M10" s="360"/>
      <c r="N10" s="337"/>
      <c r="O10" s="681">
        <f>'Exh JDT-5 (JDT-Rate Spread)'!F74</f>
        <v>9052934.6182615533</v>
      </c>
      <c r="P10" s="681">
        <f>'Exh JDT-5 (JDT-Rate Spread)'!F82</f>
        <v>34352902.746613204</v>
      </c>
      <c r="Q10" s="597">
        <f>'Exh JDT-5 (JDT-Rate Spread)'!F87</f>
        <v>2016093.3139364917</v>
      </c>
      <c r="R10" s="337"/>
      <c r="S10" s="247"/>
      <c r="T10" s="360"/>
      <c r="U10" s="338"/>
      <c r="V10" s="336"/>
      <c r="W10" s="339"/>
    </row>
    <row r="11" spans="2:23" s="92" customFormat="1" x14ac:dyDescent="0.2">
      <c r="B11" s="83"/>
      <c r="C11" s="361"/>
      <c r="F11" s="361"/>
      <c r="G11" s="149" t="s">
        <v>114</v>
      </c>
      <c r="H11" s="682">
        <f>ROUND(H10/E10, 5)</f>
        <v>2.4539999999999999E-2</v>
      </c>
      <c r="I11" s="682">
        <f>ROUND(I10/E10, 5)</f>
        <v>2.2419999999999999E-2</v>
      </c>
      <c r="J11" s="587">
        <f>ROUND(J10/E10, 5)</f>
        <v>3.2599999999999999E-3</v>
      </c>
      <c r="K11" s="104"/>
      <c r="M11" s="361"/>
      <c r="N11" s="104"/>
      <c r="O11" s="682">
        <f>ROUND(O10/L10, 5)</f>
        <v>1.4160000000000001E-2</v>
      </c>
      <c r="P11" s="682">
        <f>ROUND(P10/L10, 5)</f>
        <v>5.3719999999999997E-2</v>
      </c>
      <c r="Q11" s="587">
        <f>ROUND(Q10/L10, 5)</f>
        <v>3.15E-3</v>
      </c>
      <c r="R11" s="104"/>
      <c r="T11" s="361"/>
      <c r="U11" s="104"/>
      <c r="V11" s="88"/>
      <c r="W11" s="527"/>
    </row>
    <row r="12" spans="2:23" s="92" customFormat="1" x14ac:dyDescent="0.2">
      <c r="B12" s="99"/>
      <c r="C12" s="366"/>
      <c r="D12" s="206"/>
      <c r="E12" s="342" t="s">
        <v>116</v>
      </c>
      <c r="F12" s="362">
        <f>F18+F26+F34</f>
        <v>381408517.88003999</v>
      </c>
      <c r="G12" s="208">
        <f>G18+G26+G34</f>
        <v>414358362.31292999</v>
      </c>
      <c r="H12" s="683"/>
      <c r="I12" s="683"/>
      <c r="J12" s="343"/>
      <c r="K12" s="344"/>
      <c r="L12" s="342" t="s">
        <v>116</v>
      </c>
      <c r="M12" s="362">
        <f>M18+M26+M34</f>
        <v>384032148.01235998</v>
      </c>
      <c r="N12" s="208">
        <f>N18+N26+N34</f>
        <v>417207632.91536999</v>
      </c>
      <c r="O12" s="683"/>
      <c r="P12" s="683"/>
      <c r="Q12" s="343"/>
      <c r="R12" s="344"/>
      <c r="S12" s="342"/>
      <c r="T12" s="362"/>
      <c r="U12" s="208"/>
      <c r="V12" s="343"/>
      <c r="W12" s="345"/>
    </row>
    <row r="13" spans="2:23" x14ac:dyDescent="0.2">
      <c r="B13" s="83"/>
      <c r="C13" s="361"/>
      <c r="D13" s="92"/>
      <c r="E13" s="92"/>
      <c r="F13" s="361"/>
      <c r="G13" s="104"/>
      <c r="H13" s="684"/>
      <c r="I13" s="684"/>
      <c r="J13" s="340"/>
      <c r="L13" s="92"/>
      <c r="M13" s="361"/>
      <c r="N13" s="104"/>
      <c r="O13" s="684"/>
      <c r="P13" s="684"/>
      <c r="Q13" s="340"/>
      <c r="S13" s="92"/>
      <c r="T13" s="361"/>
      <c r="U13" s="104"/>
      <c r="V13" s="340"/>
      <c r="W13" s="341"/>
    </row>
    <row r="14" spans="2:23" x14ac:dyDescent="0.2">
      <c r="B14" s="346" t="s">
        <v>19</v>
      </c>
      <c r="C14" s="380"/>
      <c r="D14" s="55"/>
      <c r="E14" s="55"/>
      <c r="F14" s="363"/>
      <c r="G14" s="67"/>
      <c r="H14" s="681"/>
      <c r="I14" s="681"/>
      <c r="J14" s="336"/>
      <c r="K14" s="67"/>
      <c r="L14" s="55"/>
      <c r="M14" s="363"/>
      <c r="N14" s="67"/>
      <c r="O14" s="681"/>
      <c r="P14" s="681"/>
      <c r="Q14" s="336"/>
      <c r="R14" s="67"/>
      <c r="S14" s="55"/>
      <c r="T14" s="363"/>
      <c r="U14" s="67"/>
      <c r="V14" s="336"/>
      <c r="W14" s="339"/>
    </row>
    <row r="15" spans="2:23" x14ac:dyDescent="0.2">
      <c r="B15" s="83"/>
      <c r="C15" s="361"/>
      <c r="D15" s="92"/>
      <c r="E15" s="92"/>
      <c r="F15" s="361"/>
      <c r="G15" s="109"/>
      <c r="H15" s="685"/>
      <c r="I15" s="685"/>
      <c r="J15" s="109"/>
      <c r="K15" s="109"/>
      <c r="L15" s="92"/>
      <c r="M15" s="361"/>
      <c r="N15" s="109"/>
      <c r="O15" s="685"/>
      <c r="P15" s="685"/>
      <c r="Q15" s="109"/>
      <c r="R15" s="109"/>
      <c r="S15" s="92"/>
      <c r="T15" s="361"/>
      <c r="U15" s="109"/>
      <c r="V15" s="109"/>
      <c r="W15" s="213"/>
    </row>
    <row r="16" spans="2:23" x14ac:dyDescent="0.2">
      <c r="B16" s="79" t="s">
        <v>20</v>
      </c>
      <c r="C16" s="381">
        <f>'Exh JDT-5 (JDT-RES_RD)'!$E$12</f>
        <v>11.52</v>
      </c>
      <c r="D16" s="104">
        <f>'Exh JDT-5 (JDT-RES_RD)'!$H$12</f>
        <v>12.5</v>
      </c>
      <c r="E16" s="63">
        <v>9926845</v>
      </c>
      <c r="F16" s="364">
        <f>SUM(+E16*C16)</f>
        <v>114357254.39999999</v>
      </c>
      <c r="G16" s="109">
        <f>SUM(+E16*D16)</f>
        <v>124085562.5</v>
      </c>
      <c r="H16" s="685"/>
      <c r="I16" s="685"/>
      <c r="J16" s="109"/>
      <c r="K16" s="109"/>
      <c r="L16" s="63">
        <v>10041842</v>
      </c>
      <c r="M16" s="364">
        <f>SUM(+L16*C16)</f>
        <v>115682019.83999999</v>
      </c>
      <c r="N16" s="109">
        <f>SUM(+L16*D16)</f>
        <v>125523025</v>
      </c>
      <c r="O16" s="685"/>
      <c r="P16" s="685"/>
      <c r="Q16" s="109"/>
      <c r="R16" s="109"/>
      <c r="S16" s="63"/>
      <c r="T16" s="364"/>
      <c r="U16" s="109"/>
      <c r="V16" s="109"/>
      <c r="W16" s="213"/>
    </row>
    <row r="17" spans="2:25" x14ac:dyDescent="0.2">
      <c r="B17" s="83" t="s">
        <v>22</v>
      </c>
      <c r="C17" s="369">
        <f>'Exh JDT-5 (JDT-RES_RD)'!$E$13</f>
        <v>0.41964000000000001</v>
      </c>
      <c r="D17" s="88">
        <f>'Exh JDT-5 (JDT-RES_RD)'!$H$13</f>
        <v>0.45612999999999998</v>
      </c>
      <c r="E17" s="63">
        <v>636369361</v>
      </c>
      <c r="F17" s="364">
        <f>SUM(+E17*C17)</f>
        <v>267046038.65004</v>
      </c>
      <c r="G17" s="109">
        <f>SUM(+E17*D17)</f>
        <v>290267156.63292998</v>
      </c>
      <c r="H17" s="685"/>
      <c r="I17" s="685"/>
      <c r="J17" s="109"/>
      <c r="K17" s="109"/>
      <c r="L17" s="63">
        <v>639464549</v>
      </c>
      <c r="M17" s="364">
        <f>SUM(+L17*C17)</f>
        <v>268344903.34236002</v>
      </c>
      <c r="N17" s="109">
        <f>SUM(+L17*D17)</f>
        <v>291678964.73536998</v>
      </c>
      <c r="O17" s="685"/>
      <c r="P17" s="685"/>
      <c r="Q17" s="109"/>
      <c r="R17" s="109"/>
      <c r="S17" s="63"/>
      <c r="T17" s="364"/>
      <c r="U17" s="109"/>
      <c r="V17" s="109"/>
      <c r="W17" s="213"/>
    </row>
    <row r="18" spans="2:25" x14ac:dyDescent="0.2">
      <c r="B18" s="15" t="s">
        <v>113</v>
      </c>
      <c r="C18" s="361"/>
      <c r="D18" s="92"/>
      <c r="E18" s="63"/>
      <c r="F18" s="365">
        <f>SUM(F16:F17)</f>
        <v>381403293.05004001</v>
      </c>
      <c r="G18" s="67">
        <f>SUM(G16:G17)</f>
        <v>414352719.13292998</v>
      </c>
      <c r="H18" s="686"/>
      <c r="I18" s="686"/>
      <c r="K18" s="109"/>
      <c r="L18" s="63"/>
      <c r="M18" s="365">
        <f>SUM(M16:M17)</f>
        <v>384026923.18235999</v>
      </c>
      <c r="N18" s="67">
        <f>SUM(N16:N17)</f>
        <v>417201989.73536998</v>
      </c>
      <c r="O18" s="686"/>
      <c r="P18" s="686"/>
      <c r="R18" s="109"/>
      <c r="S18" s="63"/>
      <c r="T18" s="365"/>
      <c r="U18" s="67"/>
      <c r="W18" s="213"/>
      <c r="Y18" s="347"/>
    </row>
    <row r="19" spans="2:25" x14ac:dyDescent="0.2">
      <c r="B19" s="83" t="s">
        <v>294</v>
      </c>
      <c r="C19" s="361"/>
      <c r="D19" s="92"/>
      <c r="E19" s="92"/>
      <c r="F19" s="361"/>
      <c r="G19" s="109"/>
      <c r="H19" s="687">
        <f>H11*E17</f>
        <v>15616504.118939999</v>
      </c>
      <c r="I19" s="688">
        <f>I11*E17</f>
        <v>14267401.073619999</v>
      </c>
      <c r="J19" s="598">
        <f>J11*E17</f>
        <v>2074564.11686</v>
      </c>
      <c r="K19" s="109"/>
      <c r="L19" s="92"/>
      <c r="M19" s="361"/>
      <c r="N19" s="109"/>
      <c r="O19" s="687">
        <f>O11*L17</f>
        <v>9054818.0138400011</v>
      </c>
      <c r="P19" s="688">
        <f>P11*L17</f>
        <v>34352035.572279997</v>
      </c>
      <c r="Q19" s="598">
        <f>Q11*L17</f>
        <v>2014313.32935</v>
      </c>
      <c r="R19" s="109"/>
      <c r="S19" s="92"/>
      <c r="T19" s="361"/>
      <c r="U19" s="109"/>
      <c r="V19" s="208"/>
      <c r="W19" s="213"/>
    </row>
    <row r="20" spans="2:25" x14ac:dyDescent="0.2">
      <c r="B20" s="15" t="str">
        <f>"Total "&amp;B14</f>
        <v>Total Schedule 23</v>
      </c>
      <c r="C20" s="361"/>
      <c r="D20" s="92"/>
      <c r="E20" s="92"/>
      <c r="F20" s="361"/>
      <c r="G20" s="93"/>
      <c r="H20" s="685"/>
      <c r="I20" s="689">
        <f>G18+H19+I19</f>
        <v>444236624.32549</v>
      </c>
      <c r="J20" s="17"/>
      <c r="K20" s="109"/>
      <c r="L20" s="92"/>
      <c r="M20" s="361"/>
      <c r="N20" s="109"/>
      <c r="O20" s="685"/>
      <c r="P20" s="689">
        <f>N18+O19+P19</f>
        <v>460608843.32148999</v>
      </c>
      <c r="Q20" s="17"/>
      <c r="R20" s="109"/>
      <c r="S20" s="92"/>
      <c r="T20" s="361"/>
      <c r="U20" s="109"/>
      <c r="V20" s="109"/>
      <c r="W20" s="349"/>
    </row>
    <row r="21" spans="2:25" x14ac:dyDescent="0.2">
      <c r="B21" s="99"/>
      <c r="C21" s="382"/>
      <c r="D21" s="240"/>
      <c r="E21" s="206"/>
      <c r="F21" s="366"/>
      <c r="G21" s="208"/>
      <c r="H21" s="687"/>
      <c r="I21" s="687"/>
      <c r="J21" s="208"/>
      <c r="K21" s="208"/>
      <c r="L21" s="206"/>
      <c r="M21" s="366"/>
      <c r="N21" s="208"/>
      <c r="O21" s="687"/>
      <c r="P21" s="687"/>
      <c r="Q21" s="208"/>
      <c r="R21" s="208"/>
      <c r="S21" s="206"/>
      <c r="T21" s="366"/>
      <c r="U21" s="208"/>
      <c r="V21" s="208"/>
      <c r="W21" s="214"/>
    </row>
    <row r="22" spans="2:25" x14ac:dyDescent="0.2">
      <c r="B22" s="78" t="s">
        <v>26</v>
      </c>
      <c r="C22" s="383"/>
      <c r="D22" s="221"/>
      <c r="E22" s="221"/>
      <c r="F22" s="367"/>
      <c r="G22" s="221"/>
      <c r="H22" s="690"/>
      <c r="I22" s="690"/>
      <c r="J22" s="242"/>
      <c r="K22" s="221"/>
      <c r="L22" s="221"/>
      <c r="M22" s="367"/>
      <c r="N22" s="221"/>
      <c r="O22" s="690"/>
      <c r="P22" s="690"/>
      <c r="Q22" s="242"/>
      <c r="R22" s="221"/>
      <c r="S22" s="221"/>
      <c r="T22" s="367"/>
      <c r="U22" s="221"/>
      <c r="V22" s="242"/>
      <c r="W22" s="244"/>
    </row>
    <row r="23" spans="2:25" x14ac:dyDescent="0.2">
      <c r="B23" s="83"/>
      <c r="C23" s="361"/>
      <c r="D23" s="92"/>
      <c r="E23" s="92"/>
      <c r="F23" s="361"/>
      <c r="G23" s="109"/>
      <c r="H23" s="685"/>
      <c r="I23" s="685"/>
      <c r="J23" s="109"/>
      <c r="K23" s="109"/>
      <c r="L23" s="92"/>
      <c r="M23" s="361"/>
      <c r="N23" s="109"/>
      <c r="O23" s="685"/>
      <c r="P23" s="685"/>
      <c r="Q23" s="109"/>
      <c r="R23" s="109"/>
      <c r="S23" s="92"/>
      <c r="T23" s="361"/>
      <c r="U23" s="109"/>
      <c r="V23" s="109"/>
      <c r="W23" s="213"/>
    </row>
    <row r="24" spans="2:25" x14ac:dyDescent="0.2">
      <c r="B24" s="79" t="s">
        <v>20</v>
      </c>
      <c r="C24" s="381">
        <f>'Exh JDT-5 (JDT-RES_RD)'!E20</f>
        <v>11.52</v>
      </c>
      <c r="D24" s="104">
        <f>D16</f>
        <v>12.5</v>
      </c>
      <c r="E24" s="63">
        <v>0</v>
      </c>
      <c r="F24" s="364">
        <f>SUM(+E24*C24)</f>
        <v>0</v>
      </c>
      <c r="G24" s="109">
        <f>SUM(+E24*D24)</f>
        <v>0</v>
      </c>
      <c r="H24" s="685"/>
      <c r="I24" s="685"/>
      <c r="J24" s="109"/>
      <c r="K24" s="109"/>
      <c r="L24" s="63">
        <v>0</v>
      </c>
      <c r="M24" s="364">
        <f>SUM(+L24*C24)</f>
        <v>0</v>
      </c>
      <c r="N24" s="109">
        <f>SUM(+L24*D24)</f>
        <v>0</v>
      </c>
      <c r="O24" s="685"/>
      <c r="P24" s="685"/>
      <c r="Q24" s="109"/>
      <c r="R24" s="109"/>
      <c r="S24" s="63"/>
      <c r="T24" s="364"/>
      <c r="U24" s="109"/>
      <c r="V24" s="109"/>
      <c r="W24" s="213"/>
    </row>
    <row r="25" spans="2:25" x14ac:dyDescent="0.2">
      <c r="B25" s="83" t="s">
        <v>22</v>
      </c>
      <c r="C25" s="369">
        <f>'Exh JDT-5 (JDT-RES_RD)'!E21</f>
        <v>0.41964000000000001</v>
      </c>
      <c r="D25" s="88">
        <f>D17</f>
        <v>0.45612999999999998</v>
      </c>
      <c r="E25" s="63">
        <v>0</v>
      </c>
      <c r="F25" s="364">
        <f>SUM(+E25*C25)</f>
        <v>0</v>
      </c>
      <c r="G25" s="109">
        <f>SUM(+E25*D25)</f>
        <v>0</v>
      </c>
      <c r="H25" s="685"/>
      <c r="I25" s="685"/>
      <c r="J25" s="109"/>
      <c r="K25" s="109"/>
      <c r="L25" s="63">
        <v>0</v>
      </c>
      <c r="M25" s="364">
        <f>SUM(+L25*C25)</f>
        <v>0</v>
      </c>
      <c r="N25" s="109">
        <f>SUM(+L25*D25)</f>
        <v>0</v>
      </c>
      <c r="O25" s="685"/>
      <c r="P25" s="685"/>
      <c r="Q25" s="109"/>
      <c r="R25" s="109"/>
      <c r="S25" s="63"/>
      <c r="T25" s="364"/>
      <c r="U25" s="109"/>
      <c r="V25" s="109"/>
      <c r="W25" s="213"/>
    </row>
    <row r="26" spans="2:25" x14ac:dyDescent="0.2">
      <c r="B26" s="15" t="s">
        <v>113</v>
      </c>
      <c r="C26" s="384"/>
      <c r="D26" s="92"/>
      <c r="E26" s="92"/>
      <c r="F26" s="365">
        <f>SUM(F24:F25)</f>
        <v>0</v>
      </c>
      <c r="G26" s="67">
        <f>SUM(G24:G25)</f>
        <v>0</v>
      </c>
      <c r="H26" s="685"/>
      <c r="I26" s="685"/>
      <c r="J26" s="109"/>
      <c r="K26" s="109"/>
      <c r="L26" s="92"/>
      <c r="M26" s="365">
        <f>SUM(M24:M25)</f>
        <v>0</v>
      </c>
      <c r="N26" s="67">
        <f>SUM(N24:N25)</f>
        <v>0</v>
      </c>
      <c r="O26" s="685"/>
      <c r="P26" s="685"/>
      <c r="Q26" s="109"/>
      <c r="R26" s="109"/>
      <c r="S26" s="92"/>
      <c r="T26" s="365"/>
      <c r="U26" s="67"/>
      <c r="V26" s="109"/>
      <c r="W26" s="213"/>
    </row>
    <row r="27" spans="2:25" x14ac:dyDescent="0.2">
      <c r="B27" s="83" t="s">
        <v>294</v>
      </c>
      <c r="C27" s="361"/>
      <c r="D27" s="92"/>
      <c r="E27" s="92"/>
      <c r="F27" s="361"/>
      <c r="G27" s="109"/>
      <c r="H27" s="687">
        <f>H$11*E25</f>
        <v>0</v>
      </c>
      <c r="I27" s="688">
        <f>I$11*E25</f>
        <v>0</v>
      </c>
      <c r="J27" s="599">
        <f>J$11*E25</f>
        <v>0</v>
      </c>
      <c r="K27" s="109"/>
      <c r="L27" s="92"/>
      <c r="M27" s="361"/>
      <c r="N27" s="109"/>
      <c r="O27" s="687">
        <f>O$11*L25</f>
        <v>0</v>
      </c>
      <c r="P27" s="688">
        <f>P$11*L25</f>
        <v>0</v>
      </c>
      <c r="Q27" s="599">
        <f>Q$11*L25</f>
        <v>0</v>
      </c>
      <c r="R27" s="109"/>
      <c r="S27" s="92"/>
      <c r="T27" s="361"/>
      <c r="U27" s="109"/>
      <c r="V27" s="208"/>
      <c r="W27" s="213"/>
    </row>
    <row r="28" spans="2:25" x14ac:dyDescent="0.2">
      <c r="B28" s="15" t="str">
        <f>"Total "&amp;B22</f>
        <v>Total Schedule 53</v>
      </c>
      <c r="C28" s="384"/>
      <c r="D28" s="92"/>
      <c r="E28" s="92"/>
      <c r="F28" s="361"/>
      <c r="G28" s="109"/>
      <c r="H28" s="685"/>
      <c r="I28" s="689">
        <f>G26+H27+I27</f>
        <v>0</v>
      </c>
      <c r="J28" s="17"/>
      <c r="K28" s="109"/>
      <c r="L28" s="92"/>
      <c r="M28" s="361"/>
      <c r="N28" s="109"/>
      <c r="O28" s="685"/>
      <c r="P28" s="689">
        <f>N26+O27+P27</f>
        <v>0</v>
      </c>
      <c r="Q28" s="17"/>
      <c r="R28" s="109"/>
      <c r="S28" s="92"/>
      <c r="T28" s="361"/>
      <c r="U28" s="109"/>
      <c r="V28" s="109"/>
      <c r="W28" s="349"/>
    </row>
    <row r="29" spans="2:25" x14ac:dyDescent="0.2">
      <c r="B29" s="99"/>
      <c r="C29" s="366"/>
      <c r="D29" s="206"/>
      <c r="E29" s="206"/>
      <c r="F29" s="366"/>
      <c r="G29" s="208"/>
      <c r="H29" s="687"/>
      <c r="I29" s="687"/>
      <c r="J29" s="208"/>
      <c r="K29" s="208"/>
      <c r="L29" s="206"/>
      <c r="M29" s="366"/>
      <c r="N29" s="208"/>
      <c r="O29" s="687"/>
      <c r="P29" s="687"/>
      <c r="Q29" s="208"/>
      <c r="R29" s="208"/>
      <c r="S29" s="206"/>
      <c r="T29" s="366"/>
      <c r="U29" s="208"/>
      <c r="V29" s="208"/>
      <c r="W29" s="214"/>
    </row>
    <row r="30" spans="2:25" x14ac:dyDescent="0.2">
      <c r="B30" s="78" t="s">
        <v>28</v>
      </c>
      <c r="C30" s="383"/>
      <c r="D30" s="221"/>
      <c r="E30" s="221"/>
      <c r="F30" s="367"/>
      <c r="G30" s="221"/>
      <c r="H30" s="690"/>
      <c r="I30" s="690"/>
      <c r="J30" s="242"/>
      <c r="K30" s="221"/>
      <c r="L30" s="221"/>
      <c r="M30" s="367"/>
      <c r="N30" s="221"/>
      <c r="O30" s="690"/>
      <c r="P30" s="690"/>
      <c r="Q30" s="242"/>
      <c r="R30" s="221"/>
      <c r="S30" s="221"/>
      <c r="T30" s="367"/>
      <c r="U30" s="221"/>
      <c r="V30" s="242"/>
      <c r="W30" s="244"/>
    </row>
    <row r="31" spans="2:25" x14ac:dyDescent="0.2">
      <c r="B31" s="15"/>
      <c r="C31" s="384"/>
      <c r="D31" s="92"/>
      <c r="E31" s="92"/>
      <c r="F31" s="361"/>
      <c r="G31" s="109"/>
      <c r="H31" s="685"/>
      <c r="I31" s="685"/>
      <c r="J31" s="109"/>
      <c r="K31" s="109"/>
      <c r="L31" s="92"/>
      <c r="M31" s="361"/>
      <c r="N31" s="109"/>
      <c r="O31" s="685"/>
      <c r="P31" s="685"/>
      <c r="Q31" s="109"/>
      <c r="R31" s="109"/>
      <c r="S31" s="92"/>
      <c r="T31" s="361"/>
      <c r="U31" s="109"/>
      <c r="V31" s="109"/>
      <c r="W31" s="213"/>
    </row>
    <row r="32" spans="2:25" x14ac:dyDescent="0.2">
      <c r="B32" s="83" t="s">
        <v>29</v>
      </c>
      <c r="C32" s="381">
        <f>'Exh JDT-5 (JDT-RES_RD)'!E28</f>
        <v>11.24</v>
      </c>
      <c r="D32" s="104">
        <f>'Exh JDT-5 (JDT-RES_RD)'!$H$28</f>
        <v>12.14</v>
      </c>
      <c r="E32" s="63">
        <v>464.84210526315798</v>
      </c>
      <c r="F32" s="364">
        <f>ROUND(E32*C32,2)</f>
        <v>5224.83</v>
      </c>
      <c r="G32" s="109">
        <f>ROUND(E32*D32,2)</f>
        <v>5643.18</v>
      </c>
      <c r="H32" s="685"/>
      <c r="I32" s="685"/>
      <c r="J32" s="109"/>
      <c r="K32" s="109"/>
      <c r="L32" s="63">
        <v>464.84210526315798</v>
      </c>
      <c r="M32" s="364">
        <f>ROUND(L32*C32,2)</f>
        <v>5224.83</v>
      </c>
      <c r="N32" s="109">
        <f>ROUND(L32*D32,2)</f>
        <v>5643.18</v>
      </c>
      <c r="O32" s="685"/>
      <c r="P32" s="685"/>
      <c r="Q32" s="109"/>
      <c r="R32" s="109"/>
      <c r="S32" s="63"/>
      <c r="T32" s="364"/>
      <c r="U32" s="109"/>
      <c r="V32" s="109"/>
      <c r="W32" s="213"/>
    </row>
    <row r="33" spans="2:23" x14ac:dyDescent="0.2">
      <c r="B33" s="79" t="s">
        <v>31</v>
      </c>
      <c r="C33" s="385"/>
      <c r="D33" s="92"/>
      <c r="E33" s="63">
        <v>8832</v>
      </c>
      <c r="F33" s="368"/>
      <c r="G33" s="109"/>
      <c r="H33" s="685"/>
      <c r="I33" s="685"/>
      <c r="J33" s="109"/>
      <c r="K33" s="109"/>
      <c r="L33" s="63">
        <v>8832</v>
      </c>
      <c r="M33" s="368"/>
      <c r="N33" s="109"/>
      <c r="O33" s="685"/>
      <c r="P33" s="685"/>
      <c r="Q33" s="109"/>
      <c r="R33" s="109"/>
      <c r="S33" s="63"/>
      <c r="T33" s="368"/>
      <c r="U33" s="109"/>
      <c r="V33" s="109"/>
      <c r="W33" s="213"/>
    </row>
    <row r="34" spans="2:23" x14ac:dyDescent="0.2">
      <c r="B34" s="15" t="s">
        <v>113</v>
      </c>
      <c r="C34" s="384"/>
      <c r="D34" s="92"/>
      <c r="E34" s="92"/>
      <c r="F34" s="365">
        <f>SUM(F32:F33)</f>
        <v>5224.83</v>
      </c>
      <c r="G34" s="67">
        <f>SUM(G32:G33)</f>
        <v>5643.18</v>
      </c>
      <c r="H34" s="685"/>
      <c r="I34" s="685"/>
      <c r="J34" s="109"/>
      <c r="K34" s="109"/>
      <c r="L34" s="92"/>
      <c r="M34" s="365">
        <f>SUM(M32:M33)</f>
        <v>5224.83</v>
      </c>
      <c r="N34" s="67">
        <f>SUM(N32:N33)</f>
        <v>5643.18</v>
      </c>
      <c r="O34" s="685"/>
      <c r="P34" s="685"/>
      <c r="Q34" s="109"/>
      <c r="R34" s="109"/>
      <c r="S34" s="92"/>
      <c r="T34" s="365"/>
      <c r="U34" s="67"/>
      <c r="V34" s="109"/>
      <c r="W34" s="213"/>
    </row>
    <row r="35" spans="2:23" x14ac:dyDescent="0.2">
      <c r="B35" s="83" t="s">
        <v>294</v>
      </c>
      <c r="C35" s="361"/>
      <c r="D35" s="92"/>
      <c r="E35" s="92"/>
      <c r="F35" s="361"/>
      <c r="G35" s="109"/>
      <c r="H35" s="687">
        <f>H$11*E33</f>
        <v>216.73728</v>
      </c>
      <c r="I35" s="688">
        <f>I$11*E33</f>
        <v>198.01344</v>
      </c>
      <c r="J35" s="598">
        <f>J$11*E33</f>
        <v>28.79232</v>
      </c>
      <c r="K35" s="109"/>
      <c r="L35" s="92"/>
      <c r="M35" s="361"/>
      <c r="N35" s="109"/>
      <c r="O35" s="687">
        <f>O$11*L33</f>
        <v>125.06112</v>
      </c>
      <c r="P35" s="688">
        <f>P$11*L33</f>
        <v>474.45504</v>
      </c>
      <c r="Q35" s="598">
        <f>Q$11*L33</f>
        <v>27.820799999999998</v>
      </c>
      <c r="R35" s="109"/>
      <c r="S35" s="92"/>
      <c r="T35" s="361"/>
      <c r="U35" s="109"/>
      <c r="V35" s="208"/>
      <c r="W35" s="213"/>
    </row>
    <row r="36" spans="2:23" x14ac:dyDescent="0.2">
      <c r="B36" s="15" t="str">
        <f>"Total "&amp;B30</f>
        <v>Total Schedule 16</v>
      </c>
      <c r="C36" s="384"/>
      <c r="D36" s="92"/>
      <c r="E36" s="92"/>
      <c r="F36" s="361"/>
      <c r="G36" s="109"/>
      <c r="H36" s="685"/>
      <c r="I36" s="689">
        <f>G34+H35+I35</f>
        <v>6057.9307200000003</v>
      </c>
      <c r="J36" s="17"/>
      <c r="K36" s="109"/>
      <c r="L36" s="92"/>
      <c r="M36" s="361"/>
      <c r="N36" s="109"/>
      <c r="O36" s="685"/>
      <c r="P36" s="689">
        <f>N34+O35+P35</f>
        <v>6242.6961600000004</v>
      </c>
      <c r="Q36" s="17"/>
      <c r="R36" s="109"/>
      <c r="S36" s="92"/>
      <c r="T36" s="361"/>
      <c r="U36" s="109"/>
      <c r="V36" s="109"/>
      <c r="W36" s="349"/>
    </row>
    <row r="37" spans="2:23" x14ac:dyDescent="0.2">
      <c r="B37" s="350"/>
      <c r="C37" s="386"/>
      <c r="D37" s="206"/>
      <c r="E37" s="206"/>
      <c r="F37" s="366"/>
      <c r="G37" s="344"/>
      <c r="H37" s="691"/>
      <c r="I37" s="691"/>
      <c r="J37" s="344"/>
      <c r="K37" s="344"/>
      <c r="L37" s="206"/>
      <c r="M37" s="366"/>
      <c r="N37" s="344"/>
      <c r="O37" s="691"/>
      <c r="P37" s="691"/>
      <c r="Q37" s="344"/>
      <c r="R37" s="344"/>
      <c r="S37" s="206"/>
      <c r="T37" s="366"/>
      <c r="U37" s="344"/>
      <c r="V37" s="344"/>
      <c r="W37" s="345"/>
    </row>
    <row r="38" spans="2:23" x14ac:dyDescent="0.2">
      <c r="B38" s="93"/>
      <c r="C38" s="357"/>
      <c r="G38" s="93"/>
      <c r="H38" s="692"/>
      <c r="I38" s="692"/>
      <c r="J38" s="93"/>
      <c r="K38" s="93"/>
      <c r="N38" s="93"/>
      <c r="O38" s="692"/>
      <c r="P38" s="692"/>
      <c r="Q38" s="93"/>
      <c r="R38" s="93"/>
      <c r="U38" s="93"/>
      <c r="V38" s="93"/>
      <c r="W38" s="93"/>
    </row>
    <row r="39" spans="2:23" x14ac:dyDescent="0.2">
      <c r="B39" s="334" t="s">
        <v>235</v>
      </c>
      <c r="C39" s="379"/>
      <c r="D39" s="335"/>
      <c r="E39" s="247">
        <f>E47+E55</f>
        <v>243226645</v>
      </c>
      <c r="F39" s="360"/>
      <c r="G39" s="336"/>
      <c r="H39" s="681">
        <f>'Exh JDT-5 (JDT-Rate Spread)'!G70</f>
        <v>5508993.2050401885</v>
      </c>
      <c r="I39" s="681">
        <f>'Exh JDT-5 (JDT-Rate Spread)'!G81</f>
        <v>5033317.7604318503</v>
      </c>
      <c r="J39" s="597">
        <f>'Exh JDT-5 (JDT-Rate Spread)'!G86</f>
        <v>730982.95631700102</v>
      </c>
      <c r="K39" s="337"/>
      <c r="L39" s="247">
        <f>L47+L55</f>
        <v>245970110</v>
      </c>
      <c r="M39" s="360"/>
      <c r="N39" s="337"/>
      <c r="O39" s="681">
        <f>'Exh JDT-5 (JDT-Rate Spread)'!G74</f>
        <v>3193826.2309614932</v>
      </c>
      <c r="P39" s="681">
        <f>'Exh JDT-5 (JDT-Rate Spread)'!G82</f>
        <v>12119517.761730123</v>
      </c>
      <c r="Q39" s="597">
        <f>'Exh JDT-5 (JDT-Rate Spread)'!G87</f>
        <v>710343.28746178711</v>
      </c>
      <c r="R39" s="337"/>
      <c r="S39" s="247"/>
      <c r="T39" s="360"/>
      <c r="U39" s="338"/>
      <c r="V39" s="336"/>
      <c r="W39" s="339"/>
    </row>
    <row r="40" spans="2:23" x14ac:dyDescent="0.2">
      <c r="B40" s="83"/>
      <c r="C40" s="361"/>
      <c r="D40" s="92"/>
      <c r="E40" s="92"/>
      <c r="F40" s="361"/>
      <c r="G40" s="149" t="s">
        <v>114</v>
      </c>
      <c r="H40" s="682">
        <f>ROUND(H39/E39, 5)</f>
        <v>2.265E-2</v>
      </c>
      <c r="I40" s="682">
        <f>ROUND(I39/E39, 5)</f>
        <v>2.069E-2</v>
      </c>
      <c r="J40" s="587">
        <f>ROUND(J39/E47, 5)</f>
        <v>3.0100000000000001E-3</v>
      </c>
      <c r="L40" s="92"/>
      <c r="M40" s="361"/>
      <c r="N40" s="104"/>
      <c r="O40" s="682">
        <f>ROUND(O39/L39, 5)</f>
        <v>1.298E-2</v>
      </c>
      <c r="P40" s="682">
        <f>ROUND(P39/L39, 5)</f>
        <v>4.9270000000000001E-2</v>
      </c>
      <c r="Q40" s="587">
        <f>ROUND(Q39/L47, 5)</f>
        <v>2.8900000000000002E-3</v>
      </c>
      <c r="S40" s="92"/>
      <c r="T40" s="361"/>
      <c r="U40" s="104"/>
      <c r="V40" s="88"/>
      <c r="W40" s="527"/>
    </row>
    <row r="41" spans="2:23" x14ac:dyDescent="0.2">
      <c r="B41" s="99"/>
      <c r="C41" s="366"/>
      <c r="D41" s="206"/>
      <c r="E41" s="342" t="s">
        <v>116</v>
      </c>
      <c r="F41" s="362">
        <f>F48+F58</f>
        <v>119685870.05628002</v>
      </c>
      <c r="G41" s="208">
        <f>G48+G58</f>
        <v>131574707.34621</v>
      </c>
      <c r="H41" s="683"/>
      <c r="I41" s="683"/>
      <c r="J41" s="343"/>
      <c r="K41" s="344"/>
      <c r="L41" s="342" t="s">
        <v>116</v>
      </c>
      <c r="M41" s="362">
        <f>M48+M58</f>
        <v>120892478.12313001</v>
      </c>
      <c r="N41" s="208">
        <f>N48+N58</f>
        <v>132894031.59946001</v>
      </c>
      <c r="O41" s="683"/>
      <c r="P41" s="683"/>
      <c r="Q41" s="343"/>
      <c r="R41" s="344"/>
      <c r="S41" s="342"/>
      <c r="T41" s="362"/>
      <c r="U41" s="208"/>
      <c r="V41" s="343"/>
      <c r="W41" s="351"/>
    </row>
    <row r="42" spans="2:23" x14ac:dyDescent="0.2">
      <c r="B42" s="352"/>
      <c r="C42" s="387"/>
      <c r="D42" s="353"/>
      <c r="E42" s="221"/>
      <c r="F42" s="367"/>
      <c r="G42" s="221"/>
      <c r="H42" s="690"/>
      <c r="I42" s="690"/>
      <c r="J42" s="242"/>
      <c r="K42" s="221"/>
      <c r="L42" s="221"/>
      <c r="M42" s="367"/>
      <c r="N42" s="221"/>
      <c r="O42" s="690"/>
      <c r="P42" s="690"/>
      <c r="Q42" s="242"/>
      <c r="R42" s="221"/>
      <c r="S42" s="221"/>
      <c r="T42" s="367"/>
      <c r="U42" s="221"/>
      <c r="V42" s="242"/>
      <c r="W42" s="244"/>
    </row>
    <row r="43" spans="2:23" x14ac:dyDescent="0.2">
      <c r="B43" s="78" t="s">
        <v>34</v>
      </c>
      <c r="C43" s="383"/>
      <c r="D43" s="221"/>
      <c r="E43" s="221"/>
      <c r="F43" s="367"/>
      <c r="G43" s="221"/>
      <c r="H43" s="690"/>
      <c r="I43" s="690"/>
      <c r="J43" s="242"/>
      <c r="K43" s="221"/>
      <c r="L43" s="221"/>
      <c r="M43" s="367"/>
      <c r="N43" s="221"/>
      <c r="O43" s="690"/>
      <c r="P43" s="690"/>
      <c r="Q43" s="242"/>
      <c r="R43" s="221"/>
      <c r="S43" s="221"/>
      <c r="T43" s="367"/>
      <c r="U43" s="221"/>
      <c r="V43" s="242"/>
      <c r="W43" s="244"/>
    </row>
    <row r="44" spans="2:23" x14ac:dyDescent="0.2">
      <c r="B44" s="83"/>
      <c r="C44" s="361"/>
      <c r="D44" s="92"/>
      <c r="E44" s="92"/>
      <c r="F44" s="361"/>
      <c r="G44" s="92"/>
      <c r="H44" s="693"/>
      <c r="I44" s="693"/>
      <c r="J44" s="92"/>
      <c r="K44" s="92"/>
      <c r="L44" s="92"/>
      <c r="M44" s="361"/>
      <c r="N44" s="92"/>
      <c r="O44" s="693"/>
      <c r="P44" s="693"/>
      <c r="Q44" s="92"/>
      <c r="R44" s="92"/>
      <c r="S44" s="92"/>
      <c r="T44" s="361"/>
      <c r="U44" s="92"/>
      <c r="V44" s="92"/>
      <c r="W44" s="217"/>
    </row>
    <row r="45" spans="2:23" x14ac:dyDescent="0.2">
      <c r="B45" s="79" t="s">
        <v>20</v>
      </c>
      <c r="C45" s="381">
        <f>'Exh JDT-5 (JDT-C&amp;I-RD)'!E12</f>
        <v>33.840000000000003</v>
      </c>
      <c r="D45" s="104">
        <f>'Exh JDT-5 (JDT-C&amp;I-RD)'!$H$12</f>
        <v>38.89</v>
      </c>
      <c r="E45" s="63">
        <v>709925</v>
      </c>
      <c r="F45" s="364">
        <f>SUM(+E45*C45)</f>
        <v>24023862.000000004</v>
      </c>
      <c r="G45" s="109">
        <f>SUM(+E45*D45)</f>
        <v>27608983.25</v>
      </c>
      <c r="H45" s="685"/>
      <c r="I45" s="685"/>
      <c r="J45" s="109"/>
      <c r="K45" s="92"/>
      <c r="L45" s="63">
        <v>713698</v>
      </c>
      <c r="M45" s="364">
        <f>SUM(+L45*C45)</f>
        <v>24151540.320000004</v>
      </c>
      <c r="N45" s="109">
        <f>SUM(+L45*D45)</f>
        <v>27755715.219999999</v>
      </c>
      <c r="O45" s="685"/>
      <c r="P45" s="685"/>
      <c r="Q45" s="109"/>
      <c r="R45" s="109"/>
      <c r="S45" s="63"/>
      <c r="T45" s="364"/>
      <c r="U45" s="109"/>
      <c r="V45" s="109"/>
      <c r="W45" s="213"/>
    </row>
    <row r="46" spans="2:23" x14ac:dyDescent="0.2">
      <c r="B46" s="83" t="s">
        <v>22</v>
      </c>
      <c r="C46" s="369">
        <f>'Exh JDT-5 (JDT-C&amp;I-RD)'!E13</f>
        <v>0.37956000000000001</v>
      </c>
      <c r="D46" s="88">
        <f>'Exh JDT-5 (JDT-C&amp;I-RD)'!$H$13</f>
        <v>0.41249000000000002</v>
      </c>
      <c r="E46" s="63">
        <v>243192248</v>
      </c>
      <c r="F46" s="364">
        <f t="shared" ref="F46:F47" si="0">SUM(+E46*C46)</f>
        <v>92306049.650880009</v>
      </c>
      <c r="G46" s="109">
        <f>SUM(+E46*D46)</f>
        <v>100314370.37752001</v>
      </c>
      <c r="H46" s="685"/>
      <c r="I46" s="685"/>
      <c r="J46" s="109"/>
      <c r="K46" s="92"/>
      <c r="L46" s="63">
        <v>245936243</v>
      </c>
      <c r="M46" s="364">
        <f t="shared" ref="M46:M47" si="1">SUM(+L46*C46)</f>
        <v>93347560.393079996</v>
      </c>
      <c r="N46" s="109">
        <f>SUM(+L46*D46)</f>
        <v>101446240.87507001</v>
      </c>
      <c r="O46" s="685"/>
      <c r="P46" s="685"/>
      <c r="Q46" s="109"/>
      <c r="R46" s="109"/>
      <c r="S46" s="63"/>
      <c r="T46" s="364"/>
      <c r="U46" s="109"/>
      <c r="V46" s="109"/>
      <c r="W46" s="213"/>
    </row>
    <row r="47" spans="2:23" x14ac:dyDescent="0.2">
      <c r="B47" s="83" t="s">
        <v>36</v>
      </c>
      <c r="C47" s="369">
        <f>'Exh JDT-5 (JDT-C&amp;I-RD)'!E14</f>
        <v>1.371E-2</v>
      </c>
      <c r="D47" s="88">
        <f>'Exh JDT-5 (JDT-C&amp;I-RD)'!$H$14</f>
        <v>1.4919999999999999E-2</v>
      </c>
      <c r="E47" s="63">
        <f>E46</f>
        <v>243192248</v>
      </c>
      <c r="F47" s="362">
        <f t="shared" si="0"/>
        <v>3334165.7200799999</v>
      </c>
      <c r="G47" s="208">
        <f>SUM(+E47*D47)</f>
        <v>3628428.3401599997</v>
      </c>
      <c r="H47" s="692"/>
      <c r="I47" s="685"/>
      <c r="J47" s="109"/>
      <c r="K47" s="92"/>
      <c r="L47" s="63">
        <f>L46</f>
        <v>245936243</v>
      </c>
      <c r="M47" s="364">
        <f t="shared" si="1"/>
        <v>3371785.8915300001</v>
      </c>
      <c r="N47" s="208">
        <f>SUM(+L47*D47)</f>
        <v>3669368.7455599997</v>
      </c>
      <c r="O47" s="685"/>
      <c r="P47" s="685"/>
      <c r="Q47" s="109"/>
      <c r="R47" s="109"/>
      <c r="S47" s="63"/>
      <c r="T47" s="362"/>
      <c r="U47" s="208"/>
      <c r="V47" s="109"/>
      <c r="W47" s="213"/>
    </row>
    <row r="48" spans="2:23" x14ac:dyDescent="0.2">
      <c r="B48" s="15" t="s">
        <v>113</v>
      </c>
      <c r="C48" s="384"/>
      <c r="D48" s="92"/>
      <c r="E48" s="92"/>
      <c r="F48" s="364">
        <f>SUM(F45:F47)</f>
        <v>119664077.37096001</v>
      </c>
      <c r="G48" s="109">
        <f>SUM(G45:G47)</f>
        <v>131551781.96768001</v>
      </c>
      <c r="H48" s="685"/>
      <c r="I48" s="685"/>
      <c r="J48" s="109"/>
      <c r="K48" s="92"/>
      <c r="L48" s="92"/>
      <c r="M48" s="365">
        <f>SUM(M45:M47)</f>
        <v>120870886.60461001</v>
      </c>
      <c r="N48" s="67">
        <f>SUM(N45:N47)</f>
        <v>132871324.84063001</v>
      </c>
      <c r="O48" s="685"/>
      <c r="P48" s="685"/>
      <c r="Q48" s="109"/>
      <c r="R48" s="109"/>
      <c r="S48" s="92"/>
      <c r="T48" s="365"/>
      <c r="U48" s="67"/>
      <c r="V48" s="109"/>
      <c r="W48" s="213"/>
    </row>
    <row r="49" spans="2:23" x14ac:dyDescent="0.2">
      <c r="B49" s="83" t="s">
        <v>294</v>
      </c>
      <c r="C49" s="361"/>
      <c r="D49" s="92"/>
      <c r="E49" s="92"/>
      <c r="F49" s="361"/>
      <c r="G49" s="109"/>
      <c r="H49" s="687">
        <f>H$40*E47</f>
        <v>5508304.4172</v>
      </c>
      <c r="I49" s="687">
        <f>I$40*E47</f>
        <v>5031647.6111199996</v>
      </c>
      <c r="J49" s="598">
        <f>J$40*E47</f>
        <v>732008.66648000001</v>
      </c>
      <c r="K49" s="92"/>
      <c r="L49" s="92"/>
      <c r="M49" s="361"/>
      <c r="N49" s="92"/>
      <c r="O49" s="687">
        <f>O$40*L47</f>
        <v>3192252.43414</v>
      </c>
      <c r="P49" s="687">
        <f>P$40*L47</f>
        <v>12117278.692610001</v>
      </c>
      <c r="Q49" s="598">
        <f>Q$40*L47</f>
        <v>710755.74227000005</v>
      </c>
      <c r="R49" s="92"/>
      <c r="S49" s="92"/>
      <c r="T49" s="361"/>
      <c r="U49" s="92"/>
      <c r="V49" s="208"/>
      <c r="W49" s="351"/>
    </row>
    <row r="50" spans="2:23" x14ac:dyDescent="0.2">
      <c r="B50" s="15" t="str">
        <f>"Total "&amp;B43</f>
        <v>Total Schedule 31 - Sales</v>
      </c>
      <c r="C50" s="384"/>
      <c r="D50" s="92"/>
      <c r="E50" s="92"/>
      <c r="F50" s="361"/>
      <c r="G50" s="109"/>
      <c r="H50" s="685"/>
      <c r="I50" s="689">
        <f>G48+H49+I49</f>
        <v>142091733.99599999</v>
      </c>
      <c r="J50" s="17"/>
      <c r="K50" s="92"/>
      <c r="L50" s="92"/>
      <c r="M50" s="361"/>
      <c r="N50" s="92"/>
      <c r="O50" s="685"/>
      <c r="P50" s="689">
        <f>N48+O49+P49</f>
        <v>148180855.96738002</v>
      </c>
      <c r="Q50" s="17"/>
      <c r="R50" s="109"/>
      <c r="S50" s="92"/>
      <c r="T50" s="361"/>
      <c r="U50" s="92"/>
      <c r="V50" s="109"/>
      <c r="W50" s="217"/>
    </row>
    <row r="51" spans="2:23" x14ac:dyDescent="0.2">
      <c r="B51" s="99"/>
      <c r="C51" s="366"/>
      <c r="D51" s="206"/>
      <c r="E51" s="206"/>
      <c r="F51" s="366"/>
      <c r="G51" s="206"/>
      <c r="H51" s="694"/>
      <c r="I51" s="694"/>
      <c r="J51" s="206"/>
      <c r="K51" s="206"/>
      <c r="L51" s="206"/>
      <c r="M51" s="366"/>
      <c r="N51" s="206"/>
      <c r="O51" s="694"/>
      <c r="P51" s="694"/>
      <c r="Q51" s="206"/>
      <c r="R51" s="206"/>
      <c r="S51" s="206"/>
      <c r="T51" s="366"/>
      <c r="U51" s="206"/>
      <c r="V51" s="206"/>
      <c r="W51" s="243"/>
    </row>
    <row r="52" spans="2:23" x14ac:dyDescent="0.2">
      <c r="B52" s="78" t="s">
        <v>37</v>
      </c>
      <c r="C52" s="383"/>
      <c r="D52" s="221"/>
      <c r="E52" s="221"/>
      <c r="F52" s="367"/>
      <c r="G52" s="221"/>
      <c r="H52" s="690"/>
      <c r="I52" s="690"/>
      <c r="J52" s="242"/>
      <c r="K52" s="221"/>
      <c r="L52" s="221"/>
      <c r="M52" s="367"/>
      <c r="N52" s="221"/>
      <c r="O52" s="690"/>
      <c r="P52" s="690"/>
      <c r="Q52" s="242"/>
      <c r="R52" s="221"/>
      <c r="S52" s="221"/>
      <c r="T52" s="367"/>
      <c r="U52" s="221"/>
      <c r="V52" s="242"/>
      <c r="W52" s="244"/>
    </row>
    <row r="53" spans="2:23" x14ac:dyDescent="0.2">
      <c r="B53" s="83"/>
      <c r="C53" s="361"/>
      <c r="D53" s="92"/>
      <c r="E53" s="92"/>
      <c r="F53" s="361"/>
      <c r="G53" s="92"/>
      <c r="H53" s="693"/>
      <c r="I53" s="693"/>
      <c r="J53" s="92"/>
      <c r="K53" s="92"/>
      <c r="L53" s="92"/>
      <c r="M53" s="361"/>
      <c r="N53" s="92"/>
      <c r="O53" s="693"/>
      <c r="P53" s="693"/>
      <c r="Q53" s="92"/>
      <c r="R53" s="92"/>
      <c r="S53" s="92"/>
      <c r="T53" s="361"/>
      <c r="U53" s="92"/>
      <c r="V53" s="92"/>
      <c r="W53" s="217"/>
    </row>
    <row r="54" spans="2:23" x14ac:dyDescent="0.2">
      <c r="B54" s="79" t="s">
        <v>20</v>
      </c>
      <c r="C54" s="381">
        <f>'Exh JDT-5 (JDT-C&amp;I-RD)'!E22</f>
        <v>364.04</v>
      </c>
      <c r="D54" s="104">
        <f>'Exh JDT-5 (JDT-C&amp;I-RD)'!$H$22</f>
        <v>364.04</v>
      </c>
      <c r="E54" s="63">
        <v>24</v>
      </c>
      <c r="F54" s="364">
        <f t="shared" ref="F54:F55" si="2">SUM(+E54*C54)</f>
        <v>8736.9600000000009</v>
      </c>
      <c r="G54" s="109">
        <f>SUM(+E54*D54)</f>
        <v>8736.9600000000009</v>
      </c>
      <c r="H54" s="685"/>
      <c r="I54" s="685"/>
      <c r="J54" s="109"/>
      <c r="K54" s="92"/>
      <c r="L54" s="63">
        <v>24</v>
      </c>
      <c r="M54" s="364">
        <f t="shared" ref="M54:M55" si="3">SUM(+L54*C54)</f>
        <v>8736.9600000000009</v>
      </c>
      <c r="N54" s="109">
        <f>SUM(+L54*D54)</f>
        <v>8736.9600000000009</v>
      </c>
      <c r="O54" s="685"/>
      <c r="P54" s="685"/>
      <c r="Q54" s="109"/>
      <c r="R54" s="109"/>
      <c r="S54" s="63"/>
      <c r="T54" s="364"/>
      <c r="U54" s="109"/>
      <c r="V54" s="109"/>
      <c r="W54" s="213"/>
    </row>
    <row r="55" spans="2:23" x14ac:dyDescent="0.2">
      <c r="B55" s="83" t="s">
        <v>22</v>
      </c>
      <c r="C55" s="369">
        <f>'Exh JDT-5 (JDT-C&amp;I-RD)'!E23</f>
        <v>0.37956000000000001</v>
      </c>
      <c r="D55" s="88">
        <f>'Exh JDT-5 (JDT-C&amp;I-RD)'!$H$23</f>
        <v>0.41249000000000002</v>
      </c>
      <c r="E55" s="63">
        <v>34397</v>
      </c>
      <c r="F55" s="364">
        <f t="shared" si="2"/>
        <v>13055.72532</v>
      </c>
      <c r="G55" s="109">
        <f>SUM(+E55*D55)</f>
        <v>14188.418530000001</v>
      </c>
      <c r="H55" s="685"/>
      <c r="I55" s="685"/>
      <c r="J55" s="109"/>
      <c r="K55" s="92"/>
      <c r="L55" s="63">
        <v>33867</v>
      </c>
      <c r="M55" s="364">
        <f t="shared" si="3"/>
        <v>12854.55852</v>
      </c>
      <c r="N55" s="109">
        <f>SUM(+L55*D55)</f>
        <v>13969.798830000002</v>
      </c>
      <c r="O55" s="685"/>
      <c r="P55" s="685"/>
      <c r="Q55" s="109"/>
      <c r="R55" s="109"/>
      <c r="S55" s="63"/>
      <c r="T55" s="364"/>
      <c r="U55" s="109"/>
      <c r="V55" s="109"/>
      <c r="W55" s="213"/>
    </row>
    <row r="56" spans="2:23" x14ac:dyDescent="0.2">
      <c r="B56" s="79" t="s">
        <v>27</v>
      </c>
      <c r="C56" s="385"/>
      <c r="D56" s="92"/>
      <c r="E56" s="92"/>
      <c r="F56" s="364">
        <f>SUM(F54:F55)</f>
        <v>21792.685320000001</v>
      </c>
      <c r="G56" s="109">
        <f>SUM(G54:G55)</f>
        <v>22925.378530000002</v>
      </c>
      <c r="H56" s="685"/>
      <c r="I56" s="685"/>
      <c r="J56" s="109"/>
      <c r="K56" s="92"/>
      <c r="L56" s="92"/>
      <c r="M56" s="365">
        <f>SUM(M54:M55)</f>
        <v>21591.518520000001</v>
      </c>
      <c r="N56" s="67">
        <f>SUM(N54:N55)</f>
        <v>22706.758830000002</v>
      </c>
      <c r="O56" s="685"/>
      <c r="P56" s="685"/>
      <c r="Q56" s="109"/>
      <c r="R56" s="109"/>
      <c r="S56" s="92"/>
      <c r="T56" s="365"/>
      <c r="U56" s="67"/>
      <c r="V56" s="109"/>
      <c r="W56" s="213"/>
    </row>
    <row r="57" spans="2:23" x14ac:dyDescent="0.2">
      <c r="B57" s="83"/>
      <c r="C57" s="361"/>
      <c r="D57" s="92"/>
      <c r="E57" s="92"/>
      <c r="F57" s="361"/>
      <c r="G57" s="92"/>
      <c r="H57" s="693"/>
      <c r="I57" s="693"/>
      <c r="J57" s="92"/>
      <c r="K57" s="92"/>
      <c r="L57" s="92"/>
      <c r="M57" s="361"/>
      <c r="N57" s="92"/>
      <c r="O57" s="693"/>
      <c r="P57" s="693"/>
      <c r="Q57" s="92"/>
      <c r="R57" s="92"/>
      <c r="S57" s="92"/>
      <c r="T57" s="361"/>
      <c r="U57" s="92"/>
      <c r="V57" s="92"/>
      <c r="W57" s="217"/>
    </row>
    <row r="58" spans="2:23" x14ac:dyDescent="0.2">
      <c r="B58" s="15" t="s">
        <v>113</v>
      </c>
      <c r="C58" s="384"/>
      <c r="D58" s="92"/>
      <c r="E58" s="92"/>
      <c r="F58" s="365">
        <f>F56</f>
        <v>21792.685320000001</v>
      </c>
      <c r="G58" s="67">
        <f>G56</f>
        <v>22925.378530000002</v>
      </c>
      <c r="H58" s="685"/>
      <c r="I58" s="685"/>
      <c r="J58" s="109"/>
      <c r="K58" s="92"/>
      <c r="L58" s="92"/>
      <c r="M58" s="365">
        <f>M56</f>
        <v>21591.518520000001</v>
      </c>
      <c r="N58" s="67">
        <f>N56</f>
        <v>22706.758830000002</v>
      </c>
      <c r="O58" s="692"/>
      <c r="P58" s="692"/>
      <c r="Q58" s="109"/>
      <c r="R58" s="92"/>
      <c r="S58" s="92"/>
      <c r="T58" s="365"/>
      <c r="U58" s="67"/>
      <c r="V58" s="93"/>
      <c r="W58" s="213"/>
    </row>
    <row r="59" spans="2:23" x14ac:dyDescent="0.2">
      <c r="B59" s="83" t="s">
        <v>294</v>
      </c>
      <c r="C59" s="361"/>
      <c r="D59" s="92"/>
      <c r="E59" s="92"/>
      <c r="F59" s="361"/>
      <c r="G59" s="109"/>
      <c r="H59" s="687">
        <f>H$40*E55</f>
        <v>779.09204999999997</v>
      </c>
      <c r="I59" s="687">
        <f>I$40*E55</f>
        <v>711.67393000000004</v>
      </c>
      <c r="J59" s="109"/>
      <c r="K59" s="88"/>
      <c r="L59" s="88"/>
      <c r="M59" s="369"/>
      <c r="N59" s="88"/>
      <c r="O59" s="687">
        <f>O$40*L55</f>
        <v>439.59366</v>
      </c>
      <c r="P59" s="687">
        <f>P$40*L55</f>
        <v>1668.62709</v>
      </c>
      <c r="Q59" s="109"/>
      <c r="R59" s="88"/>
      <c r="S59" s="88"/>
      <c r="T59" s="369"/>
      <c r="U59" s="88"/>
      <c r="V59" s="208"/>
      <c r="W59" s="214"/>
    </row>
    <row r="60" spans="2:23" x14ac:dyDescent="0.2">
      <c r="B60" s="15" t="str">
        <f>"Total "&amp;B52</f>
        <v>Total Schedule 31 - Transportation</v>
      </c>
      <c r="C60" s="384"/>
      <c r="D60" s="92"/>
      <c r="E60" s="92"/>
      <c r="F60" s="361"/>
      <c r="G60" s="109"/>
      <c r="H60" s="685"/>
      <c r="I60" s="695">
        <f>G58+H59+I59</f>
        <v>24416.144510000002</v>
      </c>
      <c r="J60" s="17"/>
      <c r="K60" s="92"/>
      <c r="L60" s="92"/>
      <c r="M60" s="361"/>
      <c r="N60" s="109"/>
      <c r="O60" s="685"/>
      <c r="P60" s="689">
        <f>N58+O59+P59</f>
        <v>24814.979579999999</v>
      </c>
      <c r="Q60" s="17"/>
      <c r="R60" s="92"/>
      <c r="S60" s="92"/>
      <c r="T60" s="361"/>
      <c r="U60" s="109"/>
      <c r="V60" s="109"/>
      <c r="W60" s="459"/>
    </row>
    <row r="61" spans="2:23" x14ac:dyDescent="0.2">
      <c r="B61" s="99"/>
      <c r="C61" s="366"/>
      <c r="D61" s="220"/>
      <c r="E61" s="206"/>
      <c r="F61" s="366"/>
      <c r="G61" s="206"/>
      <c r="H61" s="694"/>
      <c r="I61" s="694"/>
      <c r="J61" s="206"/>
      <c r="K61" s="206"/>
      <c r="L61" s="206"/>
      <c r="M61" s="366"/>
      <c r="N61" s="206"/>
      <c r="O61" s="694"/>
      <c r="P61" s="694"/>
      <c r="Q61" s="206"/>
      <c r="R61" s="206"/>
      <c r="S61" s="206"/>
      <c r="T61" s="366"/>
      <c r="U61" s="206"/>
      <c r="V61" s="206"/>
      <c r="W61" s="243"/>
    </row>
    <row r="62" spans="2:23" x14ac:dyDescent="0.2">
      <c r="B62" s="93"/>
      <c r="C62" s="357"/>
      <c r="G62" s="93"/>
      <c r="H62" s="692"/>
      <c r="I62" s="692"/>
      <c r="J62" s="93"/>
      <c r="K62" s="93"/>
      <c r="N62" s="93"/>
      <c r="O62" s="692"/>
      <c r="P62" s="692"/>
      <c r="Q62" s="93"/>
      <c r="R62" s="93"/>
      <c r="U62" s="93"/>
      <c r="V62" s="93"/>
      <c r="W62" s="93"/>
    </row>
    <row r="63" spans="2:23" x14ac:dyDescent="0.2">
      <c r="B63" s="334" t="s">
        <v>236</v>
      </c>
      <c r="C63" s="379"/>
      <c r="D63" s="335"/>
      <c r="E63" s="247">
        <f>E77+E93</f>
        <v>92387406</v>
      </c>
      <c r="F63" s="360"/>
      <c r="G63" s="336"/>
      <c r="H63" s="681">
        <f>'Exh JDT-5 (JDT-Rate Spread)'!H70</f>
        <v>1000288.464697674</v>
      </c>
      <c r="I63" s="681">
        <f>'Exh JDT-5 (JDT-Rate Spread)'!H81</f>
        <v>913918.2982312612</v>
      </c>
      <c r="J63" s="597">
        <f>'Exh JDT-5 (JDT-Rate Spread)'!H86</f>
        <v>151679.99799864666</v>
      </c>
      <c r="K63" s="337"/>
      <c r="L63" s="247">
        <f>L77+L93</f>
        <v>93400775</v>
      </c>
      <c r="M63" s="360"/>
      <c r="N63" s="337"/>
      <c r="O63" s="681">
        <f>'Exh JDT-5 (JDT-Rate Spread)'!H74</f>
        <v>579914.95327254175</v>
      </c>
      <c r="P63" s="681">
        <f>'Exh JDT-5 (JDT-Rate Spread)'!H82</f>
        <v>2200586.0896081422</v>
      </c>
      <c r="Q63" s="597">
        <f>'Exh JDT-5 (JDT-Rate Spread)'!H87</f>
        <v>147397.23749979044</v>
      </c>
      <c r="R63" s="337"/>
      <c r="S63" s="247"/>
      <c r="T63" s="360"/>
      <c r="U63" s="338"/>
      <c r="V63" s="336"/>
      <c r="W63" s="339"/>
    </row>
    <row r="64" spans="2:23" x14ac:dyDescent="0.2">
      <c r="B64" s="83"/>
      <c r="C64" s="361"/>
      <c r="D64" s="92"/>
      <c r="E64" s="92"/>
      <c r="F64" s="361"/>
      <c r="G64" s="149" t="s">
        <v>114</v>
      </c>
      <c r="H64" s="682">
        <f>ROUND(H63/E63, 5)</f>
        <v>1.0829999999999999E-2</v>
      </c>
      <c r="I64" s="682">
        <f>ROUND(I63/E63, 5)</f>
        <v>9.8899999999999995E-3</v>
      </c>
      <c r="J64" s="587">
        <f>ROUND(J63/E77, 5)</f>
        <v>2.2699999999999999E-3</v>
      </c>
      <c r="L64" s="92"/>
      <c r="M64" s="361"/>
      <c r="N64" s="104"/>
      <c r="O64" s="682">
        <f>ROUND(O63/L63, 5)</f>
        <v>6.2100000000000002E-3</v>
      </c>
      <c r="P64" s="682">
        <f>ROUND(P63/L63, 5)</f>
        <v>2.3560000000000001E-2</v>
      </c>
      <c r="Q64" s="587">
        <f>ROUND(Q63/L77, 5)</f>
        <v>2.2000000000000001E-3</v>
      </c>
      <c r="S64" s="92"/>
      <c r="T64" s="361"/>
      <c r="U64" s="104"/>
      <c r="V64" s="88"/>
      <c r="W64" s="527"/>
    </row>
    <row r="65" spans="2:23" x14ac:dyDescent="0.2">
      <c r="B65" s="99"/>
      <c r="C65" s="366"/>
      <c r="D65" s="206"/>
      <c r="E65" s="342" t="s">
        <v>116</v>
      </c>
      <c r="F65" s="362">
        <f>F79+F96</f>
        <v>21705020.029999997</v>
      </c>
      <c r="G65" s="208">
        <f>G79+G96</f>
        <v>23329049.833149999</v>
      </c>
      <c r="H65" s="683"/>
      <c r="I65" s="683"/>
      <c r="J65" s="343"/>
      <c r="K65" s="344"/>
      <c r="L65" s="342" t="s">
        <v>116</v>
      </c>
      <c r="M65" s="362">
        <f>M79+M96</f>
        <v>21813071.000000004</v>
      </c>
      <c r="N65" s="208">
        <f>N79+N96</f>
        <v>23444839.643789999</v>
      </c>
      <c r="O65" s="683"/>
      <c r="P65" s="683"/>
      <c r="Q65" s="343"/>
      <c r="R65" s="344"/>
      <c r="S65" s="342"/>
      <c r="T65" s="362"/>
      <c r="U65" s="208"/>
      <c r="V65" s="343"/>
      <c r="W65" s="351"/>
    </row>
    <row r="66" spans="2:23" x14ac:dyDescent="0.2">
      <c r="B66" s="352"/>
      <c r="C66" s="387"/>
      <c r="D66" s="353"/>
      <c r="E66" s="221"/>
      <c r="F66" s="367"/>
      <c r="G66" s="221"/>
      <c r="H66" s="690"/>
      <c r="I66" s="690"/>
      <c r="J66" s="242"/>
      <c r="K66" s="221"/>
      <c r="L66" s="221"/>
      <c r="M66" s="367"/>
      <c r="N66" s="221"/>
      <c r="O66" s="690"/>
      <c r="P66" s="690"/>
      <c r="Q66" s="242"/>
      <c r="R66" s="221"/>
      <c r="S66" s="221"/>
      <c r="T66" s="367"/>
      <c r="U66" s="221"/>
      <c r="V66" s="242"/>
      <c r="W66" s="244"/>
    </row>
    <row r="67" spans="2:23" x14ac:dyDescent="0.2">
      <c r="B67" s="78" t="s">
        <v>40</v>
      </c>
      <c r="C67" s="383"/>
      <c r="D67" s="221"/>
      <c r="E67" s="221"/>
      <c r="F67" s="367"/>
      <c r="G67" s="221"/>
      <c r="H67" s="690"/>
      <c r="I67" s="690"/>
      <c r="J67" s="242"/>
      <c r="K67" s="221"/>
      <c r="L67" s="221"/>
      <c r="M67" s="367"/>
      <c r="N67" s="221"/>
      <c r="O67" s="690"/>
      <c r="P67" s="690"/>
      <c r="Q67" s="242"/>
      <c r="R67" s="221"/>
      <c r="S67" s="221"/>
      <c r="T67" s="367"/>
      <c r="U67" s="221"/>
      <c r="V67" s="242"/>
      <c r="W67" s="244"/>
    </row>
    <row r="68" spans="2:23" x14ac:dyDescent="0.2">
      <c r="B68" s="83"/>
      <c r="C68" s="361"/>
      <c r="D68" s="92"/>
      <c r="E68" s="92"/>
      <c r="F68" s="361"/>
      <c r="G68" s="92"/>
      <c r="H68" s="693"/>
      <c r="I68" s="693"/>
      <c r="J68" s="92"/>
      <c r="K68" s="92"/>
      <c r="L68" s="92"/>
      <c r="M68" s="361"/>
      <c r="N68" s="92"/>
      <c r="O68" s="693"/>
      <c r="P68" s="693"/>
      <c r="Q68" s="92"/>
      <c r="R68" s="92"/>
      <c r="S68" s="92"/>
      <c r="T68" s="361"/>
      <c r="U68" s="92"/>
      <c r="V68" s="92"/>
      <c r="W68" s="217"/>
    </row>
    <row r="69" spans="2:23" x14ac:dyDescent="0.2">
      <c r="B69" s="79" t="s">
        <v>20</v>
      </c>
      <c r="C69" s="381">
        <f>'Exh JDT-5 (JDT-C&amp;I-RD)'!E41</f>
        <v>113.4</v>
      </c>
      <c r="D69" s="104">
        <f>'Exh JDT-5 (JDT-C&amp;I-RD)'!$H$41</f>
        <v>130.33000000000001</v>
      </c>
      <c r="E69" s="63">
        <v>15609</v>
      </c>
      <c r="F69" s="364">
        <f>SUM(+E69*C69)</f>
        <v>1770060.6</v>
      </c>
      <c r="G69" s="109">
        <f>SUM(+E69*D69)</f>
        <v>2034320.9700000002</v>
      </c>
      <c r="H69" s="685"/>
      <c r="I69" s="685"/>
      <c r="J69" s="109"/>
      <c r="K69" s="92"/>
      <c r="L69" s="63">
        <v>15603</v>
      </c>
      <c r="M69" s="364">
        <f>SUM(+L69*C69)</f>
        <v>1769380.2000000002</v>
      </c>
      <c r="N69" s="109">
        <f>SUM(+L69*D69)</f>
        <v>2033538.9900000002</v>
      </c>
      <c r="O69" s="685"/>
      <c r="P69" s="685"/>
      <c r="Q69" s="109"/>
      <c r="R69" s="92"/>
      <c r="S69" s="63"/>
      <c r="T69" s="364"/>
      <c r="U69" s="109"/>
      <c r="V69" s="109"/>
      <c r="W69" s="213"/>
    </row>
    <row r="70" spans="2:23" x14ac:dyDescent="0.2">
      <c r="B70" s="83" t="s">
        <v>42</v>
      </c>
      <c r="C70" s="381">
        <f>'Exh JDT-5 (JDT-C&amp;I-RD)'!E42</f>
        <v>123.82</v>
      </c>
      <c r="D70" s="104">
        <f>'Exh JDT-5 (JDT-C&amp;I-RD)'!$H$42</f>
        <v>126.28</v>
      </c>
      <c r="E70" s="63">
        <f>E69</f>
        <v>15609</v>
      </c>
      <c r="F70" s="364">
        <f t="shared" ref="F70:F71" si="4">SUM(+E70*C70)</f>
        <v>1932706.38</v>
      </c>
      <c r="G70" s="109">
        <f>SUM(+E70*D70)</f>
        <v>1971104.52</v>
      </c>
      <c r="H70" s="685"/>
      <c r="I70" s="685"/>
      <c r="J70" s="109"/>
      <c r="K70" s="92"/>
      <c r="L70" s="63">
        <f>L69</f>
        <v>15603</v>
      </c>
      <c r="M70" s="364">
        <f>SUM(+L70*C70)</f>
        <v>1931963.46</v>
      </c>
      <c r="N70" s="109">
        <f>SUM(+L70*D70)</f>
        <v>1970346.84</v>
      </c>
      <c r="O70" s="685"/>
      <c r="P70" s="685"/>
      <c r="Q70" s="109"/>
      <c r="R70" s="92"/>
      <c r="S70" s="63"/>
      <c r="T70" s="364"/>
      <c r="U70" s="109"/>
      <c r="V70" s="109"/>
      <c r="W70" s="213"/>
    </row>
    <row r="71" spans="2:23" x14ac:dyDescent="0.2">
      <c r="B71" s="83" t="s">
        <v>43</v>
      </c>
      <c r="C71" s="381">
        <f>'Exh JDT-5 (JDT-C&amp;I-RD)'!E43</f>
        <v>1.25</v>
      </c>
      <c r="D71" s="104">
        <f>'Exh JDT-5 (JDT-C&amp;I-RD)'!$H$43</f>
        <v>1.37</v>
      </c>
      <c r="E71" s="63">
        <v>4682844</v>
      </c>
      <c r="F71" s="362">
        <f t="shared" si="4"/>
        <v>5853555</v>
      </c>
      <c r="G71" s="208">
        <f>SUM(+E71*D71)</f>
        <v>6415496.2800000003</v>
      </c>
      <c r="H71" s="685"/>
      <c r="I71" s="685"/>
      <c r="J71" s="109"/>
      <c r="K71" s="92"/>
      <c r="L71" s="63">
        <v>4682844</v>
      </c>
      <c r="M71" s="362">
        <f>SUM(+L71*C71)</f>
        <v>5853555</v>
      </c>
      <c r="N71" s="208">
        <f>SUM(+L71*D71)</f>
        <v>6415496.2800000003</v>
      </c>
      <c r="O71" s="685"/>
      <c r="P71" s="685"/>
      <c r="Q71" s="109"/>
      <c r="R71" s="92"/>
      <c r="S71" s="63"/>
      <c r="T71" s="362"/>
      <c r="U71" s="208"/>
      <c r="V71" s="109"/>
      <c r="W71" s="213"/>
    </row>
    <row r="72" spans="2:23" x14ac:dyDescent="0.2">
      <c r="B72" s="83"/>
      <c r="C72" s="361"/>
      <c r="D72" s="104"/>
      <c r="E72" s="92"/>
      <c r="F72" s="361"/>
      <c r="G72" s="92"/>
      <c r="H72" s="693"/>
      <c r="I72" s="693"/>
      <c r="J72" s="92"/>
      <c r="K72" s="92"/>
      <c r="L72" s="92"/>
      <c r="M72" s="361"/>
      <c r="N72" s="92"/>
      <c r="O72" s="693"/>
      <c r="P72" s="693"/>
      <c r="Q72" s="92"/>
      <c r="R72" s="92"/>
      <c r="S72" s="92"/>
      <c r="T72" s="361"/>
      <c r="U72" s="92"/>
      <c r="V72" s="92"/>
      <c r="W72" s="213"/>
    </row>
    <row r="73" spans="2:23" x14ac:dyDescent="0.2">
      <c r="B73" s="83" t="s">
        <v>45</v>
      </c>
      <c r="C73" s="361"/>
      <c r="D73" s="104"/>
      <c r="E73" s="92"/>
      <c r="F73" s="361"/>
      <c r="G73" s="92"/>
      <c r="H73" s="693"/>
      <c r="I73" s="693"/>
      <c r="J73" s="92"/>
      <c r="K73" s="92"/>
      <c r="L73" s="92"/>
      <c r="M73" s="361"/>
      <c r="N73" s="92"/>
      <c r="O73" s="693"/>
      <c r="P73" s="693"/>
      <c r="Q73" s="92"/>
      <c r="R73" s="92"/>
      <c r="S73" s="92"/>
      <c r="T73" s="361"/>
      <c r="U73" s="92"/>
      <c r="V73" s="92"/>
      <c r="W73" s="213"/>
    </row>
    <row r="74" spans="2:23" x14ac:dyDescent="0.2">
      <c r="B74" s="83" t="s">
        <v>46</v>
      </c>
      <c r="C74" s="369">
        <f>'Exh JDT-5 (JDT-C&amp;I-RD)'!E46</f>
        <v>0.13758000000000001</v>
      </c>
      <c r="D74" s="88">
        <f>'Exh JDT-5 (JDT-C&amp;I-RD)'!$H$46</f>
        <v>0.14030999999999999</v>
      </c>
      <c r="E74" s="63">
        <v>13187913.90979786</v>
      </c>
      <c r="F74" s="364" t="s">
        <v>47</v>
      </c>
      <c r="G74" s="109" t="s">
        <v>47</v>
      </c>
      <c r="H74" s="685"/>
      <c r="I74" s="685"/>
      <c r="J74" s="109"/>
      <c r="K74" s="92"/>
      <c r="L74" s="63">
        <v>13204762.568891775</v>
      </c>
      <c r="M74" s="364" t="s">
        <v>47</v>
      </c>
      <c r="N74" s="109" t="s">
        <v>47</v>
      </c>
      <c r="O74" s="685"/>
      <c r="P74" s="685"/>
      <c r="Q74" s="109"/>
      <c r="R74" s="92"/>
      <c r="S74" s="63"/>
      <c r="T74" s="364"/>
      <c r="U74" s="109"/>
      <c r="V74" s="109"/>
      <c r="W74" s="213"/>
    </row>
    <row r="75" spans="2:23" x14ac:dyDescent="0.2">
      <c r="B75" s="83" t="s">
        <v>48</v>
      </c>
      <c r="C75" s="369">
        <f>'Exh JDT-5 (JDT-C&amp;I-RD)'!E47</f>
        <v>0.13758000000000001</v>
      </c>
      <c r="D75" s="88">
        <f>'Exh JDT-5 (JDT-C&amp;I-RD)'!$H$47</f>
        <v>0.14030999999999999</v>
      </c>
      <c r="E75" s="63">
        <v>29570821.950464178</v>
      </c>
      <c r="F75" s="364">
        <f>ROUND(E75*C75,2)</f>
        <v>4068353.68</v>
      </c>
      <c r="G75" s="109">
        <f>ROUND(E75*D75,2)</f>
        <v>4149082.03</v>
      </c>
      <c r="H75" s="685"/>
      <c r="I75" s="685"/>
      <c r="J75" s="109"/>
      <c r="K75" s="92"/>
      <c r="L75" s="63">
        <v>29590375.242762744</v>
      </c>
      <c r="M75" s="364">
        <f>ROUND(L75*C75,2)</f>
        <v>4071043.83</v>
      </c>
      <c r="N75" s="109">
        <f>ROUND(L75*D75,2)</f>
        <v>4151825.55</v>
      </c>
      <c r="O75" s="685"/>
      <c r="P75" s="685"/>
      <c r="Q75" s="109"/>
      <c r="R75" s="92"/>
      <c r="S75" s="63"/>
      <c r="T75" s="364"/>
      <c r="U75" s="109"/>
      <c r="V75" s="109"/>
      <c r="W75" s="213"/>
    </row>
    <row r="76" spans="2:23" x14ac:dyDescent="0.2">
      <c r="B76" s="83" t="s">
        <v>49</v>
      </c>
      <c r="C76" s="369">
        <f>'Exh JDT-5 (JDT-C&amp;I-RD)'!E48</f>
        <v>0.11074000000000001</v>
      </c>
      <c r="D76" s="88">
        <f>'Exh JDT-5 (JDT-C&amp;I-RD)'!$H$48</f>
        <v>0.12131</v>
      </c>
      <c r="E76" s="63">
        <v>24164149.139737964</v>
      </c>
      <c r="F76" s="364">
        <f>ROUND(E76*C76,2)</f>
        <v>2675937.88</v>
      </c>
      <c r="G76" s="109">
        <f>ROUND(E76*D76,2)</f>
        <v>2931352.93</v>
      </c>
      <c r="H76" s="685"/>
      <c r="I76" s="685"/>
      <c r="J76" s="109"/>
      <c r="K76" s="92"/>
      <c r="L76" s="63">
        <v>24095403.188345484</v>
      </c>
      <c r="M76" s="364">
        <f>ROUND(L76*C76,2)</f>
        <v>2668324.9500000002</v>
      </c>
      <c r="N76" s="109">
        <f>ROUND(L76*D76,2)</f>
        <v>2923013.36</v>
      </c>
      <c r="O76" s="685"/>
      <c r="P76" s="685"/>
      <c r="Q76" s="109"/>
      <c r="R76" s="92"/>
      <c r="S76" s="63"/>
      <c r="T76" s="364"/>
      <c r="U76" s="109"/>
      <c r="V76" s="109"/>
      <c r="W76" s="213"/>
    </row>
    <row r="77" spans="2:23" x14ac:dyDescent="0.2">
      <c r="B77" s="79" t="s">
        <v>50</v>
      </c>
      <c r="C77" s="368"/>
      <c r="D77" s="63"/>
      <c r="E77" s="170">
        <f>SUM(E74:E76)</f>
        <v>66922885</v>
      </c>
      <c r="F77" s="368"/>
      <c r="G77" s="92"/>
      <c r="H77" s="693"/>
      <c r="I77" s="693"/>
      <c r="J77" s="92"/>
      <c r="K77" s="92"/>
      <c r="L77" s="170">
        <f>SUM(L74:L76)</f>
        <v>66890541.000000007</v>
      </c>
      <c r="M77" s="361"/>
      <c r="N77" s="92"/>
      <c r="O77" s="693"/>
      <c r="P77" s="693"/>
      <c r="Q77" s="92"/>
      <c r="R77" s="92"/>
      <c r="S77" s="170"/>
      <c r="T77" s="368"/>
      <c r="U77" s="92"/>
      <c r="V77" s="92"/>
      <c r="W77" s="213"/>
    </row>
    <row r="78" spans="2:23" x14ac:dyDescent="0.2">
      <c r="B78" s="79" t="s">
        <v>36</v>
      </c>
      <c r="C78" s="369">
        <f>'Exh JDT-5 (JDT-C&amp;I-RD)'!E50</f>
        <v>1.005E-2</v>
      </c>
      <c r="D78" s="88">
        <f>'Exh JDT-5 (JDT-C&amp;I-RD)'!$H$50</f>
        <v>1.119E-2</v>
      </c>
      <c r="E78" s="63">
        <f>E77</f>
        <v>66922885</v>
      </c>
      <c r="F78" s="362">
        <f>ROUND(E78*C78,2)</f>
        <v>672574.99</v>
      </c>
      <c r="G78" s="460">
        <f>E78*D78</f>
        <v>748867.08314999996</v>
      </c>
      <c r="H78" s="696"/>
      <c r="I78" s="696"/>
      <c r="J78" s="154"/>
      <c r="K78" s="92"/>
      <c r="L78" s="63">
        <f>L77</f>
        <v>66890541.000000007</v>
      </c>
      <c r="M78" s="362">
        <f>ROUND(L78*C78,2)</f>
        <v>672249.94</v>
      </c>
      <c r="N78" s="460">
        <f>L78*D78</f>
        <v>748505.15379000013</v>
      </c>
      <c r="O78" s="696"/>
      <c r="P78" s="696"/>
      <c r="Q78" s="154"/>
      <c r="R78" s="92"/>
      <c r="S78" s="63"/>
      <c r="T78" s="362"/>
      <c r="U78" s="460"/>
      <c r="V78" s="154"/>
      <c r="W78" s="213"/>
    </row>
    <row r="79" spans="2:23" x14ac:dyDescent="0.2">
      <c r="B79" s="15" t="s">
        <v>113</v>
      </c>
      <c r="C79" s="384"/>
      <c r="D79" s="63"/>
      <c r="E79" s="92"/>
      <c r="F79" s="370">
        <f>SUM(F69:F78)</f>
        <v>16973188.529999997</v>
      </c>
      <c r="G79" s="155">
        <f>SUM(G69:G78)</f>
        <v>18250223.81315</v>
      </c>
      <c r="H79" s="696"/>
      <c r="I79" s="696"/>
      <c r="J79" s="154"/>
      <c r="K79" s="92"/>
      <c r="L79" s="92"/>
      <c r="M79" s="370">
        <f>SUM(M69:M78)</f>
        <v>16966517.380000003</v>
      </c>
      <c r="N79" s="155">
        <f>SUM(N69:N78)</f>
        <v>18242726.17379</v>
      </c>
      <c r="O79" s="696"/>
      <c r="P79" s="696"/>
      <c r="Q79" s="154"/>
      <c r="R79" s="92"/>
      <c r="S79" s="92"/>
      <c r="T79" s="370"/>
      <c r="U79" s="155"/>
      <c r="V79" s="154"/>
      <c r="W79" s="213"/>
    </row>
    <row r="80" spans="2:23" x14ac:dyDescent="0.2">
      <c r="B80" s="83" t="s">
        <v>294</v>
      </c>
      <c r="C80" s="361"/>
      <c r="D80" s="92"/>
      <c r="E80" s="92"/>
      <c r="F80" s="361"/>
      <c r="G80" s="109"/>
      <c r="H80" s="687">
        <f>H$64*E78</f>
        <v>724774.84454999992</v>
      </c>
      <c r="I80" s="687">
        <f>I$64*E78</f>
        <v>661867.33265</v>
      </c>
      <c r="J80" s="598">
        <f>J$64*E78</f>
        <v>151914.94894999999</v>
      </c>
      <c r="K80" s="92"/>
      <c r="L80" s="92"/>
      <c r="M80" s="361"/>
      <c r="N80" s="109"/>
      <c r="O80" s="687">
        <f>O$64*L78</f>
        <v>415390.25961000007</v>
      </c>
      <c r="P80" s="687">
        <f>P$64*L78</f>
        <v>1575941.1459600003</v>
      </c>
      <c r="Q80" s="598">
        <f>Q$64*L78</f>
        <v>147159.19020000001</v>
      </c>
      <c r="R80" s="92"/>
      <c r="S80" s="92"/>
      <c r="T80" s="361"/>
      <c r="U80" s="109"/>
      <c r="V80" s="208"/>
      <c r="W80" s="351"/>
    </row>
    <row r="81" spans="2:23" x14ac:dyDescent="0.2">
      <c r="B81" s="15" t="str">
        <f>"Total "&amp;B67</f>
        <v>Total Schedule 41 - Sales</v>
      </c>
      <c r="C81" s="384"/>
      <c r="D81" s="92"/>
      <c r="E81" s="92"/>
      <c r="F81" s="361"/>
      <c r="G81" s="109"/>
      <c r="H81" s="685"/>
      <c r="I81" s="689">
        <f>G79+H80+I80</f>
        <v>19636865.990349997</v>
      </c>
      <c r="J81" s="17"/>
      <c r="K81" s="92"/>
      <c r="L81" s="92"/>
      <c r="M81" s="361"/>
      <c r="N81" s="109"/>
      <c r="O81" s="685"/>
      <c r="P81" s="689">
        <f>N79+O80+P80</f>
        <v>20234057.579360001</v>
      </c>
      <c r="Q81" s="17"/>
      <c r="R81" s="92"/>
      <c r="S81" s="92"/>
      <c r="T81" s="361"/>
      <c r="U81" s="109"/>
      <c r="V81" s="109"/>
      <c r="W81" s="459"/>
    </row>
    <row r="82" spans="2:23" x14ac:dyDescent="0.2">
      <c r="B82" s="99"/>
      <c r="C82" s="366"/>
      <c r="D82" s="206"/>
      <c r="E82" s="206"/>
      <c r="F82" s="366"/>
      <c r="G82" s="206"/>
      <c r="H82" s="694"/>
      <c r="I82" s="694"/>
      <c r="J82" s="206"/>
      <c r="K82" s="206"/>
      <c r="L82" s="206"/>
      <c r="M82" s="366"/>
      <c r="N82" s="206"/>
      <c r="O82" s="694"/>
      <c r="P82" s="694"/>
      <c r="Q82" s="206"/>
      <c r="R82" s="206"/>
      <c r="S82" s="206"/>
      <c r="T82" s="366"/>
      <c r="U82" s="206"/>
      <c r="V82" s="206"/>
      <c r="W82" s="243"/>
    </row>
    <row r="83" spans="2:23" x14ac:dyDescent="0.2">
      <c r="B83" s="78" t="s">
        <v>51</v>
      </c>
      <c r="C83" s="383"/>
      <c r="D83" s="221"/>
      <c r="E83" s="221"/>
      <c r="F83" s="367"/>
      <c r="G83" s="221"/>
      <c r="H83" s="690"/>
      <c r="I83" s="690"/>
      <c r="J83" s="242"/>
      <c r="K83" s="221"/>
      <c r="L83" s="221"/>
      <c r="M83" s="367"/>
      <c r="N83" s="221"/>
      <c r="O83" s="690"/>
      <c r="P83" s="690"/>
      <c r="Q83" s="242"/>
      <c r="R83" s="221"/>
      <c r="S83" s="221"/>
      <c r="T83" s="367"/>
      <c r="U83" s="221"/>
      <c r="V83" s="242"/>
      <c r="W83" s="244"/>
    </row>
    <row r="84" spans="2:23" x14ac:dyDescent="0.2">
      <c r="B84" s="83"/>
      <c r="C84" s="361"/>
      <c r="D84" s="92"/>
      <c r="E84" s="92"/>
      <c r="F84" s="361"/>
      <c r="G84" s="92"/>
      <c r="H84" s="693"/>
      <c r="I84" s="693"/>
      <c r="J84" s="92"/>
      <c r="K84" s="92"/>
      <c r="L84" s="92"/>
      <c r="M84" s="361"/>
      <c r="N84" s="92"/>
      <c r="O84" s="693"/>
      <c r="P84" s="693"/>
      <c r="Q84" s="92"/>
      <c r="R84" s="92"/>
      <c r="S84" s="92"/>
      <c r="T84" s="361"/>
      <c r="U84" s="92"/>
      <c r="V84" s="92"/>
      <c r="W84" s="217"/>
    </row>
    <row r="85" spans="2:23" x14ac:dyDescent="0.2">
      <c r="B85" s="79" t="s">
        <v>20</v>
      </c>
      <c r="C85" s="381">
        <f>'Exh JDT-5 (JDT-C&amp;I-RD)'!E58</f>
        <v>422.79</v>
      </c>
      <c r="D85" s="104">
        <f>'Exh JDT-5 (JDT-C&amp;I-RD)'!$H$58</f>
        <v>422.79</v>
      </c>
      <c r="E85" s="63">
        <v>1032</v>
      </c>
      <c r="F85" s="364">
        <f>SUM(+E85*C85)</f>
        <v>436319.28</v>
      </c>
      <c r="G85" s="109">
        <f>SUM(+E85*D85)</f>
        <v>436319.28</v>
      </c>
      <c r="H85" s="685"/>
      <c r="I85" s="685"/>
      <c r="J85" s="109"/>
      <c r="K85" s="92"/>
      <c r="L85" s="63">
        <v>1032</v>
      </c>
      <c r="M85" s="364">
        <f>SUM(+L85*C85)</f>
        <v>436319.28</v>
      </c>
      <c r="N85" s="109">
        <f>SUM(+L85*D85)</f>
        <v>436319.28</v>
      </c>
      <c r="O85" s="685"/>
      <c r="P85" s="685"/>
      <c r="Q85" s="109"/>
      <c r="R85" s="92"/>
      <c r="S85" s="63"/>
      <c r="T85" s="364"/>
      <c r="U85" s="109"/>
      <c r="V85" s="109"/>
      <c r="W85" s="213"/>
    </row>
    <row r="86" spans="2:23" x14ac:dyDescent="0.2">
      <c r="B86" s="83" t="s">
        <v>42</v>
      </c>
      <c r="C86" s="381">
        <f>'Exh JDT-5 (JDT-C&amp;I-RD)'!E59</f>
        <v>123.82</v>
      </c>
      <c r="D86" s="104">
        <f>'Exh JDT-5 (JDT-C&amp;I-RD)'!$H$59</f>
        <v>126.28</v>
      </c>
      <c r="E86" s="63">
        <f>E85</f>
        <v>1032</v>
      </c>
      <c r="F86" s="364">
        <f t="shared" ref="F86:F87" si="5">SUM(+E86*C86)</f>
        <v>127782.23999999999</v>
      </c>
      <c r="G86" s="109">
        <f>SUM(+E86*D86)</f>
        <v>130320.96000000001</v>
      </c>
      <c r="H86" s="685"/>
      <c r="I86" s="685"/>
      <c r="J86" s="109"/>
      <c r="K86" s="92"/>
      <c r="L86" s="63">
        <f>L85</f>
        <v>1032</v>
      </c>
      <c r="M86" s="364">
        <f>SUM(+L86*C86)</f>
        <v>127782.23999999999</v>
      </c>
      <c r="N86" s="109">
        <f>SUM(+L86*D86)</f>
        <v>130320.96000000001</v>
      </c>
      <c r="O86" s="685"/>
      <c r="P86" s="685"/>
      <c r="Q86" s="109"/>
      <c r="R86" s="92"/>
      <c r="S86" s="63"/>
      <c r="T86" s="364"/>
      <c r="U86" s="109"/>
      <c r="V86" s="109"/>
      <c r="W86" s="213"/>
    </row>
    <row r="87" spans="2:23" x14ac:dyDescent="0.2">
      <c r="B87" s="83" t="s">
        <v>43</v>
      </c>
      <c r="C87" s="381">
        <f>'Exh JDT-5 (JDT-C&amp;I-RD)'!E60</f>
        <v>1.25</v>
      </c>
      <c r="D87" s="104">
        <f>'Exh JDT-5 (JDT-C&amp;I-RD)'!$H$60</f>
        <v>1.37</v>
      </c>
      <c r="E87" s="63">
        <v>1092876</v>
      </c>
      <c r="F87" s="362">
        <f t="shared" si="5"/>
        <v>1366095</v>
      </c>
      <c r="G87" s="208">
        <f>SUM(+E87*D87)</f>
        <v>1497240.12</v>
      </c>
      <c r="H87" s="685"/>
      <c r="I87" s="685"/>
      <c r="J87" s="109"/>
      <c r="K87" s="92"/>
      <c r="L87" s="63">
        <v>1092876</v>
      </c>
      <c r="M87" s="364">
        <f>SUM(+L87*C87)</f>
        <v>1366095</v>
      </c>
      <c r="N87" s="208">
        <f>SUM(+L87*D87)</f>
        <v>1497240.12</v>
      </c>
      <c r="O87" s="685"/>
      <c r="P87" s="685"/>
      <c r="Q87" s="109"/>
      <c r="R87" s="92"/>
      <c r="S87" s="63"/>
      <c r="T87" s="364"/>
      <c r="U87" s="208"/>
      <c r="V87" s="109"/>
      <c r="W87" s="213"/>
    </row>
    <row r="88" spans="2:23" x14ac:dyDescent="0.2">
      <c r="B88" s="83"/>
      <c r="C88" s="381"/>
      <c r="D88" s="104"/>
      <c r="E88" s="92"/>
      <c r="F88" s="361"/>
      <c r="G88" s="92"/>
      <c r="H88" s="693"/>
      <c r="I88" s="693"/>
      <c r="J88" s="92"/>
      <c r="K88" s="92"/>
      <c r="L88" s="92"/>
      <c r="M88" s="361"/>
      <c r="N88" s="92"/>
      <c r="O88" s="693"/>
      <c r="P88" s="693"/>
      <c r="Q88" s="92"/>
      <c r="R88" s="92"/>
      <c r="S88" s="92"/>
      <c r="T88" s="361"/>
      <c r="U88" s="92"/>
      <c r="V88" s="92"/>
      <c r="W88" s="213"/>
    </row>
    <row r="89" spans="2:23" x14ac:dyDescent="0.2">
      <c r="B89" s="83" t="s">
        <v>45</v>
      </c>
      <c r="C89" s="381"/>
      <c r="D89" s="104"/>
      <c r="E89" s="92"/>
      <c r="F89" s="361"/>
      <c r="G89" s="92"/>
      <c r="H89" s="693"/>
      <c r="I89" s="693"/>
      <c r="J89" s="92"/>
      <c r="K89" s="92"/>
      <c r="L89" s="92"/>
      <c r="M89" s="361"/>
      <c r="N89" s="92"/>
      <c r="O89" s="693"/>
      <c r="P89" s="693"/>
      <c r="Q89" s="92"/>
      <c r="R89" s="92"/>
      <c r="S89" s="92"/>
      <c r="T89" s="361"/>
      <c r="U89" s="92"/>
      <c r="V89" s="92"/>
      <c r="W89" s="213"/>
    </row>
    <row r="90" spans="2:23" x14ac:dyDescent="0.2">
      <c r="B90" s="83" t="s">
        <v>46</v>
      </c>
      <c r="C90" s="369">
        <f>'Exh JDT-5 (JDT-C&amp;I-RD)'!E63</f>
        <v>0.13758000000000001</v>
      </c>
      <c r="D90" s="88">
        <f>'Exh JDT-5 (JDT-C&amp;I-RD)'!$H$63</f>
        <v>0.14030999999999999</v>
      </c>
      <c r="E90" s="63">
        <v>1425917.3695433964</v>
      </c>
      <c r="F90" s="364" t="s">
        <v>47</v>
      </c>
      <c r="G90" s="109" t="s">
        <v>47</v>
      </c>
      <c r="H90" s="685"/>
      <c r="I90" s="685"/>
      <c r="J90" s="109"/>
      <c r="K90" s="92"/>
      <c r="L90" s="63">
        <v>1491237.6656937972</v>
      </c>
      <c r="M90" s="364" t="s">
        <v>47</v>
      </c>
      <c r="N90" s="109" t="s">
        <v>47</v>
      </c>
      <c r="O90" s="685"/>
      <c r="P90" s="685"/>
      <c r="Q90" s="109"/>
      <c r="R90" s="92"/>
      <c r="S90" s="63"/>
      <c r="T90" s="364"/>
      <c r="U90" s="109"/>
      <c r="V90" s="109"/>
      <c r="W90" s="213"/>
    </row>
    <row r="91" spans="2:23" x14ac:dyDescent="0.2">
      <c r="B91" s="83" t="s">
        <v>48</v>
      </c>
      <c r="C91" s="369">
        <f>'Exh JDT-5 (JDT-C&amp;I-RD)'!E64</f>
        <v>0.13758000000000001</v>
      </c>
      <c r="D91" s="88">
        <f>'Exh JDT-5 (JDT-C&amp;I-RD)'!$H$64</f>
        <v>0.14030999999999999</v>
      </c>
      <c r="E91" s="63">
        <v>5201192.5123006459</v>
      </c>
      <c r="F91" s="364">
        <f>ROUND(E91*C91,2)</f>
        <v>715580.07</v>
      </c>
      <c r="G91" s="109">
        <f>ROUND(E91*D91,2)</f>
        <v>729779.32</v>
      </c>
      <c r="H91" s="685"/>
      <c r="I91" s="685"/>
      <c r="J91" s="109"/>
      <c r="K91" s="92"/>
      <c r="L91" s="63">
        <v>5430456.225439975</v>
      </c>
      <c r="M91" s="364">
        <f>ROUND(L91*C91,2)</f>
        <v>747122.17</v>
      </c>
      <c r="N91" s="109">
        <f>ROUND(L91*D91,2)</f>
        <v>761947.31</v>
      </c>
      <c r="O91" s="685"/>
      <c r="P91" s="685"/>
      <c r="Q91" s="109"/>
      <c r="R91" s="92"/>
      <c r="S91" s="63"/>
      <c r="T91" s="364"/>
      <c r="U91" s="109"/>
      <c r="V91" s="109"/>
      <c r="W91" s="213"/>
    </row>
    <row r="92" spans="2:23" x14ac:dyDescent="0.2">
      <c r="B92" s="83" t="s">
        <v>49</v>
      </c>
      <c r="C92" s="369">
        <f>'Exh JDT-5 (JDT-C&amp;I-RD)'!E65</f>
        <v>0.11074000000000001</v>
      </c>
      <c r="D92" s="88">
        <f>'Exh JDT-5 (JDT-C&amp;I-RD)'!$H$65</f>
        <v>0.12131</v>
      </c>
      <c r="E92" s="63">
        <v>18837411.118155956</v>
      </c>
      <c r="F92" s="364">
        <f>ROUND(E92*C92,2)</f>
        <v>2086054.91</v>
      </c>
      <c r="G92" s="109">
        <f>ROUND(E92*D92,2)</f>
        <v>2285166.34</v>
      </c>
      <c r="H92" s="685"/>
      <c r="I92" s="685"/>
      <c r="J92" s="109"/>
      <c r="K92" s="92"/>
      <c r="L92" s="63">
        <v>19588540.108866226</v>
      </c>
      <c r="M92" s="364">
        <f>ROUND(L92*C92,2)</f>
        <v>2169234.9300000002</v>
      </c>
      <c r="N92" s="109">
        <f>ROUND(L92*D92,2)</f>
        <v>2376285.7999999998</v>
      </c>
      <c r="O92" s="685"/>
      <c r="P92" s="685"/>
      <c r="Q92" s="109"/>
      <c r="R92" s="92"/>
      <c r="S92" s="63"/>
      <c r="T92" s="364"/>
      <c r="U92" s="109"/>
      <c r="V92" s="109"/>
      <c r="W92" s="213"/>
    </row>
    <row r="93" spans="2:23" x14ac:dyDescent="0.2">
      <c r="B93" s="79" t="s">
        <v>50</v>
      </c>
      <c r="C93" s="368"/>
      <c r="D93" s="63"/>
      <c r="E93" s="170">
        <f>SUM(E90:E92)</f>
        <v>25464521</v>
      </c>
      <c r="F93" s="368"/>
      <c r="G93" s="92"/>
      <c r="H93" s="693"/>
      <c r="I93" s="693"/>
      <c r="J93" s="92"/>
      <c r="K93" s="92"/>
      <c r="L93" s="170">
        <f>SUM(L90:L92)</f>
        <v>26510234</v>
      </c>
      <c r="M93" s="361"/>
      <c r="N93" s="92"/>
      <c r="O93" s="693"/>
      <c r="P93" s="693"/>
      <c r="Q93" s="92"/>
      <c r="R93" s="92"/>
      <c r="S93" s="170"/>
      <c r="T93" s="361"/>
      <c r="U93" s="92"/>
      <c r="V93" s="92"/>
      <c r="W93" s="213"/>
    </row>
    <row r="94" spans="2:23" x14ac:dyDescent="0.2">
      <c r="B94" s="79" t="s">
        <v>27</v>
      </c>
      <c r="C94" s="385"/>
      <c r="D94" s="63"/>
      <c r="E94" s="92"/>
      <c r="F94" s="370">
        <f>SUM(F85:F93)</f>
        <v>4731831.5</v>
      </c>
      <c r="G94" s="155">
        <f>SUM(G85:G93)</f>
        <v>5078826.0199999996</v>
      </c>
      <c r="H94" s="696"/>
      <c r="I94" s="696"/>
      <c r="J94" s="154"/>
      <c r="K94" s="92"/>
      <c r="L94" s="92"/>
      <c r="M94" s="370">
        <f>SUM(M85:M93)</f>
        <v>4846553.62</v>
      </c>
      <c r="N94" s="155">
        <f>SUM(N85:N93)</f>
        <v>5202113.47</v>
      </c>
      <c r="O94" s="696"/>
      <c r="P94" s="696"/>
      <c r="Q94" s="154"/>
      <c r="R94" s="92"/>
      <c r="S94" s="92"/>
      <c r="T94" s="370"/>
      <c r="U94" s="155"/>
      <c r="V94" s="154"/>
      <c r="W94" s="213"/>
    </row>
    <row r="95" spans="2:23" x14ac:dyDescent="0.2">
      <c r="B95" s="79"/>
      <c r="C95" s="385"/>
      <c r="D95" s="63"/>
      <c r="E95" s="92"/>
      <c r="F95" s="361"/>
      <c r="G95" s="92"/>
      <c r="H95" s="693"/>
      <c r="I95" s="693"/>
      <c r="J95" s="92"/>
      <c r="K95" s="92"/>
      <c r="L95" s="92"/>
      <c r="M95" s="361"/>
      <c r="N95" s="92"/>
      <c r="O95" s="693"/>
      <c r="P95" s="693"/>
      <c r="Q95" s="92"/>
      <c r="R95" s="92"/>
      <c r="S95" s="92"/>
      <c r="T95" s="361"/>
      <c r="U95" s="92"/>
      <c r="V95" s="92"/>
      <c r="W95" s="213"/>
    </row>
    <row r="96" spans="2:23" x14ac:dyDescent="0.2">
      <c r="B96" s="15" t="s">
        <v>113</v>
      </c>
      <c r="C96" s="384"/>
      <c r="D96" s="88"/>
      <c r="E96" s="92"/>
      <c r="F96" s="370">
        <f>F94</f>
        <v>4731831.5</v>
      </c>
      <c r="G96" s="155">
        <f>G94</f>
        <v>5078826.0199999996</v>
      </c>
      <c r="H96" s="696"/>
      <c r="I96" s="696"/>
      <c r="J96" s="154"/>
      <c r="K96" s="92"/>
      <c r="L96" s="92"/>
      <c r="M96" s="370">
        <f>M94</f>
        <v>4846553.62</v>
      </c>
      <c r="N96" s="155">
        <f>N94</f>
        <v>5202113.47</v>
      </c>
      <c r="O96" s="696"/>
      <c r="P96" s="696"/>
      <c r="Q96" s="154"/>
      <c r="R96" s="92"/>
      <c r="S96" s="92"/>
      <c r="T96" s="370"/>
      <c r="U96" s="155"/>
      <c r="V96" s="154"/>
      <c r="W96" s="213"/>
    </row>
    <row r="97" spans="2:23" x14ac:dyDescent="0.2">
      <c r="B97" s="83" t="s">
        <v>294</v>
      </c>
      <c r="C97" s="361"/>
      <c r="D97" s="92"/>
      <c r="E97" s="92"/>
      <c r="F97" s="361"/>
      <c r="G97" s="109"/>
      <c r="H97" s="687">
        <f>H$64*E93</f>
        <v>275780.76243</v>
      </c>
      <c r="I97" s="687">
        <f>I$64*E93</f>
        <v>251844.11268999998</v>
      </c>
      <c r="J97" s="109"/>
      <c r="K97" s="92"/>
      <c r="L97" s="92"/>
      <c r="M97" s="361"/>
      <c r="N97" s="109"/>
      <c r="O97" s="687">
        <f>O$64*L93</f>
        <v>164628.55314</v>
      </c>
      <c r="P97" s="687">
        <f>P$64*L93</f>
        <v>624581.11304000008</v>
      </c>
      <c r="Q97" s="109"/>
      <c r="R97" s="92"/>
      <c r="S97" s="92"/>
      <c r="T97" s="361"/>
      <c r="U97" s="109"/>
      <c r="V97" s="208"/>
      <c r="W97" s="214"/>
    </row>
    <row r="98" spans="2:23" x14ac:dyDescent="0.2">
      <c r="B98" s="15" t="str">
        <f>"Total "&amp;B83</f>
        <v>Total Schedule 41 - Transportation</v>
      </c>
      <c r="C98" s="384"/>
      <c r="D98" s="92"/>
      <c r="E98" s="92"/>
      <c r="F98" s="361"/>
      <c r="G98" s="109"/>
      <c r="H98" s="685"/>
      <c r="I98" s="689">
        <f>G96+H97+I97</f>
        <v>5606450.8951199995</v>
      </c>
      <c r="J98" s="17"/>
      <c r="K98" s="92"/>
      <c r="L98" s="92"/>
      <c r="M98" s="361"/>
      <c r="N98" s="109"/>
      <c r="O98" s="685"/>
      <c r="P98" s="689">
        <f>N96+O97+P97</f>
        <v>5991323.1361800004</v>
      </c>
      <c r="Q98" s="17"/>
      <c r="R98" s="92"/>
      <c r="S98" s="92"/>
      <c r="T98" s="361"/>
      <c r="U98" s="109"/>
      <c r="V98" s="109"/>
      <c r="W98" s="459"/>
    </row>
    <row r="99" spans="2:23" x14ac:dyDescent="0.2">
      <c r="B99" s="99"/>
      <c r="C99" s="366"/>
      <c r="D99" s="206"/>
      <c r="E99" s="206"/>
      <c r="F99" s="366"/>
      <c r="G99" s="206"/>
      <c r="H99" s="694"/>
      <c r="I99" s="694"/>
      <c r="J99" s="206"/>
      <c r="K99" s="206"/>
      <c r="L99" s="206"/>
      <c r="M99" s="366"/>
      <c r="N99" s="206"/>
      <c r="O99" s="694"/>
      <c r="P99" s="694"/>
      <c r="Q99" s="206"/>
      <c r="R99" s="206"/>
      <c r="S99" s="206"/>
      <c r="T99" s="366"/>
      <c r="U99" s="206"/>
      <c r="V99" s="206"/>
      <c r="W99" s="243"/>
    </row>
    <row r="100" spans="2:23" x14ac:dyDescent="0.2">
      <c r="H100" s="686"/>
      <c r="I100" s="686"/>
      <c r="O100" s="686"/>
      <c r="P100" s="686"/>
    </row>
    <row r="101" spans="2:23" x14ac:dyDescent="0.2">
      <c r="B101" s="334" t="s">
        <v>237</v>
      </c>
      <c r="C101" s="379"/>
      <c r="D101" s="335"/>
      <c r="E101" s="247">
        <f>E109+E131</f>
        <v>73912158</v>
      </c>
      <c r="F101" s="360"/>
      <c r="G101" s="336"/>
      <c r="H101" s="681">
        <f>'Exh JDT-5 (JDT-Rate Spread)'!I70</f>
        <v>475918.82591419795</v>
      </c>
      <c r="I101" s="681">
        <f>'Exh JDT-5 (JDT-Rate Spread)'!I81</f>
        <v>434825.49167172762</v>
      </c>
      <c r="J101" s="597">
        <f>'Exh JDT-5 (JDT-Rate Spread)'!I86</f>
        <v>20472.643272653775</v>
      </c>
      <c r="K101" s="337"/>
      <c r="L101" s="247">
        <f>L109+L131</f>
        <v>73034304</v>
      </c>
      <c r="M101" s="360"/>
      <c r="N101" s="337"/>
      <c r="O101" s="681">
        <f>'Exh JDT-5 (JDT-Rate Spread)'!I74</f>
        <v>275912.85257395293</v>
      </c>
      <c r="P101" s="681">
        <f>'Exh JDT-5 (JDT-Rate Spread)'!I82</f>
        <v>1046998.3260338384</v>
      </c>
      <c r="Q101" s="597">
        <f>'Exh JDT-5 (JDT-Rate Spread)'!I87</f>
        <v>19894.587964952108</v>
      </c>
      <c r="R101" s="337"/>
      <c r="S101" s="247"/>
      <c r="T101" s="360"/>
      <c r="U101" s="338"/>
      <c r="V101" s="336"/>
      <c r="W101" s="339"/>
    </row>
    <row r="102" spans="2:23" x14ac:dyDescent="0.2">
      <c r="B102" s="83"/>
      <c r="C102" s="361"/>
      <c r="D102" s="92"/>
      <c r="E102" s="92"/>
      <c r="F102" s="361"/>
      <c r="G102" s="149" t="s">
        <v>114</v>
      </c>
      <c r="H102" s="682">
        <f>ROUND(H101/E101, 5)</f>
        <v>6.4400000000000004E-3</v>
      </c>
      <c r="I102" s="682">
        <f>ROUND(I101/E101, 5)</f>
        <v>5.8799999999999998E-3</v>
      </c>
      <c r="J102" s="587">
        <f>ROUND(J101/E116, 5)</f>
        <v>1.8400000000000001E-3</v>
      </c>
      <c r="L102" s="92"/>
      <c r="M102" s="361"/>
      <c r="N102" s="104"/>
      <c r="O102" s="682">
        <f>ROUND(O101/L101, 5)</f>
        <v>3.7799999999999999E-3</v>
      </c>
      <c r="P102" s="682">
        <f>ROUND(P101/L101, 5)</f>
        <v>1.434E-2</v>
      </c>
      <c r="Q102" s="587">
        <f>ROUND(Q101/L116, 5)</f>
        <v>1.8500000000000001E-3</v>
      </c>
      <c r="S102" s="92"/>
      <c r="T102" s="361"/>
      <c r="U102" s="104"/>
      <c r="V102" s="88"/>
      <c r="W102" s="527"/>
    </row>
    <row r="103" spans="2:23" x14ac:dyDescent="0.2">
      <c r="B103" s="99"/>
      <c r="C103" s="366"/>
      <c r="D103" s="206"/>
      <c r="E103" s="342" t="s">
        <v>116</v>
      </c>
      <c r="F103" s="362">
        <f>F116+F133</f>
        <v>7448585.0592142921</v>
      </c>
      <c r="G103" s="208">
        <f>G116+G133</f>
        <v>8308183.4203100381</v>
      </c>
      <c r="H103" s="683"/>
      <c r="I103" s="683"/>
      <c r="J103" s="343"/>
      <c r="K103" s="344"/>
      <c r="L103" s="342" t="s">
        <v>116</v>
      </c>
      <c r="M103" s="362">
        <f>M116+M133</f>
        <v>7380545.0838783914</v>
      </c>
      <c r="N103" s="208">
        <f>N116+N133</f>
        <v>8231195.1450351439</v>
      </c>
      <c r="O103" s="683"/>
      <c r="P103" s="683"/>
      <c r="Q103" s="343"/>
      <c r="R103" s="344"/>
      <c r="S103" s="342"/>
      <c r="T103" s="362"/>
      <c r="U103" s="208"/>
      <c r="V103" s="343"/>
      <c r="W103" s="351"/>
    </row>
    <row r="104" spans="2:23" x14ac:dyDescent="0.2">
      <c r="B104" s="352"/>
      <c r="C104" s="387"/>
      <c r="D104" s="353"/>
      <c r="E104" s="221"/>
      <c r="F104" s="367"/>
      <c r="G104" s="221"/>
      <c r="H104" s="690"/>
      <c r="I104" s="690"/>
      <c r="J104" s="242"/>
      <c r="K104" s="221"/>
      <c r="L104" s="221"/>
      <c r="M104" s="367"/>
      <c r="N104" s="221"/>
      <c r="O104" s="690"/>
      <c r="P104" s="690"/>
      <c r="Q104" s="242"/>
      <c r="R104" s="221"/>
      <c r="S104" s="221"/>
      <c r="T104" s="367"/>
      <c r="U104" s="221"/>
      <c r="V104" s="242"/>
      <c r="W104" s="244"/>
    </row>
    <row r="105" spans="2:23" x14ac:dyDescent="0.2">
      <c r="B105" s="78" t="s">
        <v>57</v>
      </c>
      <c r="C105" s="383"/>
      <c r="D105" s="461"/>
      <c r="E105" s="221"/>
      <c r="F105" s="367"/>
      <c r="G105" s="221"/>
      <c r="H105" s="690"/>
      <c r="I105" s="690"/>
      <c r="J105" s="242"/>
      <c r="K105" s="221"/>
      <c r="L105" s="221"/>
      <c r="M105" s="367"/>
      <c r="N105" s="221"/>
      <c r="O105" s="690"/>
      <c r="P105" s="690"/>
      <c r="Q105" s="242"/>
      <c r="R105" s="221"/>
      <c r="S105" s="221"/>
      <c r="T105" s="367"/>
      <c r="U105" s="242"/>
      <c r="V105" s="242"/>
      <c r="W105" s="462"/>
    </row>
    <row r="106" spans="2:23" x14ac:dyDescent="0.2">
      <c r="B106" s="83"/>
      <c r="C106" s="361"/>
      <c r="D106" s="88"/>
      <c r="E106" s="92"/>
      <c r="F106" s="361"/>
      <c r="G106" s="92"/>
      <c r="H106" s="693"/>
      <c r="I106" s="693"/>
      <c r="J106" s="92"/>
      <c r="K106" s="92"/>
      <c r="L106" s="92"/>
      <c r="M106" s="361"/>
      <c r="N106" s="92"/>
      <c r="O106" s="693"/>
      <c r="P106" s="693"/>
      <c r="Q106" s="92"/>
      <c r="R106" s="92"/>
      <c r="S106" s="92"/>
      <c r="T106" s="361"/>
      <c r="U106" s="92"/>
      <c r="V106" s="92"/>
      <c r="W106" s="217"/>
    </row>
    <row r="107" spans="2:23" x14ac:dyDescent="0.2">
      <c r="B107" s="79" t="s">
        <v>20</v>
      </c>
      <c r="C107" s="381">
        <f>'Exh JDT-5 (JDT-INTRPL-RD)'!E12</f>
        <v>595.08000000000004</v>
      </c>
      <c r="D107" s="104">
        <f>'Exh JDT-5 (JDT-INTRPL-RD)'!$H$12</f>
        <v>701.68</v>
      </c>
      <c r="E107" s="63">
        <v>396</v>
      </c>
      <c r="F107" s="364">
        <f>SUM(+E107*C107)</f>
        <v>235651.68000000002</v>
      </c>
      <c r="G107" s="109">
        <f>SUM(+E107*D107)</f>
        <v>277865.27999999997</v>
      </c>
      <c r="H107" s="685"/>
      <c r="I107" s="685"/>
      <c r="J107" s="109"/>
      <c r="K107" s="92"/>
      <c r="L107" s="63">
        <v>396</v>
      </c>
      <c r="M107" s="364">
        <f>SUM(+L107*C107)</f>
        <v>235651.68000000002</v>
      </c>
      <c r="N107" s="109">
        <f>SUM(+L107*D107)</f>
        <v>277865.27999999997</v>
      </c>
      <c r="O107" s="685"/>
      <c r="P107" s="685"/>
      <c r="Q107" s="109"/>
      <c r="R107" s="92"/>
      <c r="S107" s="109"/>
      <c r="T107" s="364"/>
      <c r="U107" s="109"/>
      <c r="V107" s="109"/>
      <c r="W107" s="213"/>
    </row>
    <row r="108" spans="2:23" x14ac:dyDescent="0.2">
      <c r="B108" s="83" t="s">
        <v>43</v>
      </c>
      <c r="C108" s="381">
        <f>'Exh JDT-5 (JDT-INTRPL-RD)'!E13</f>
        <v>1.3</v>
      </c>
      <c r="D108" s="104">
        <f>'Exh JDT-5 (JDT-INTRPL-RD)'!$H$13</f>
        <v>1.44</v>
      </c>
      <c r="E108" s="63">
        <v>94536</v>
      </c>
      <c r="F108" s="364">
        <f t="shared" ref="F108:F109" si="6">SUM(+E108*C108)</f>
        <v>122896.8</v>
      </c>
      <c r="G108" s="109">
        <f>SUM(+E108*D108)</f>
        <v>136131.84</v>
      </c>
      <c r="H108" s="685"/>
      <c r="I108" s="685"/>
      <c r="J108" s="109"/>
      <c r="K108" s="92"/>
      <c r="L108" s="63">
        <v>94536</v>
      </c>
      <c r="M108" s="364">
        <f t="shared" ref="M108:M109" si="7">SUM(+L108*C108)</f>
        <v>122896.8</v>
      </c>
      <c r="N108" s="109">
        <f>SUM(+L108*D108)</f>
        <v>136131.84</v>
      </c>
      <c r="O108" s="685"/>
      <c r="P108" s="685"/>
      <c r="Q108" s="109"/>
      <c r="R108" s="92"/>
      <c r="S108" s="109"/>
      <c r="T108" s="364"/>
      <c r="U108" s="109"/>
      <c r="V108" s="109"/>
      <c r="W108" s="213"/>
    </row>
    <row r="109" spans="2:23" x14ac:dyDescent="0.2">
      <c r="B109" s="83" t="s">
        <v>36</v>
      </c>
      <c r="C109" s="369">
        <f>'Exh JDT-5 (JDT-INTRPL-RD)'!E14</f>
        <v>7.0499999999999998E-3</v>
      </c>
      <c r="D109" s="88">
        <f>'Exh JDT-5 (JDT-INTRPL-RD)'!$H$14</f>
        <v>7.7999999999999996E-3</v>
      </c>
      <c r="E109" s="63">
        <f>E116</f>
        <v>11124640</v>
      </c>
      <c r="F109" s="364">
        <f t="shared" si="6"/>
        <v>78428.712</v>
      </c>
      <c r="G109" s="109">
        <f>SUM(+E109*D109)</f>
        <v>86772.191999999995</v>
      </c>
      <c r="H109" s="685"/>
      <c r="I109" s="685"/>
      <c r="J109" s="109"/>
      <c r="K109" s="92"/>
      <c r="L109" s="63">
        <f>L116</f>
        <v>10745378</v>
      </c>
      <c r="M109" s="364">
        <f t="shared" si="7"/>
        <v>75754.914900000003</v>
      </c>
      <c r="N109" s="109">
        <f>SUM(+L109*D109)</f>
        <v>83813.948399999994</v>
      </c>
      <c r="O109" s="685"/>
      <c r="P109" s="685"/>
      <c r="Q109" s="109"/>
      <c r="R109" s="92"/>
      <c r="S109" s="109"/>
      <c r="T109" s="364"/>
      <c r="U109" s="109"/>
      <c r="V109" s="109"/>
      <c r="W109" s="213"/>
    </row>
    <row r="110" spans="2:23" x14ac:dyDescent="0.2">
      <c r="B110" s="83" t="s">
        <v>59</v>
      </c>
      <c r="C110" s="369"/>
      <c r="D110" s="88"/>
      <c r="E110" s="63"/>
      <c r="F110" s="368">
        <f>'Exh JDT-5 (JDT-INTRPL-RD)'!F15</f>
        <v>9677.49</v>
      </c>
      <c r="G110" s="109">
        <v>9677.49</v>
      </c>
      <c r="H110" s="685"/>
      <c r="I110" s="685"/>
      <c r="J110" s="109"/>
      <c r="K110" s="92"/>
      <c r="L110" s="63"/>
      <c r="M110" s="368">
        <f>F110</f>
        <v>9677.49</v>
      </c>
      <c r="N110" s="109">
        <v>9677.49</v>
      </c>
      <c r="O110" s="685"/>
      <c r="P110" s="685"/>
      <c r="Q110" s="109"/>
      <c r="R110" s="92"/>
      <c r="S110" s="109"/>
      <c r="T110" s="364"/>
      <c r="U110" s="109"/>
      <c r="V110" s="109"/>
      <c r="W110" s="213"/>
    </row>
    <row r="111" spans="2:23" x14ac:dyDescent="0.2">
      <c r="B111" s="83"/>
      <c r="C111" s="369"/>
      <c r="D111" s="88"/>
      <c r="E111" s="92"/>
      <c r="F111" s="361"/>
      <c r="G111" s="92"/>
      <c r="H111" s="693"/>
      <c r="I111" s="693"/>
      <c r="J111" s="92"/>
      <c r="K111" s="92"/>
      <c r="L111" s="92"/>
      <c r="M111" s="361"/>
      <c r="N111" s="92"/>
      <c r="O111" s="693"/>
      <c r="P111" s="693"/>
      <c r="Q111" s="92"/>
      <c r="R111" s="92"/>
      <c r="S111" s="92"/>
      <c r="T111" s="361"/>
      <c r="U111" s="92"/>
      <c r="V111" s="92"/>
      <c r="W111" s="217"/>
    </row>
    <row r="112" spans="2:23" x14ac:dyDescent="0.2">
      <c r="B112" s="83" t="s">
        <v>45</v>
      </c>
      <c r="C112" s="369"/>
      <c r="D112" s="88"/>
      <c r="E112" s="92"/>
      <c r="F112" s="361"/>
      <c r="G112" s="92"/>
      <c r="H112" s="693"/>
      <c r="I112" s="693"/>
      <c r="J112" s="92"/>
      <c r="K112" s="92"/>
      <c r="L112" s="92"/>
      <c r="M112" s="361"/>
      <c r="N112" s="92"/>
      <c r="O112" s="693"/>
      <c r="P112" s="693"/>
      <c r="Q112" s="92"/>
      <c r="R112" s="92"/>
      <c r="S112" s="92"/>
      <c r="T112" s="361"/>
      <c r="U112" s="92"/>
      <c r="V112" s="92"/>
      <c r="W112" s="217"/>
    </row>
    <row r="113" spans="2:23" x14ac:dyDescent="0.2">
      <c r="B113" s="83" t="s">
        <v>60</v>
      </c>
      <c r="C113" s="369">
        <f>'Exh JDT-5 (JDT-INTRPL-RD)'!E18</f>
        <v>0.1084</v>
      </c>
      <c r="D113" s="88">
        <f>'Exh JDT-5 (JDT-INTRPL-RD)'!$H$18</f>
        <v>0.12488</v>
      </c>
      <c r="E113" s="63">
        <v>4674926.706264955</v>
      </c>
      <c r="F113" s="368">
        <f>SUM(+E113*C113)</f>
        <v>506762.0549591211</v>
      </c>
      <c r="G113" s="109">
        <f>SUM(+E113*D113)</f>
        <v>583804.8470783676</v>
      </c>
      <c r="H113" s="685"/>
      <c r="I113" s="685"/>
      <c r="J113" s="109"/>
      <c r="K113" s="92"/>
      <c r="L113" s="63">
        <v>4513873.5650214646</v>
      </c>
      <c r="M113" s="364">
        <f t="shared" ref="M113:M115" si="8">SUM(+L113*C113)</f>
        <v>489303.89444832673</v>
      </c>
      <c r="N113" s="109">
        <f>SUM(+L113*D113)</f>
        <v>563692.53079988051</v>
      </c>
      <c r="O113" s="685"/>
      <c r="P113" s="685"/>
      <c r="Q113" s="109"/>
      <c r="R113" s="92"/>
      <c r="S113" s="109"/>
      <c r="T113" s="364"/>
      <c r="U113" s="109"/>
      <c r="V113" s="109"/>
      <c r="W113" s="213"/>
    </row>
    <row r="114" spans="2:23" x14ac:dyDescent="0.2">
      <c r="B114" s="83" t="s">
        <v>61</v>
      </c>
      <c r="C114" s="369">
        <f>'Exh JDT-5 (JDT-INTRPL-RD)'!E19</f>
        <v>5.3650000000000003E-2</v>
      </c>
      <c r="D114" s="88">
        <f>'Exh JDT-5 (JDT-INTRPL-RD)'!$H$19</f>
        <v>5.9339999999999997E-2</v>
      </c>
      <c r="E114" s="63">
        <v>2569738.4472592678</v>
      </c>
      <c r="F114" s="368">
        <f t="shared" ref="F114:F115" si="9">SUM(+E114*C114)</f>
        <v>137866.46769545972</v>
      </c>
      <c r="G114" s="109">
        <f>SUM(+E114*D114)</f>
        <v>152488.27946036495</v>
      </c>
      <c r="H114" s="685"/>
      <c r="I114" s="685"/>
      <c r="J114" s="109"/>
      <c r="K114" s="92"/>
      <c r="L114" s="63">
        <v>2478939.5524124894</v>
      </c>
      <c r="M114" s="364">
        <f t="shared" si="8"/>
        <v>132995.10698693007</v>
      </c>
      <c r="N114" s="109">
        <f>SUM(+L114*D114)</f>
        <v>147100.2730401571</v>
      </c>
      <c r="O114" s="685"/>
      <c r="P114" s="685"/>
      <c r="Q114" s="109"/>
      <c r="R114" s="92"/>
      <c r="S114" s="109"/>
      <c r="T114" s="364"/>
      <c r="U114" s="109"/>
      <c r="V114" s="109"/>
      <c r="W114" s="213"/>
    </row>
    <row r="115" spans="2:23" x14ac:dyDescent="0.2">
      <c r="B115" s="83" t="s">
        <v>62</v>
      </c>
      <c r="C115" s="369">
        <f>'Exh JDT-5 (JDT-INTRPL-RD)'!E20</f>
        <v>5.1319999999999998E-2</v>
      </c>
      <c r="D115" s="88">
        <f>'Exh JDT-5 (JDT-INTRPL-RD)'!$H$20</f>
        <v>5.6770000000000001E-2</v>
      </c>
      <c r="E115" s="63">
        <v>3879974.8464757777</v>
      </c>
      <c r="F115" s="368">
        <f t="shared" si="9"/>
        <v>199120.3091211369</v>
      </c>
      <c r="G115" s="109">
        <f>SUM(+E115*D115)</f>
        <v>220266.17203442991</v>
      </c>
      <c r="H115" s="685"/>
      <c r="I115" s="685"/>
      <c r="J115" s="109"/>
      <c r="K115" s="92"/>
      <c r="L115" s="63">
        <v>3752564.882566046</v>
      </c>
      <c r="M115" s="364">
        <f t="shared" si="8"/>
        <v>192581.62977328946</v>
      </c>
      <c r="N115" s="109">
        <f>SUM(+L115*D115)</f>
        <v>213033.10838327443</v>
      </c>
      <c r="O115" s="685"/>
      <c r="P115" s="685"/>
      <c r="Q115" s="109"/>
      <c r="R115" s="92"/>
      <c r="S115" s="109"/>
      <c r="T115" s="362"/>
      <c r="U115" s="208"/>
      <c r="V115" s="109"/>
      <c r="W115" s="213"/>
    </row>
    <row r="116" spans="2:23" x14ac:dyDescent="0.2">
      <c r="B116" s="15" t="s">
        <v>113</v>
      </c>
      <c r="C116" s="384"/>
      <c r="D116" s="104"/>
      <c r="E116" s="170">
        <f>SUM(E113:E115)</f>
        <v>11124640</v>
      </c>
      <c r="F116" s="370">
        <f>SUM(F107:F115)</f>
        <v>1290403.5137757179</v>
      </c>
      <c r="G116" s="155">
        <f>SUM(G107:G115)</f>
        <v>1467006.1005731623</v>
      </c>
      <c r="H116" s="696"/>
      <c r="I116" s="696"/>
      <c r="J116" s="154"/>
      <c r="K116" s="92"/>
      <c r="L116" s="170">
        <f>SUM(L113:L115)</f>
        <v>10745378</v>
      </c>
      <c r="M116" s="370">
        <f>SUM(M107:M115)</f>
        <v>1258861.5161085464</v>
      </c>
      <c r="N116" s="155">
        <f>SUM(N107:N115)</f>
        <v>1431314.4706233121</v>
      </c>
      <c r="O116" s="696"/>
      <c r="P116" s="696"/>
      <c r="Q116" s="154"/>
      <c r="R116" s="92"/>
      <c r="S116" s="155"/>
      <c r="T116" s="373"/>
      <c r="U116" s="154"/>
      <c r="V116" s="154"/>
      <c r="W116" s="213"/>
    </row>
    <row r="117" spans="2:23" x14ac:dyDescent="0.2">
      <c r="B117" s="83" t="s">
        <v>294</v>
      </c>
      <c r="C117" s="361"/>
      <c r="D117" s="104"/>
      <c r="E117" s="63"/>
      <c r="F117" s="368"/>
      <c r="G117" s="154"/>
      <c r="H117" s="687">
        <f>H$102*E116</f>
        <v>71642.681600000011</v>
      </c>
      <c r="I117" s="687">
        <f>I$102*E116</f>
        <v>65412.883199999997</v>
      </c>
      <c r="J117" s="598">
        <f>J$102*E116</f>
        <v>20469.337599999999</v>
      </c>
      <c r="K117" s="92"/>
      <c r="L117" s="63"/>
      <c r="M117" s="368"/>
      <c r="N117" s="154"/>
      <c r="O117" s="687">
        <f>O$102*L116</f>
        <v>40617.528839999999</v>
      </c>
      <c r="P117" s="687">
        <f>P$102*L116</f>
        <v>154088.72052</v>
      </c>
      <c r="Q117" s="598">
        <f>Q$102*L116</f>
        <v>19878.9493</v>
      </c>
      <c r="R117" s="92"/>
      <c r="S117" s="154"/>
      <c r="T117" s="373"/>
      <c r="U117" s="154"/>
      <c r="V117" s="208"/>
      <c r="W117" s="214"/>
    </row>
    <row r="118" spans="2:23" x14ac:dyDescent="0.2">
      <c r="B118" s="15" t="str">
        <f>"Total "&amp;B105</f>
        <v>Total Schedule 85 - Sales</v>
      </c>
      <c r="C118" s="384"/>
      <c r="D118" s="104"/>
      <c r="E118" s="63"/>
      <c r="F118" s="368"/>
      <c r="G118" s="154"/>
      <c r="H118" s="685"/>
      <c r="I118" s="689">
        <f>G116+H117+I117</f>
        <v>1604061.6653731624</v>
      </c>
      <c r="J118" s="17"/>
      <c r="K118" s="92"/>
      <c r="L118" s="63"/>
      <c r="M118" s="368"/>
      <c r="N118" s="154"/>
      <c r="O118" s="685"/>
      <c r="P118" s="689">
        <f>N116+O117+P117</f>
        <v>1626020.7199833121</v>
      </c>
      <c r="Q118" s="17"/>
      <c r="R118" s="92"/>
      <c r="S118" s="154"/>
      <c r="T118" s="373"/>
      <c r="U118" s="154"/>
      <c r="V118" s="109"/>
      <c r="W118" s="349"/>
    </row>
    <row r="119" spans="2:23" x14ac:dyDescent="0.2">
      <c r="B119" s="99"/>
      <c r="C119" s="366"/>
      <c r="D119" s="218"/>
      <c r="E119" s="206"/>
      <c r="F119" s="366"/>
      <c r="G119" s="206"/>
      <c r="H119" s="697"/>
      <c r="I119" s="697"/>
      <c r="J119" s="206"/>
      <c r="K119" s="206"/>
      <c r="L119" s="206"/>
      <c r="M119" s="366"/>
      <c r="N119" s="206"/>
      <c r="O119" s="697"/>
      <c r="P119" s="697"/>
      <c r="Q119" s="206"/>
      <c r="R119" s="206"/>
      <c r="S119" s="206"/>
      <c r="T119" s="366"/>
      <c r="U119" s="107"/>
      <c r="V119" s="107"/>
      <c r="W119" s="463"/>
    </row>
    <row r="120" spans="2:23" x14ac:dyDescent="0.2">
      <c r="B120" s="92"/>
      <c r="C120" s="361"/>
      <c r="D120" s="88"/>
      <c r="G120" s="93"/>
      <c r="H120" s="692"/>
      <c r="I120" s="692"/>
      <c r="J120" s="93"/>
      <c r="K120" s="93"/>
      <c r="N120" s="93"/>
      <c r="O120" s="692"/>
      <c r="P120" s="692"/>
      <c r="Q120" s="93"/>
      <c r="R120" s="93"/>
      <c r="U120" s="93"/>
      <c r="V120" s="93"/>
      <c r="W120" s="93"/>
    </row>
    <row r="121" spans="2:23" x14ac:dyDescent="0.2">
      <c r="B121" s="78" t="s">
        <v>63</v>
      </c>
      <c r="C121" s="383"/>
      <c r="D121" s="461"/>
      <c r="E121" s="221"/>
      <c r="F121" s="367"/>
      <c r="G121" s="221"/>
      <c r="H121" s="690"/>
      <c r="I121" s="690"/>
      <c r="J121" s="242"/>
      <c r="K121" s="221"/>
      <c r="L121" s="221"/>
      <c r="M121" s="367"/>
      <c r="N121" s="221"/>
      <c r="O121" s="690"/>
      <c r="P121" s="690"/>
      <c r="Q121" s="242"/>
      <c r="R121" s="221"/>
      <c r="S121" s="221"/>
      <c r="T121" s="367"/>
      <c r="U121" s="242"/>
      <c r="V121" s="242"/>
      <c r="W121" s="462"/>
    </row>
    <row r="122" spans="2:23" x14ac:dyDescent="0.2">
      <c r="B122" s="83"/>
      <c r="C122" s="361"/>
      <c r="D122" s="88"/>
      <c r="E122" s="92"/>
      <c r="F122" s="361"/>
      <c r="G122" s="92"/>
      <c r="H122" s="693"/>
      <c r="I122" s="693"/>
      <c r="J122" s="92"/>
      <c r="K122" s="92"/>
      <c r="L122" s="92"/>
      <c r="M122" s="361"/>
      <c r="N122" s="92"/>
      <c r="O122" s="693"/>
      <c r="P122" s="693"/>
      <c r="Q122" s="92"/>
      <c r="R122" s="92"/>
      <c r="S122" s="92"/>
      <c r="T122" s="361"/>
      <c r="U122" s="92"/>
      <c r="V122" s="92"/>
      <c r="W122" s="217"/>
    </row>
    <row r="123" spans="2:23" x14ac:dyDescent="0.2">
      <c r="B123" s="79" t="s">
        <v>20</v>
      </c>
      <c r="C123" s="381">
        <f>'Exh JDT-5 (JDT-INTRPL-RD)'!E28</f>
        <v>903.09</v>
      </c>
      <c r="D123" s="104">
        <f>'Exh JDT-5 (JDT-INTRPL-RD)'!$H$28</f>
        <v>903.09</v>
      </c>
      <c r="E123" s="63">
        <v>876</v>
      </c>
      <c r="F123" s="364">
        <f>SUM(+E123*C123)</f>
        <v>791106.84000000008</v>
      </c>
      <c r="G123" s="109">
        <f>SUM(+E123*D123)</f>
        <v>791106.84000000008</v>
      </c>
      <c r="H123" s="685"/>
      <c r="I123" s="685"/>
      <c r="J123" s="109"/>
      <c r="K123" s="92"/>
      <c r="L123" s="63">
        <v>876</v>
      </c>
      <c r="M123" s="364">
        <f>SUM(+L123*C123)</f>
        <v>791106.84000000008</v>
      </c>
      <c r="N123" s="109">
        <f>SUM(+L123*D123)</f>
        <v>791106.84000000008</v>
      </c>
      <c r="O123" s="685"/>
      <c r="P123" s="685"/>
      <c r="Q123" s="109"/>
      <c r="R123" s="92"/>
      <c r="S123" s="63"/>
      <c r="T123" s="364"/>
      <c r="U123" s="109"/>
      <c r="V123" s="109"/>
      <c r="W123" s="213"/>
    </row>
    <row r="124" spans="2:23" x14ac:dyDescent="0.2">
      <c r="B124" s="83" t="s">
        <v>43</v>
      </c>
      <c r="C124" s="381">
        <f>'Exh JDT-5 (JDT-INTRPL-RD)'!E29</f>
        <v>1.3</v>
      </c>
      <c r="D124" s="104">
        <f>'Exh JDT-5 (JDT-INTRPL-RD)'!$H$29</f>
        <v>1.44</v>
      </c>
      <c r="E124" s="63">
        <v>650832</v>
      </c>
      <c r="F124" s="364">
        <f>SUM(+E124*C124)</f>
        <v>846081.6</v>
      </c>
      <c r="G124" s="109">
        <f>SUM(+E124*D124)</f>
        <v>937198.07999999996</v>
      </c>
      <c r="H124" s="685"/>
      <c r="I124" s="685"/>
      <c r="J124" s="109"/>
      <c r="K124" s="92"/>
      <c r="L124" s="63">
        <v>650832</v>
      </c>
      <c r="M124" s="364">
        <f>SUM(+L124*C124)</f>
        <v>846081.6</v>
      </c>
      <c r="N124" s="109">
        <f>SUM(+L124*D124)</f>
        <v>937198.07999999996</v>
      </c>
      <c r="O124" s="685"/>
      <c r="P124" s="685"/>
      <c r="Q124" s="109"/>
      <c r="R124" s="92"/>
      <c r="S124" s="63"/>
      <c r="T124" s="364"/>
      <c r="U124" s="109"/>
      <c r="V124" s="109"/>
      <c r="W124" s="213"/>
    </row>
    <row r="125" spans="2:23" x14ac:dyDescent="0.2">
      <c r="B125" s="83" t="s">
        <v>59</v>
      </c>
      <c r="C125" s="361"/>
      <c r="D125" s="104"/>
      <c r="E125" s="63"/>
      <c r="F125" s="364">
        <f>G125</f>
        <v>-10601.630000000003</v>
      </c>
      <c r="G125" s="109">
        <v>-10601.630000000003</v>
      </c>
      <c r="H125" s="685"/>
      <c r="I125" s="685"/>
      <c r="J125" s="109"/>
      <c r="K125" s="92"/>
      <c r="L125" s="63"/>
      <c r="M125" s="364">
        <f>N125</f>
        <v>-10601.630000000003</v>
      </c>
      <c r="N125" s="109">
        <v>-10601.630000000003</v>
      </c>
      <c r="O125" s="685"/>
      <c r="P125" s="685"/>
      <c r="Q125" s="109"/>
      <c r="R125" s="92"/>
      <c r="S125" s="63"/>
      <c r="T125" s="364"/>
      <c r="U125" s="109"/>
      <c r="V125" s="109"/>
      <c r="W125" s="213"/>
    </row>
    <row r="126" spans="2:23" x14ac:dyDescent="0.2">
      <c r="B126" s="83"/>
      <c r="C126" s="361"/>
      <c r="D126" s="104"/>
      <c r="E126" s="63"/>
      <c r="F126" s="368"/>
      <c r="G126" s="109"/>
      <c r="H126" s="685"/>
      <c r="I126" s="685"/>
      <c r="J126" s="109"/>
      <c r="K126" s="92"/>
      <c r="L126" s="63"/>
      <c r="M126" s="368"/>
      <c r="N126" s="109"/>
      <c r="O126" s="685"/>
      <c r="P126" s="685"/>
      <c r="Q126" s="109"/>
      <c r="R126" s="92"/>
      <c r="S126" s="63"/>
      <c r="T126" s="368"/>
      <c r="U126" s="109"/>
      <c r="V126" s="109"/>
      <c r="W126" s="213"/>
    </row>
    <row r="127" spans="2:23" x14ac:dyDescent="0.2">
      <c r="B127" s="83" t="s">
        <v>45</v>
      </c>
      <c r="C127" s="361"/>
      <c r="D127" s="104"/>
      <c r="E127" s="92"/>
      <c r="F127" s="361"/>
      <c r="G127" s="92"/>
      <c r="H127" s="693"/>
      <c r="I127" s="693"/>
      <c r="J127" s="92"/>
      <c r="K127" s="92"/>
      <c r="L127" s="92"/>
      <c r="M127" s="361"/>
      <c r="N127" s="92"/>
      <c r="O127" s="693"/>
      <c r="P127" s="693"/>
      <c r="Q127" s="92"/>
      <c r="R127" s="92"/>
      <c r="S127" s="92"/>
      <c r="T127" s="361"/>
      <c r="U127" s="92"/>
      <c r="V127" s="92"/>
      <c r="W127" s="217"/>
    </row>
    <row r="128" spans="2:23" x14ac:dyDescent="0.2">
      <c r="B128" s="83" t="s">
        <v>60</v>
      </c>
      <c r="C128" s="369">
        <f>'Exh JDT-5 (JDT-INTRPL-RD)'!E33</f>
        <v>0.1084</v>
      </c>
      <c r="D128" s="88">
        <f>'Exh JDT-5 (JDT-INTRPL-RD)'!$H$33</f>
        <v>0.12488</v>
      </c>
      <c r="E128" s="63">
        <v>22292868.215119526</v>
      </c>
      <c r="F128" s="364">
        <f t="shared" ref="F128:F130" si="10">SUM(+E128*C128)</f>
        <v>2416546.9145189566</v>
      </c>
      <c r="G128" s="109">
        <f>SUM(+E128*D128)</f>
        <v>2783933.3827041266</v>
      </c>
      <c r="H128" s="685"/>
      <c r="I128" s="685"/>
      <c r="J128" s="109"/>
      <c r="K128" s="92"/>
      <c r="L128" s="63">
        <v>22106956.690598253</v>
      </c>
      <c r="M128" s="364">
        <f>SUM(+L128*C128)</f>
        <v>2396394.1052608504</v>
      </c>
      <c r="N128" s="109">
        <f>SUM(+L128*D128)</f>
        <v>2760716.7515219101</v>
      </c>
      <c r="O128" s="685"/>
      <c r="P128" s="685"/>
      <c r="Q128" s="109"/>
      <c r="R128" s="92"/>
      <c r="S128" s="63"/>
      <c r="T128" s="364"/>
      <c r="U128" s="109"/>
      <c r="V128" s="109"/>
      <c r="W128" s="213"/>
    </row>
    <row r="129" spans="2:23" x14ac:dyDescent="0.2">
      <c r="B129" s="83" t="s">
        <v>61</v>
      </c>
      <c r="C129" s="369">
        <f>'Exh JDT-5 (JDT-INTRPL-RD)'!E34</f>
        <v>5.3650000000000003E-2</v>
      </c>
      <c r="D129" s="88">
        <f>'Exh JDT-5 (JDT-INTRPL-RD)'!$H$34</f>
        <v>5.9339999999999997E-2</v>
      </c>
      <c r="E129" s="63">
        <v>15820769.939721871</v>
      </c>
      <c r="F129" s="364">
        <f t="shared" si="10"/>
        <v>848784.30726607842</v>
      </c>
      <c r="G129" s="109">
        <f>SUM(+E129*D129)</f>
        <v>938804.48822309577</v>
      </c>
      <c r="H129" s="685"/>
      <c r="I129" s="685"/>
      <c r="J129" s="109"/>
      <c r="K129" s="92"/>
      <c r="L129" s="63">
        <v>15692698.519526683</v>
      </c>
      <c r="M129" s="364">
        <f t="shared" ref="M129:M130" si="11">SUM(+L129*C129)</f>
        <v>841913.2755726066</v>
      </c>
      <c r="N129" s="109">
        <f>SUM(+L129*D129)</f>
        <v>931204.73014871334</v>
      </c>
      <c r="O129" s="685"/>
      <c r="P129" s="685"/>
      <c r="Q129" s="109"/>
      <c r="R129" s="92"/>
      <c r="S129" s="63"/>
      <c r="T129" s="364"/>
      <c r="U129" s="109"/>
      <c r="V129" s="109"/>
      <c r="W129" s="213"/>
    </row>
    <row r="130" spans="2:23" x14ac:dyDescent="0.2">
      <c r="B130" s="83" t="s">
        <v>64</v>
      </c>
      <c r="C130" s="369">
        <f>'Exh JDT-5 (JDT-INTRPL-RD)'!E35</f>
        <v>5.1319999999999998E-2</v>
      </c>
      <c r="D130" s="88">
        <f>'Exh JDT-5 (JDT-INTRPL-RD)'!$H$35</f>
        <v>5.6770000000000001E-2</v>
      </c>
      <c r="E130" s="63">
        <v>24673879.845158603</v>
      </c>
      <c r="F130" s="364">
        <f t="shared" si="10"/>
        <v>1266263.5136535394</v>
      </c>
      <c r="G130" s="109">
        <f>SUM(+E130*D130)</f>
        <v>1400736.1588096539</v>
      </c>
      <c r="H130" s="685"/>
      <c r="I130" s="685"/>
      <c r="J130" s="109"/>
      <c r="K130" s="92"/>
      <c r="L130" s="63">
        <v>24489270.789875064</v>
      </c>
      <c r="M130" s="364">
        <f t="shared" si="11"/>
        <v>1256789.3769363882</v>
      </c>
      <c r="N130" s="109">
        <f>SUM(+L130*D130)</f>
        <v>1390255.9027412075</v>
      </c>
      <c r="O130" s="685"/>
      <c r="P130" s="685"/>
      <c r="Q130" s="109"/>
      <c r="R130" s="92"/>
      <c r="S130" s="63"/>
      <c r="T130" s="362"/>
      <c r="U130" s="208"/>
      <c r="V130" s="109"/>
      <c r="W130" s="213"/>
    </row>
    <row r="131" spans="2:23" x14ac:dyDescent="0.2">
      <c r="B131" s="79" t="s">
        <v>27</v>
      </c>
      <c r="C131" s="385"/>
      <c r="D131" s="104"/>
      <c r="E131" s="170">
        <f>SUM(E128:E130)</f>
        <v>62787518</v>
      </c>
      <c r="F131" s="370">
        <f>SUM(F123:F130)</f>
        <v>6158181.5454385746</v>
      </c>
      <c r="G131" s="155">
        <f>SUM(G123:G130)</f>
        <v>6841177.3197368756</v>
      </c>
      <c r="H131" s="696"/>
      <c r="I131" s="696"/>
      <c r="J131" s="154"/>
      <c r="K131" s="92"/>
      <c r="L131" s="170">
        <f>SUM(L128:L130)</f>
        <v>62288926</v>
      </c>
      <c r="M131" s="370">
        <f>SUM(M123:M130)</f>
        <v>6121683.567769845</v>
      </c>
      <c r="N131" s="155">
        <f>SUM(N123:N130)</f>
        <v>6799880.6744118314</v>
      </c>
      <c r="O131" s="696"/>
      <c r="P131" s="696"/>
      <c r="Q131" s="154"/>
      <c r="R131" s="92"/>
      <c r="S131" s="170"/>
      <c r="T131" s="373"/>
      <c r="U131" s="154"/>
      <c r="V131" s="154"/>
      <c r="W131" s="213"/>
    </row>
    <row r="132" spans="2:23" x14ac:dyDescent="0.2">
      <c r="B132" s="79"/>
      <c r="C132" s="385"/>
      <c r="D132" s="104"/>
      <c r="E132" s="63"/>
      <c r="F132" s="368"/>
      <c r="G132" s="154"/>
      <c r="H132" s="696"/>
      <c r="I132" s="696"/>
      <c r="J132" s="154"/>
      <c r="K132" s="92"/>
      <c r="L132" s="63"/>
      <c r="M132" s="368"/>
      <c r="N132" s="154"/>
      <c r="O132" s="696"/>
      <c r="P132" s="696"/>
      <c r="Q132" s="154"/>
      <c r="R132" s="92"/>
      <c r="S132" s="63"/>
      <c r="T132" s="390"/>
      <c r="U132" s="460"/>
      <c r="V132" s="154"/>
      <c r="W132" s="464"/>
    </row>
    <row r="133" spans="2:23" x14ac:dyDescent="0.2">
      <c r="B133" s="354" t="s">
        <v>25</v>
      </c>
      <c r="C133" s="388"/>
      <c r="D133" s="104"/>
      <c r="E133" s="63"/>
      <c r="F133" s="370">
        <f>F131</f>
        <v>6158181.5454385746</v>
      </c>
      <c r="G133" s="155">
        <f>G131</f>
        <v>6841177.3197368756</v>
      </c>
      <c r="H133" s="696"/>
      <c r="I133" s="696"/>
      <c r="J133" s="154"/>
      <c r="K133" s="92"/>
      <c r="L133" s="63"/>
      <c r="M133" s="370">
        <f>M131</f>
        <v>6121683.567769845</v>
      </c>
      <c r="N133" s="155">
        <f>N131</f>
        <v>6799880.6744118314</v>
      </c>
      <c r="O133" s="696"/>
      <c r="P133" s="696"/>
      <c r="Q133" s="154"/>
      <c r="R133" s="92"/>
      <c r="S133" s="63"/>
      <c r="T133" s="373"/>
      <c r="U133" s="154"/>
      <c r="V133" s="154"/>
      <c r="W133" s="464"/>
    </row>
    <row r="134" spans="2:23" x14ac:dyDescent="0.2">
      <c r="B134" s="83" t="s">
        <v>294</v>
      </c>
      <c r="C134" s="361"/>
      <c r="D134" s="104"/>
      <c r="E134" s="63"/>
      <c r="F134" s="368"/>
      <c r="G134" s="154"/>
      <c r="H134" s="687">
        <f>H$102*E131</f>
        <v>404351.61592000001</v>
      </c>
      <c r="I134" s="687">
        <f>I$102*E131</f>
        <v>369190.60583999997</v>
      </c>
      <c r="J134" s="109"/>
      <c r="K134" s="92"/>
      <c r="L134" s="63"/>
      <c r="M134" s="368"/>
      <c r="N134" s="154"/>
      <c r="O134" s="687">
        <f>O$102*L131</f>
        <v>235452.14027999999</v>
      </c>
      <c r="P134" s="687">
        <f>P$102*L131</f>
        <v>893223.19883999997</v>
      </c>
      <c r="Q134" s="109"/>
      <c r="R134" s="92"/>
      <c r="S134" s="63"/>
      <c r="T134" s="368"/>
      <c r="U134" s="63"/>
      <c r="V134" s="208"/>
      <c r="W134" s="214"/>
    </row>
    <row r="135" spans="2:23" x14ac:dyDescent="0.2">
      <c r="B135" s="15" t="str">
        <f>"Total "&amp;B121</f>
        <v>Total Schedule 85 - Transportation</v>
      </c>
      <c r="C135" s="384"/>
      <c r="D135" s="104"/>
      <c r="E135" s="63"/>
      <c r="F135" s="368"/>
      <c r="G135" s="154"/>
      <c r="H135" s="685"/>
      <c r="I135" s="689">
        <f>G133+H134+I134</f>
        <v>7614719.5414968757</v>
      </c>
      <c r="J135" s="17"/>
      <c r="K135" s="92"/>
      <c r="L135" s="63"/>
      <c r="M135" s="368"/>
      <c r="N135" s="154"/>
      <c r="O135" s="685"/>
      <c r="P135" s="689">
        <f>N133+O134+P134</f>
        <v>7928556.0135318311</v>
      </c>
      <c r="Q135" s="17"/>
      <c r="R135" s="92"/>
      <c r="S135" s="63"/>
      <c r="T135" s="368"/>
      <c r="U135" s="63"/>
      <c r="V135" s="348"/>
      <c r="W135" s="465"/>
    </row>
    <row r="136" spans="2:23" x14ac:dyDescent="0.2">
      <c r="B136" s="99"/>
      <c r="C136" s="366"/>
      <c r="D136" s="218"/>
      <c r="E136" s="206"/>
      <c r="F136" s="366"/>
      <c r="G136" s="206"/>
      <c r="H136" s="697"/>
      <c r="I136" s="697"/>
      <c r="J136" s="206"/>
      <c r="K136" s="206"/>
      <c r="L136" s="206"/>
      <c r="M136" s="366"/>
      <c r="N136" s="206"/>
      <c r="O136" s="697"/>
      <c r="P136" s="697"/>
      <c r="Q136" s="206"/>
      <c r="R136" s="206"/>
      <c r="S136" s="206"/>
      <c r="T136" s="366"/>
      <c r="U136" s="107"/>
      <c r="V136" s="107"/>
      <c r="W136" s="463"/>
    </row>
    <row r="137" spans="2:23" x14ac:dyDescent="0.2">
      <c r="B137" s="92"/>
      <c r="C137" s="361"/>
      <c r="D137" s="88"/>
      <c r="G137" s="93"/>
      <c r="H137" s="685"/>
      <c r="I137" s="685"/>
      <c r="J137" s="109"/>
      <c r="K137" s="93"/>
      <c r="N137" s="93"/>
      <c r="O137" s="692"/>
      <c r="P137" s="692"/>
      <c r="Q137" s="109"/>
      <c r="R137" s="93"/>
      <c r="U137" s="93"/>
      <c r="V137" s="93"/>
      <c r="W137" s="93"/>
    </row>
    <row r="138" spans="2:23" x14ac:dyDescent="0.2">
      <c r="B138" s="334" t="s">
        <v>125</v>
      </c>
      <c r="C138" s="379"/>
      <c r="D138" s="335"/>
      <c r="E138" s="247">
        <f>E146+E166</f>
        <v>6233899</v>
      </c>
      <c r="F138" s="360"/>
      <c r="G138" s="336"/>
      <c r="H138" s="681">
        <f>'Exh JDT-5 (JDT-Rate Spread)'!J70</f>
        <v>32727.069526211297</v>
      </c>
      <c r="I138" s="681">
        <f>'Exh JDT-5 (JDT-Rate Spread)'!J81</f>
        <v>29901.242234689889</v>
      </c>
      <c r="J138" s="597">
        <f>'Exh JDT-5 (JDT-Rate Spread)'!J86</f>
        <v>2774.6506744699045</v>
      </c>
      <c r="K138" s="337"/>
      <c r="L138" s="247">
        <f>L146+L166</f>
        <v>6068110</v>
      </c>
      <c r="M138" s="360"/>
      <c r="N138" s="337"/>
      <c r="O138" s="681">
        <f>'Exh JDT-5 (JDT-Rate Spread)'!J74</f>
        <v>18973.443826302861</v>
      </c>
      <c r="P138" s="681">
        <f>'Exh JDT-5 (JDT-Rate Spread)'!J82</f>
        <v>71997.965081788658</v>
      </c>
      <c r="Q138" s="597">
        <f>'Exh JDT-5 (JDT-Rate Spread)'!J87</f>
        <v>2696.3070268991123</v>
      </c>
      <c r="R138" s="337"/>
      <c r="S138" s="247"/>
      <c r="T138" s="360"/>
      <c r="U138" s="338"/>
      <c r="V138" s="336"/>
      <c r="W138" s="339"/>
    </row>
    <row r="139" spans="2:23" x14ac:dyDescent="0.2">
      <c r="B139" s="83"/>
      <c r="C139" s="361"/>
      <c r="D139" s="92"/>
      <c r="E139" s="92"/>
      <c r="F139" s="361"/>
      <c r="G139" s="149" t="s">
        <v>114</v>
      </c>
      <c r="H139" s="682">
        <f>ROUND(H138/E138, 5)</f>
        <v>5.2500000000000003E-3</v>
      </c>
      <c r="I139" s="682">
        <f>ROUND(I138/E138, 5)</f>
        <v>4.7999999999999996E-3</v>
      </c>
      <c r="J139" s="587">
        <f>ROUND(J138/E152, 5)</f>
        <v>4.8999999999999998E-4</v>
      </c>
      <c r="L139" s="92"/>
      <c r="M139" s="361"/>
      <c r="N139" s="104"/>
      <c r="O139" s="682">
        <f>ROUND(O138/L138, 5)</f>
        <v>3.13E-3</v>
      </c>
      <c r="P139" s="682">
        <f>ROUND(P138/L138, 5)</f>
        <v>1.1860000000000001E-2</v>
      </c>
      <c r="Q139" s="587">
        <f>ROUND(Q138/L152, 5)</f>
        <v>4.8999999999999998E-4</v>
      </c>
      <c r="S139" s="92"/>
      <c r="T139" s="361"/>
      <c r="U139" s="104"/>
      <c r="V139" s="88"/>
      <c r="W139" s="527"/>
    </row>
    <row r="140" spans="2:23" x14ac:dyDescent="0.2">
      <c r="B140" s="99"/>
      <c r="C140" s="366"/>
      <c r="D140" s="206"/>
      <c r="E140" s="342" t="s">
        <v>116</v>
      </c>
      <c r="F140" s="362">
        <f>F152+F168</f>
        <v>1247670.0419045878</v>
      </c>
      <c r="G140" s="208">
        <f>G152+G168</f>
        <v>1301149.7270639944</v>
      </c>
      <c r="H140" s="683"/>
      <c r="I140" s="683"/>
      <c r="J140" s="343"/>
      <c r="K140" s="344"/>
      <c r="L140" s="342" t="s">
        <v>116</v>
      </c>
      <c r="M140" s="362">
        <f>M152+M168</f>
        <v>1211985.7785573273</v>
      </c>
      <c r="N140" s="208">
        <f>N152+N168</f>
        <v>1264029.5076047436</v>
      </c>
      <c r="O140" s="683"/>
      <c r="P140" s="683"/>
      <c r="Q140" s="343"/>
      <c r="R140" s="344"/>
      <c r="S140" s="342"/>
      <c r="T140" s="362"/>
      <c r="U140" s="208"/>
      <c r="V140" s="343"/>
      <c r="W140" s="214"/>
    </row>
    <row r="141" spans="2:23" x14ac:dyDescent="0.2">
      <c r="B141" s="352"/>
      <c r="C141" s="387"/>
      <c r="D141" s="353"/>
      <c r="E141" s="221"/>
      <c r="F141" s="367"/>
      <c r="G141" s="221"/>
      <c r="H141" s="690"/>
      <c r="I141" s="690"/>
      <c r="J141" s="242"/>
      <c r="K141" s="221"/>
      <c r="L141" s="221"/>
      <c r="M141" s="367"/>
      <c r="N141" s="221"/>
      <c r="O141" s="690"/>
      <c r="P141" s="690"/>
      <c r="Q141" s="242"/>
      <c r="R141" s="221"/>
      <c r="S141" s="221"/>
      <c r="T141" s="367"/>
      <c r="U141" s="242"/>
      <c r="V141" s="242"/>
      <c r="W141" s="221"/>
    </row>
    <row r="142" spans="2:23" x14ac:dyDescent="0.2">
      <c r="B142" s="78" t="s">
        <v>66</v>
      </c>
      <c r="C142" s="383"/>
      <c r="D142" s="461"/>
      <c r="E142" s="221"/>
      <c r="F142" s="367"/>
      <c r="G142" s="221"/>
      <c r="H142" s="690"/>
      <c r="I142" s="690"/>
      <c r="J142" s="242"/>
      <c r="K142" s="221"/>
      <c r="L142" s="221"/>
      <c r="M142" s="367"/>
      <c r="N142" s="221"/>
      <c r="O142" s="690"/>
      <c r="P142" s="690"/>
      <c r="Q142" s="242"/>
      <c r="R142" s="221"/>
      <c r="S142" s="221"/>
      <c r="T142" s="367"/>
      <c r="U142" s="242"/>
      <c r="V142" s="242"/>
      <c r="W142" s="462"/>
    </row>
    <row r="143" spans="2:23" x14ac:dyDescent="0.2">
      <c r="B143" s="83"/>
      <c r="C143" s="361"/>
      <c r="D143" s="88"/>
      <c r="E143" s="92"/>
      <c r="F143" s="361"/>
      <c r="G143" s="92"/>
      <c r="H143" s="693"/>
      <c r="I143" s="693"/>
      <c r="J143" s="92"/>
      <c r="K143" s="92"/>
      <c r="L143" s="92"/>
      <c r="M143" s="361"/>
      <c r="N143" s="92"/>
      <c r="O143" s="693"/>
      <c r="P143" s="693"/>
      <c r="Q143" s="92"/>
      <c r="R143" s="92"/>
      <c r="S143" s="92"/>
      <c r="T143" s="361"/>
      <c r="U143" s="92"/>
      <c r="V143" s="92"/>
      <c r="W143" s="217"/>
    </row>
    <row r="144" spans="2:23" x14ac:dyDescent="0.2">
      <c r="B144" s="79" t="s">
        <v>20</v>
      </c>
      <c r="C144" s="381">
        <f>'Exh JDT-5 (JDT-INTRPL-RD)'!E59</f>
        <v>148.82</v>
      </c>
      <c r="D144" s="104">
        <f>'Exh JDT-5 (JDT-INTRPL-RD)'!$H$59</f>
        <v>148.82</v>
      </c>
      <c r="E144" s="63">
        <v>1194</v>
      </c>
      <c r="F144" s="364">
        <f t="shared" ref="F144:F146" si="12">SUM(+E144*C144)</f>
        <v>177691.08</v>
      </c>
      <c r="G144" s="109">
        <f>SUM(+E144*D144)</f>
        <v>177691.08</v>
      </c>
      <c r="H144" s="685"/>
      <c r="I144" s="685"/>
      <c r="J144" s="109"/>
      <c r="K144" s="92"/>
      <c r="L144" s="63">
        <v>1128</v>
      </c>
      <c r="M144" s="364">
        <f t="shared" ref="M144:M146" si="13">SUM(+L144*C144)</f>
        <v>167868.96</v>
      </c>
      <c r="N144" s="109">
        <f>SUM(+L144*D144)</f>
        <v>167868.96</v>
      </c>
      <c r="O144" s="685"/>
      <c r="P144" s="685"/>
      <c r="Q144" s="109"/>
      <c r="R144" s="92"/>
      <c r="S144" s="63"/>
      <c r="T144" s="364"/>
      <c r="U144" s="109"/>
      <c r="V144" s="109"/>
      <c r="W144" s="213"/>
    </row>
    <row r="145" spans="2:23" x14ac:dyDescent="0.2">
      <c r="B145" s="83" t="s">
        <v>43</v>
      </c>
      <c r="C145" s="369">
        <f>'Exh JDT-5 (JDT-INTRPL-RD)'!E60</f>
        <v>1.35</v>
      </c>
      <c r="D145" s="88">
        <f>'Exh JDT-5 (JDT-INTRPL-RD)'!$H$60</f>
        <v>1.35</v>
      </c>
      <c r="E145" s="63">
        <v>38184</v>
      </c>
      <c r="F145" s="364">
        <f t="shared" si="12"/>
        <v>51548.4</v>
      </c>
      <c r="G145" s="109">
        <f>SUM(+E145*D145)</f>
        <v>51548.4</v>
      </c>
      <c r="H145" s="685"/>
      <c r="I145" s="685"/>
      <c r="J145" s="109"/>
      <c r="K145" s="92"/>
      <c r="L145" s="63">
        <v>38184</v>
      </c>
      <c r="M145" s="364">
        <f t="shared" si="13"/>
        <v>51548.4</v>
      </c>
      <c r="N145" s="109">
        <f>SUM(+L145*D145)</f>
        <v>51548.4</v>
      </c>
      <c r="O145" s="685"/>
      <c r="P145" s="685"/>
      <c r="Q145" s="109"/>
      <c r="R145" s="92"/>
      <c r="S145" s="63"/>
      <c r="T145" s="364"/>
      <c r="U145" s="109"/>
      <c r="V145" s="109"/>
      <c r="W145" s="213"/>
    </row>
    <row r="146" spans="2:23" x14ac:dyDescent="0.2">
      <c r="B146" s="83" t="s">
        <v>36</v>
      </c>
      <c r="C146" s="369">
        <f>'Exh JDT-5 (JDT-INTRPL-RD)'!E61</f>
        <v>1.222E-2</v>
      </c>
      <c r="D146" s="88">
        <f>'Exh JDT-5 (JDT-INTRPL-RD)'!$H$61</f>
        <v>1.222E-2</v>
      </c>
      <c r="E146" s="63">
        <f>E152</f>
        <v>5691490</v>
      </c>
      <c r="F146" s="364">
        <f t="shared" si="12"/>
        <v>69550.007800000007</v>
      </c>
      <c r="G146" s="109">
        <f>SUM(+E146*D146)</f>
        <v>69550.007800000007</v>
      </c>
      <c r="H146" s="685"/>
      <c r="I146" s="685"/>
      <c r="J146" s="109"/>
      <c r="K146" s="92"/>
      <c r="L146" s="63">
        <f>L152</f>
        <v>5489408</v>
      </c>
      <c r="M146" s="364">
        <f t="shared" si="13"/>
        <v>67080.565759999998</v>
      </c>
      <c r="N146" s="109">
        <f>SUM(+L146*D146)</f>
        <v>67080.565759999998</v>
      </c>
      <c r="O146" s="685"/>
      <c r="P146" s="685"/>
      <c r="Q146" s="109"/>
      <c r="R146" s="92"/>
      <c r="S146" s="63"/>
      <c r="T146" s="364"/>
      <c r="U146" s="109"/>
      <c r="V146" s="109"/>
      <c r="W146" s="213"/>
    </row>
    <row r="147" spans="2:23" x14ac:dyDescent="0.2">
      <c r="B147" s="83" t="s">
        <v>59</v>
      </c>
      <c r="C147" s="361"/>
      <c r="D147" s="88"/>
      <c r="E147" s="63"/>
      <c r="F147" s="368">
        <f>G147</f>
        <v>7612.77</v>
      </c>
      <c r="G147" s="109">
        <v>7612.77</v>
      </c>
      <c r="H147" s="685"/>
      <c r="I147" s="685"/>
      <c r="J147" s="109"/>
      <c r="K147" s="92"/>
      <c r="L147" s="63"/>
      <c r="M147" s="368">
        <f>N147</f>
        <v>7612.77</v>
      </c>
      <c r="N147" s="109">
        <v>7612.77</v>
      </c>
      <c r="O147" s="685"/>
      <c r="P147" s="685"/>
      <c r="Q147" s="109"/>
      <c r="R147" s="92"/>
      <c r="S147" s="63"/>
      <c r="T147" s="368"/>
      <c r="U147" s="109"/>
      <c r="V147" s="109"/>
      <c r="W147" s="213"/>
    </row>
    <row r="148" spans="2:23" x14ac:dyDescent="0.2">
      <c r="B148" s="83"/>
      <c r="C148" s="361"/>
      <c r="D148" s="88"/>
      <c r="E148" s="92"/>
      <c r="F148" s="361"/>
      <c r="G148" s="92"/>
      <c r="H148" s="693"/>
      <c r="I148" s="693"/>
      <c r="J148" s="92"/>
      <c r="K148" s="92"/>
      <c r="L148" s="92"/>
      <c r="M148" s="361"/>
      <c r="N148" s="92"/>
      <c r="O148" s="693"/>
      <c r="P148" s="693"/>
      <c r="Q148" s="92"/>
      <c r="R148" s="92"/>
      <c r="S148" s="92"/>
      <c r="T148" s="361"/>
      <c r="U148" s="92"/>
      <c r="V148" s="92"/>
      <c r="W148" s="217"/>
    </row>
    <row r="149" spans="2:23" x14ac:dyDescent="0.2">
      <c r="B149" s="83" t="s">
        <v>45</v>
      </c>
      <c r="C149" s="361"/>
      <c r="D149" s="88"/>
      <c r="E149" s="92"/>
      <c r="F149" s="361"/>
      <c r="G149" s="92"/>
      <c r="H149" s="693"/>
      <c r="I149" s="693"/>
      <c r="J149" s="92"/>
      <c r="K149" s="92"/>
      <c r="L149" s="92"/>
      <c r="M149" s="361"/>
      <c r="N149" s="92"/>
      <c r="O149" s="693"/>
      <c r="P149" s="693"/>
      <c r="Q149" s="92"/>
      <c r="R149" s="92"/>
      <c r="S149" s="92"/>
      <c r="T149" s="361"/>
      <c r="U149" s="92"/>
      <c r="V149" s="92"/>
      <c r="W149" s="217"/>
    </row>
    <row r="150" spans="2:23" x14ac:dyDescent="0.2">
      <c r="B150" s="83" t="s">
        <v>68</v>
      </c>
      <c r="C150" s="369">
        <f>'Exh JDT-5 (JDT-INTRPL-RD)'!E65</f>
        <v>0.18382000000000001</v>
      </c>
      <c r="D150" s="88">
        <f>'Exh JDT-5 (JDT-INTRPL-RD)'!$H$65</f>
        <v>0.1951</v>
      </c>
      <c r="E150" s="63">
        <v>1046420.020336004</v>
      </c>
      <c r="F150" s="364">
        <f t="shared" ref="F150:F151" si="14">SUM(+E150*C150)</f>
        <v>192352.92813816425</v>
      </c>
      <c r="G150" s="109">
        <f>SUM(+E150*D150)</f>
        <v>204156.54596755438</v>
      </c>
      <c r="H150" s="685"/>
      <c r="I150" s="685"/>
      <c r="J150" s="109"/>
      <c r="K150" s="92"/>
      <c r="L150" s="63">
        <v>1009396.7998300681</v>
      </c>
      <c r="M150" s="364">
        <f t="shared" ref="M150:M151" si="15">SUM(+L150*C150)</f>
        <v>185547.31974476314</v>
      </c>
      <c r="N150" s="109">
        <f>SUM(+L150*D150)</f>
        <v>196933.31564684628</v>
      </c>
      <c r="O150" s="685"/>
      <c r="P150" s="685"/>
      <c r="Q150" s="109"/>
      <c r="R150" s="92"/>
      <c r="S150" s="63"/>
      <c r="T150" s="364"/>
      <c r="U150" s="109"/>
      <c r="V150" s="109"/>
      <c r="W150" s="217"/>
    </row>
    <row r="151" spans="2:23" x14ac:dyDescent="0.2">
      <c r="B151" s="83" t="s">
        <v>69</v>
      </c>
      <c r="C151" s="369">
        <f>'Exh JDT-5 (JDT-INTRPL-RD)'!E66</f>
        <v>0.13031000000000001</v>
      </c>
      <c r="D151" s="88">
        <f>'Exh JDT-5 (JDT-INTRPL-RD)'!$H$66</f>
        <v>0.13830999999999999</v>
      </c>
      <c r="E151" s="63">
        <v>4645069.979663996</v>
      </c>
      <c r="F151" s="364">
        <f t="shared" si="14"/>
        <v>605299.06905001542</v>
      </c>
      <c r="G151" s="109">
        <f>SUM(+E151*D151)</f>
        <v>642459.62888732727</v>
      </c>
      <c r="H151" s="685"/>
      <c r="I151" s="685"/>
      <c r="J151" s="109"/>
      <c r="K151" s="92"/>
      <c r="L151" s="63">
        <v>4480011.2001699321</v>
      </c>
      <c r="M151" s="364">
        <f t="shared" si="15"/>
        <v>583790.25949414389</v>
      </c>
      <c r="N151" s="109">
        <f>SUM(+L151*D151)</f>
        <v>619630.34909550322</v>
      </c>
      <c r="O151" s="685"/>
      <c r="P151" s="685"/>
      <c r="Q151" s="109"/>
      <c r="R151" s="92"/>
      <c r="S151" s="63"/>
      <c r="T151" s="362"/>
      <c r="U151" s="208"/>
      <c r="V151" s="109"/>
      <c r="W151" s="217"/>
    </row>
    <row r="152" spans="2:23" x14ac:dyDescent="0.2">
      <c r="B152" s="354" t="s">
        <v>25</v>
      </c>
      <c r="C152" s="388"/>
      <c r="D152" s="88"/>
      <c r="E152" s="170">
        <f>SUM(E150:E151)</f>
        <v>5691490</v>
      </c>
      <c r="F152" s="370">
        <f>SUM(F144:F151)</f>
        <v>1104054.2549881795</v>
      </c>
      <c r="G152" s="155">
        <f>SUM(G144:G151)</f>
        <v>1153018.4326548816</v>
      </c>
      <c r="H152" s="696"/>
      <c r="I152" s="696"/>
      <c r="J152" s="154"/>
      <c r="K152" s="92"/>
      <c r="L152" s="170">
        <f>SUM(L150:L151)</f>
        <v>5489408</v>
      </c>
      <c r="M152" s="370">
        <f>SUM(M144:M151)</f>
        <v>1063448.274998907</v>
      </c>
      <c r="N152" s="155">
        <f>SUM(N144:N151)</f>
        <v>1110674.3605023497</v>
      </c>
      <c r="O152" s="696"/>
      <c r="P152" s="696"/>
      <c r="Q152" s="154"/>
      <c r="R152" s="92"/>
      <c r="S152" s="170"/>
      <c r="T152" s="373"/>
      <c r="U152" s="154"/>
      <c r="V152" s="154"/>
      <c r="W152" s="217"/>
    </row>
    <row r="153" spans="2:23" x14ac:dyDescent="0.2">
      <c r="B153" s="83" t="s">
        <v>294</v>
      </c>
      <c r="C153" s="361"/>
      <c r="D153" s="104"/>
      <c r="E153" s="63"/>
      <c r="F153" s="368"/>
      <c r="G153" s="154"/>
      <c r="H153" s="687">
        <f>H$139*E152</f>
        <v>29880.322500000002</v>
      </c>
      <c r="I153" s="687">
        <f>I$139*E152</f>
        <v>27319.151999999998</v>
      </c>
      <c r="J153" s="598">
        <f>J$139*E152</f>
        <v>2788.8301000000001</v>
      </c>
      <c r="K153" s="92"/>
      <c r="L153" s="63"/>
      <c r="M153" s="368"/>
      <c r="N153" s="154"/>
      <c r="O153" s="687">
        <f>O$139*L152</f>
        <v>17181.847040000001</v>
      </c>
      <c r="P153" s="687">
        <f>P$139*L152</f>
        <v>65104.378880000004</v>
      </c>
      <c r="Q153" s="598">
        <f>Q$139*L152</f>
        <v>2689.8099199999997</v>
      </c>
      <c r="R153" s="92"/>
      <c r="S153" s="63"/>
      <c r="T153" s="368"/>
      <c r="U153" s="63"/>
      <c r="V153" s="208"/>
      <c r="W153" s="214"/>
    </row>
    <row r="154" spans="2:23" x14ac:dyDescent="0.2">
      <c r="B154" s="15" t="str">
        <f>"Total "&amp;B142</f>
        <v>Total Schedule 86 - Sales</v>
      </c>
      <c r="C154" s="384"/>
      <c r="D154" s="104"/>
      <c r="E154" s="63"/>
      <c r="F154" s="368"/>
      <c r="G154" s="154"/>
      <c r="H154" s="685"/>
      <c r="I154" s="689">
        <f>G152+H153+I153</f>
        <v>1210217.9071548816</v>
      </c>
      <c r="J154" s="17"/>
      <c r="K154" s="92"/>
      <c r="L154" s="63"/>
      <c r="M154" s="368"/>
      <c r="N154" s="154"/>
      <c r="O154" s="685"/>
      <c r="P154" s="689">
        <f>N152+O153+P153</f>
        <v>1192960.5864223496</v>
      </c>
      <c r="Q154" s="17"/>
      <c r="R154" s="92"/>
      <c r="S154" s="63"/>
      <c r="T154" s="368"/>
      <c r="U154" s="63"/>
      <c r="V154" s="348"/>
      <c r="W154" s="465"/>
    </row>
    <row r="155" spans="2:23" x14ac:dyDescent="0.2">
      <c r="B155" s="99"/>
      <c r="C155" s="366"/>
      <c r="D155" s="219"/>
      <c r="E155" s="206"/>
      <c r="F155" s="366"/>
      <c r="G155" s="206"/>
      <c r="H155" s="697"/>
      <c r="I155" s="697"/>
      <c r="J155" s="206"/>
      <c r="K155" s="206"/>
      <c r="L155" s="206"/>
      <c r="M155" s="366"/>
      <c r="N155" s="206"/>
      <c r="O155" s="697"/>
      <c r="P155" s="697"/>
      <c r="Q155" s="206"/>
      <c r="R155" s="206"/>
      <c r="S155" s="206"/>
      <c r="T155" s="366"/>
      <c r="U155" s="107"/>
      <c r="V155" s="107"/>
      <c r="W155" s="463"/>
    </row>
    <row r="156" spans="2:23" x14ac:dyDescent="0.2">
      <c r="B156" s="92"/>
      <c r="C156" s="361"/>
      <c r="D156" s="164"/>
      <c r="E156" s="92"/>
      <c r="F156" s="361"/>
      <c r="G156" s="92"/>
      <c r="H156" s="693"/>
      <c r="I156" s="693"/>
      <c r="J156" s="92"/>
      <c r="K156" s="92"/>
      <c r="L156" s="92"/>
      <c r="M156" s="361"/>
      <c r="N156" s="92"/>
      <c r="O156" s="693"/>
      <c r="P156" s="693"/>
      <c r="Q156" s="92"/>
      <c r="R156" s="92"/>
      <c r="S156" s="92"/>
      <c r="T156" s="361"/>
      <c r="U156" s="92"/>
      <c r="V156" s="92"/>
      <c r="W156" s="92"/>
    </row>
    <row r="157" spans="2:23" x14ac:dyDescent="0.2">
      <c r="B157" s="78" t="s">
        <v>70</v>
      </c>
      <c r="C157" s="383"/>
      <c r="D157" s="461"/>
      <c r="E157" s="221"/>
      <c r="F157" s="367"/>
      <c r="G157" s="221"/>
      <c r="H157" s="690"/>
      <c r="I157" s="690"/>
      <c r="J157" s="242"/>
      <c r="K157" s="221"/>
      <c r="L157" s="221"/>
      <c r="M157" s="367"/>
      <c r="N157" s="221"/>
      <c r="O157" s="690"/>
      <c r="P157" s="690"/>
      <c r="Q157" s="242"/>
      <c r="R157" s="221"/>
      <c r="S157" s="221"/>
      <c r="T157" s="367"/>
      <c r="U157" s="242"/>
      <c r="V157" s="242"/>
      <c r="W157" s="462"/>
    </row>
    <row r="158" spans="2:23" x14ac:dyDescent="0.2">
      <c r="B158" s="83"/>
      <c r="C158" s="361"/>
      <c r="D158" s="88"/>
      <c r="E158" s="92"/>
      <c r="F158" s="361"/>
      <c r="G158" s="92"/>
      <c r="H158" s="693"/>
      <c r="I158" s="693"/>
      <c r="J158" s="92"/>
      <c r="K158" s="92"/>
      <c r="L158" s="92"/>
      <c r="M158" s="361"/>
      <c r="N158" s="92"/>
      <c r="O158" s="693"/>
      <c r="P158" s="693"/>
      <c r="Q158" s="92"/>
      <c r="R158" s="92"/>
      <c r="S158" s="92"/>
      <c r="T158" s="361"/>
      <c r="U158" s="92"/>
      <c r="V158" s="92"/>
      <c r="W158" s="217"/>
    </row>
    <row r="159" spans="2:23" x14ac:dyDescent="0.2">
      <c r="B159" s="79" t="s">
        <v>20</v>
      </c>
      <c r="C159" s="381">
        <f>'Exh JDT-5 (JDT-INTRPL-RD)'!E74</f>
        <v>457.76</v>
      </c>
      <c r="D159" s="104">
        <f>'Exh JDT-5 (JDT-INTRPL-RD)'!$H$74</f>
        <v>457.76</v>
      </c>
      <c r="E159" s="63">
        <v>96</v>
      </c>
      <c r="F159" s="364">
        <f t="shared" ref="F159:F160" si="16">SUM(+E159*C159)</f>
        <v>43944.959999999999</v>
      </c>
      <c r="G159" s="109">
        <f>SUM(+E159*D159)</f>
        <v>43944.959999999999</v>
      </c>
      <c r="H159" s="685"/>
      <c r="I159" s="685"/>
      <c r="J159" s="109"/>
      <c r="K159" s="92"/>
      <c r="L159" s="63">
        <v>96</v>
      </c>
      <c r="M159" s="364">
        <f t="shared" ref="M159:M160" si="17">SUM(+L159*C159)</f>
        <v>43944.959999999999</v>
      </c>
      <c r="N159" s="109">
        <f>SUM(+L159*D159)</f>
        <v>43944.959999999999</v>
      </c>
      <c r="O159" s="685"/>
      <c r="P159" s="685"/>
      <c r="Q159" s="109"/>
      <c r="R159" s="92"/>
      <c r="S159" s="63"/>
      <c r="T159" s="364"/>
      <c r="U159" s="109"/>
      <c r="V159" s="109"/>
      <c r="W159" s="213"/>
    </row>
    <row r="160" spans="2:23" x14ac:dyDescent="0.2">
      <c r="B160" s="83" t="s">
        <v>43</v>
      </c>
      <c r="C160" s="381">
        <f>'Exh JDT-5 (JDT-INTRPL-RD)'!E75</f>
        <v>1.35</v>
      </c>
      <c r="D160" s="104">
        <f>'Exh JDT-5 (JDT-INTRPL-RD)'!$H$75</f>
        <v>1.35</v>
      </c>
      <c r="E160" s="63">
        <v>19344</v>
      </c>
      <c r="F160" s="364">
        <f t="shared" si="16"/>
        <v>26114.400000000001</v>
      </c>
      <c r="G160" s="109">
        <f>SUM(+E160*D160)</f>
        <v>26114.400000000001</v>
      </c>
      <c r="H160" s="685"/>
      <c r="I160" s="685"/>
      <c r="J160" s="109"/>
      <c r="K160" s="92"/>
      <c r="L160" s="63">
        <v>19344</v>
      </c>
      <c r="M160" s="364">
        <f t="shared" si="17"/>
        <v>26114.400000000001</v>
      </c>
      <c r="N160" s="109">
        <f>SUM(+L160*D160)</f>
        <v>26114.400000000001</v>
      </c>
      <c r="O160" s="685"/>
      <c r="P160" s="685"/>
      <c r="Q160" s="109"/>
      <c r="R160" s="92"/>
      <c r="S160" s="63"/>
      <c r="T160" s="364"/>
      <c r="U160" s="109"/>
      <c r="V160" s="109"/>
      <c r="W160" s="213"/>
    </row>
    <row r="161" spans="2:23" x14ac:dyDescent="0.2">
      <c r="B161" s="83" t="s">
        <v>59</v>
      </c>
      <c r="C161" s="369"/>
      <c r="D161" s="88"/>
      <c r="E161" s="63"/>
      <c r="F161" s="368"/>
      <c r="G161" s="109">
        <v>0</v>
      </c>
      <c r="H161" s="685"/>
      <c r="I161" s="685"/>
      <c r="J161" s="109"/>
      <c r="K161" s="92"/>
      <c r="L161" s="63"/>
      <c r="M161" s="368"/>
      <c r="N161" s="109">
        <v>0</v>
      </c>
      <c r="O161" s="685"/>
      <c r="P161" s="685"/>
      <c r="Q161" s="109"/>
      <c r="R161" s="92"/>
      <c r="S161" s="63"/>
      <c r="T161" s="368"/>
      <c r="U161" s="109"/>
      <c r="V161" s="109"/>
      <c r="W161" s="213"/>
    </row>
    <row r="162" spans="2:23" x14ac:dyDescent="0.2">
      <c r="B162" s="83"/>
      <c r="C162" s="369"/>
      <c r="D162" s="88"/>
      <c r="E162" s="63"/>
      <c r="F162" s="368"/>
      <c r="G162" s="109"/>
      <c r="H162" s="685"/>
      <c r="I162" s="685"/>
      <c r="J162" s="109"/>
      <c r="K162" s="92"/>
      <c r="L162" s="63"/>
      <c r="M162" s="368"/>
      <c r="N162" s="109"/>
      <c r="O162" s="685"/>
      <c r="P162" s="685"/>
      <c r="Q162" s="109"/>
      <c r="R162" s="92"/>
      <c r="S162" s="63"/>
      <c r="T162" s="368"/>
      <c r="U162" s="109"/>
      <c r="V162" s="109"/>
      <c r="W162" s="213"/>
    </row>
    <row r="163" spans="2:23" x14ac:dyDescent="0.2">
      <c r="B163" s="83" t="s">
        <v>45</v>
      </c>
      <c r="C163" s="369"/>
      <c r="D163" s="88"/>
      <c r="E163" s="92"/>
      <c r="F163" s="361"/>
      <c r="G163" s="92"/>
      <c r="H163" s="693"/>
      <c r="I163" s="693"/>
      <c r="J163" s="92"/>
      <c r="K163" s="92"/>
      <c r="L163" s="92"/>
      <c r="M163" s="361"/>
      <c r="N163" s="92"/>
      <c r="O163" s="693"/>
      <c r="P163" s="693"/>
      <c r="Q163" s="92"/>
      <c r="R163" s="92"/>
      <c r="S163" s="92"/>
      <c r="T163" s="361"/>
      <c r="U163" s="92"/>
      <c r="V163" s="92"/>
      <c r="W163" s="217"/>
    </row>
    <row r="164" spans="2:23" x14ac:dyDescent="0.2">
      <c r="B164" s="83" t="s">
        <v>68</v>
      </c>
      <c r="C164" s="369">
        <f>'Exh JDT-5 (JDT-INTRPL-RD)'!E79</f>
        <v>0.18382000000000001</v>
      </c>
      <c r="D164" s="88">
        <f>'Exh JDT-5 (JDT-INTRPL-RD)'!$H$79</f>
        <v>0.1951</v>
      </c>
      <c r="E164" s="63">
        <v>53730.333141622155</v>
      </c>
      <c r="F164" s="364">
        <f t="shared" ref="F164:F165" si="18">SUM(+E164*C164)</f>
        <v>9876.7098380929856</v>
      </c>
      <c r="G164" s="109">
        <f>SUM(+E164*D164)</f>
        <v>10482.787995930483</v>
      </c>
      <c r="H164" s="685"/>
      <c r="I164" s="685"/>
      <c r="J164" s="109"/>
      <c r="K164" s="92"/>
      <c r="L164" s="63">
        <v>57325.470723610815</v>
      </c>
      <c r="M164" s="364">
        <f t="shared" ref="M164:M165" si="19">SUM(+L164*C164)</f>
        <v>10537.56802841414</v>
      </c>
      <c r="N164" s="109">
        <f>SUM(+L164*D164)</f>
        <v>11184.19933817647</v>
      </c>
      <c r="O164" s="685"/>
      <c r="P164" s="685"/>
      <c r="Q164" s="109"/>
      <c r="R164" s="92"/>
      <c r="S164" s="63"/>
      <c r="T164" s="364"/>
      <c r="U164" s="109"/>
      <c r="V164" s="109"/>
      <c r="W164" s="217"/>
    </row>
    <row r="165" spans="2:23" x14ac:dyDescent="0.2">
      <c r="B165" s="83" t="s">
        <v>69</v>
      </c>
      <c r="C165" s="369">
        <f>'Exh JDT-5 (JDT-INTRPL-RD)'!E80</f>
        <v>0.13031000000000001</v>
      </c>
      <c r="D165" s="88">
        <f>'Exh JDT-5 (JDT-INTRPL-RD)'!$H$80</f>
        <v>0.13830999999999999</v>
      </c>
      <c r="E165" s="63">
        <v>488678.66685837781</v>
      </c>
      <c r="F165" s="364">
        <f t="shared" si="18"/>
        <v>63679.717078315218</v>
      </c>
      <c r="G165" s="109">
        <f>SUM(+E165*D165)</f>
        <v>67589.146413182229</v>
      </c>
      <c r="H165" s="685"/>
      <c r="I165" s="685"/>
      <c r="J165" s="109"/>
      <c r="K165" s="92"/>
      <c r="L165" s="63">
        <v>521376.5292763891</v>
      </c>
      <c r="M165" s="364">
        <f t="shared" si="19"/>
        <v>67940.575530006274</v>
      </c>
      <c r="N165" s="109">
        <f>SUM(+L165*D165)</f>
        <v>72111.587764217373</v>
      </c>
      <c r="O165" s="685"/>
      <c r="P165" s="685"/>
      <c r="Q165" s="109"/>
      <c r="R165" s="92"/>
      <c r="S165" s="63"/>
      <c r="T165" s="362"/>
      <c r="U165" s="208"/>
      <c r="V165" s="109"/>
      <c r="W165" s="217"/>
    </row>
    <row r="166" spans="2:23" x14ac:dyDescent="0.2">
      <c r="B166" s="79" t="s">
        <v>27</v>
      </c>
      <c r="C166" s="385"/>
      <c r="D166" s="88"/>
      <c r="E166" s="170">
        <f>SUM(E164:E165)</f>
        <v>542409</v>
      </c>
      <c r="F166" s="370">
        <f>SUM(F159:F165)</f>
        <v>143615.78691640819</v>
      </c>
      <c r="G166" s="155">
        <f>SUM(G159:G165)</f>
        <v>148131.29440911271</v>
      </c>
      <c r="H166" s="696"/>
      <c r="I166" s="696"/>
      <c r="J166" s="154"/>
      <c r="K166" s="92"/>
      <c r="L166" s="170">
        <f>SUM(L164:L165)</f>
        <v>578701.99999999988</v>
      </c>
      <c r="M166" s="370">
        <f>SUM(M159:M165)</f>
        <v>148537.5035584204</v>
      </c>
      <c r="N166" s="155">
        <f>SUM(N159:N165)</f>
        <v>153355.14710239385</v>
      </c>
      <c r="O166" s="696"/>
      <c r="P166" s="696"/>
      <c r="Q166" s="154"/>
      <c r="R166" s="92"/>
      <c r="S166" s="170"/>
      <c r="T166" s="373"/>
      <c r="U166" s="154"/>
      <c r="V166" s="154"/>
      <c r="W166" s="217"/>
    </row>
    <row r="167" spans="2:23" x14ac:dyDescent="0.2">
      <c r="B167" s="79"/>
      <c r="C167" s="385"/>
      <c r="D167" s="88"/>
      <c r="E167" s="63"/>
      <c r="F167" s="368"/>
      <c r="G167" s="154"/>
      <c r="H167" s="696"/>
      <c r="I167" s="696"/>
      <c r="J167" s="154"/>
      <c r="K167" s="92"/>
      <c r="L167" s="63"/>
      <c r="M167" s="368"/>
      <c r="N167" s="154"/>
      <c r="O167" s="696"/>
      <c r="P167" s="696"/>
      <c r="Q167" s="154"/>
      <c r="R167" s="92"/>
      <c r="S167" s="63"/>
      <c r="T167" s="368"/>
      <c r="U167" s="154"/>
      <c r="V167" s="154"/>
      <c r="W167" s="217"/>
    </row>
    <row r="168" spans="2:23" x14ac:dyDescent="0.2">
      <c r="B168" s="354" t="s">
        <v>25</v>
      </c>
      <c r="C168" s="388"/>
      <c r="D168" s="104"/>
      <c r="E168" s="104"/>
      <c r="F168" s="370">
        <f>F166</f>
        <v>143615.78691640819</v>
      </c>
      <c r="G168" s="155">
        <f>G166</f>
        <v>148131.29440911271</v>
      </c>
      <c r="H168" s="696"/>
      <c r="I168" s="696"/>
      <c r="J168" s="154"/>
      <c r="K168" s="92"/>
      <c r="L168" s="63"/>
      <c r="M168" s="370">
        <f>M166</f>
        <v>148537.5035584204</v>
      </c>
      <c r="N168" s="155">
        <f>N166</f>
        <v>153355.14710239385</v>
      </c>
      <c r="O168" s="696"/>
      <c r="P168" s="696"/>
      <c r="Q168" s="154"/>
      <c r="R168" s="92"/>
      <c r="S168" s="63"/>
      <c r="T168" s="370"/>
      <c r="U168" s="155"/>
      <c r="V168" s="154"/>
      <c r="W168" s="217"/>
    </row>
    <row r="169" spans="2:23" x14ac:dyDescent="0.2">
      <c r="B169" s="83" t="s">
        <v>294</v>
      </c>
      <c r="C169" s="361"/>
      <c r="D169" s="104"/>
      <c r="E169" s="63"/>
      <c r="F169" s="368"/>
      <c r="G169" s="154"/>
      <c r="H169" s="687">
        <f>H$139*E166</f>
        <v>2847.64725</v>
      </c>
      <c r="I169" s="687">
        <f>I$139*E166</f>
        <v>2603.5631999999996</v>
      </c>
      <c r="J169" s="109"/>
      <c r="K169" s="92"/>
      <c r="L169" s="63"/>
      <c r="M169" s="368"/>
      <c r="N169" s="154"/>
      <c r="O169" s="687">
        <f>O$139*L166</f>
        <v>1811.3372599999996</v>
      </c>
      <c r="P169" s="687">
        <f>P$139*L166</f>
        <v>6863.4057199999988</v>
      </c>
      <c r="Q169" s="109"/>
      <c r="R169" s="92"/>
      <c r="S169" s="63"/>
      <c r="T169" s="368"/>
      <c r="U169" s="63"/>
      <c r="V169" s="208"/>
      <c r="W169" s="214"/>
    </row>
    <row r="170" spans="2:23" x14ac:dyDescent="0.2">
      <c r="B170" s="15" t="str">
        <f>"Total "&amp;B157</f>
        <v>Total Schedule 86 - Transportation</v>
      </c>
      <c r="C170" s="384"/>
      <c r="D170" s="104"/>
      <c r="E170" s="63"/>
      <c r="F170" s="368"/>
      <c r="G170" s="154"/>
      <c r="H170" s="685"/>
      <c r="I170" s="689">
        <f>G168+H169+I169</f>
        <v>153582.50485911273</v>
      </c>
      <c r="J170" s="17"/>
      <c r="K170" s="92"/>
      <c r="L170" s="63"/>
      <c r="M170" s="368"/>
      <c r="N170" s="154"/>
      <c r="O170" s="685"/>
      <c r="P170" s="689">
        <f>N168+O169+P169</f>
        <v>162029.89008239386</v>
      </c>
      <c r="Q170" s="17"/>
      <c r="R170" s="92"/>
      <c r="S170" s="63"/>
      <c r="T170" s="368"/>
      <c r="U170" s="63"/>
      <c r="V170" s="348"/>
      <c r="W170" s="465"/>
    </row>
    <row r="171" spans="2:23" x14ac:dyDescent="0.2">
      <c r="B171" s="99"/>
      <c r="C171" s="366"/>
      <c r="D171" s="218"/>
      <c r="E171" s="206"/>
      <c r="F171" s="366"/>
      <c r="G171" s="206"/>
      <c r="H171" s="697"/>
      <c r="I171" s="697"/>
      <c r="J171" s="206"/>
      <c r="K171" s="206"/>
      <c r="L171" s="206"/>
      <c r="M171" s="366"/>
      <c r="N171" s="206"/>
      <c r="O171" s="697"/>
      <c r="P171" s="697"/>
      <c r="Q171" s="206"/>
      <c r="R171" s="206"/>
      <c r="S171" s="206"/>
      <c r="T171" s="366"/>
      <c r="U171" s="107"/>
      <c r="V171" s="107"/>
      <c r="W171" s="463"/>
    </row>
    <row r="172" spans="2:23" x14ac:dyDescent="0.2">
      <c r="B172" s="92"/>
      <c r="C172" s="361"/>
      <c r="D172" s="88"/>
      <c r="E172" s="92"/>
      <c r="F172" s="361"/>
      <c r="G172" s="92"/>
      <c r="H172" s="693"/>
      <c r="I172" s="693"/>
      <c r="J172" s="92"/>
      <c r="K172" s="92"/>
      <c r="L172" s="92"/>
      <c r="M172" s="361"/>
      <c r="N172" s="92"/>
      <c r="O172" s="693"/>
      <c r="P172" s="693"/>
      <c r="Q172" s="92"/>
      <c r="R172" s="92"/>
      <c r="S172" s="92"/>
      <c r="T172" s="361"/>
      <c r="U172" s="92"/>
      <c r="V172" s="92"/>
      <c r="W172" s="92"/>
    </row>
    <row r="173" spans="2:23" x14ac:dyDescent="0.2">
      <c r="B173" s="334" t="s">
        <v>124</v>
      </c>
      <c r="C173" s="379"/>
      <c r="D173" s="335"/>
      <c r="E173" s="247">
        <f>E191+E209</f>
        <v>150772868.4078348</v>
      </c>
      <c r="F173" s="360"/>
      <c r="G173" s="336"/>
      <c r="H173" s="681">
        <f>'Exh JDT-5 (JDT-Rate Spread)'!K70</f>
        <v>311260.76148369926</v>
      </c>
      <c r="I173" s="681">
        <f>'Exh JDT-5 (JDT-Rate Spread)'!K81</f>
        <v>284384.87044567277</v>
      </c>
      <c r="J173" s="597">
        <f>'Exh JDT-5 (JDT-Rate Spread)'!K86</f>
        <v>17392.144629522732</v>
      </c>
      <c r="K173" s="337"/>
      <c r="L173" s="247">
        <f>L191+L209</f>
        <v>163828422.4078348</v>
      </c>
      <c r="M173" s="360"/>
      <c r="N173" s="337"/>
      <c r="O173" s="681">
        <f>'Exh JDT-5 (JDT-Rate Spread)'!K74</f>
        <v>180452.71571331253</v>
      </c>
      <c r="P173" s="681">
        <f>'Exh JDT-5 (JDT-Rate Spread)'!K82</f>
        <v>684758.57328704349</v>
      </c>
      <c r="Q173" s="597">
        <f>'Exh JDT-5 (JDT-Rate Spread)'!K87</f>
        <v>16901.068739540333</v>
      </c>
      <c r="R173" s="337"/>
      <c r="S173" s="247"/>
      <c r="T173" s="360"/>
      <c r="U173" s="338"/>
      <c r="V173" s="336"/>
      <c r="W173" s="339"/>
    </row>
    <row r="174" spans="2:23" x14ac:dyDescent="0.2">
      <c r="B174" s="83"/>
      <c r="C174" s="361"/>
      <c r="D174" s="92"/>
      <c r="E174" s="92"/>
      <c r="F174" s="361"/>
      <c r="G174" s="601" t="s">
        <v>289</v>
      </c>
      <c r="H174" s="698">
        <f>H173/SUM(G185:G190,G203:G208)</f>
        <v>4.865809718846309E-2</v>
      </c>
      <c r="I174" s="698">
        <f>I173/SUM(G185:G190,G203:G208)</f>
        <v>4.4456701188783497E-2</v>
      </c>
      <c r="J174" s="588">
        <f>J173/SUM(G185:G190)</f>
        <v>1.435254156171876E-2</v>
      </c>
      <c r="L174" s="92"/>
      <c r="M174" s="361"/>
      <c r="N174" s="104"/>
      <c r="O174" s="698">
        <f>O173/SUM(N185:N190,N203:N208)</f>
        <v>2.6848828155011179E-2</v>
      </c>
      <c r="P174" s="698">
        <f>P173/SUM(N185:N190,N203:N208)</f>
        <v>0.10188245263686074</v>
      </c>
      <c r="Q174" s="588">
        <f>Q173/SUM(N185:N190)</f>
        <v>1.3947290382461298E-2</v>
      </c>
      <c r="S174" s="92"/>
      <c r="T174" s="361"/>
      <c r="U174" s="104"/>
      <c r="V174" s="88"/>
      <c r="W174" s="527"/>
    </row>
    <row r="175" spans="2:23" x14ac:dyDescent="0.2">
      <c r="B175" s="99"/>
      <c r="C175" s="366"/>
      <c r="D175" s="107"/>
      <c r="E175" s="466" t="s">
        <v>116</v>
      </c>
      <c r="F175" s="374">
        <f>F191+F211</f>
        <v>6484148.915463971</v>
      </c>
      <c r="G175" s="108">
        <f>G191+G211</f>
        <v>7273078.4699999997</v>
      </c>
      <c r="H175" s="699">
        <f>H174*0.33</f>
        <v>1.6057172072192819E-2</v>
      </c>
      <c r="I175" s="699">
        <f>I174*0.33</f>
        <v>1.4670711392298554E-2</v>
      </c>
      <c r="J175" s="589">
        <f>J174*0.33</f>
        <v>4.7363387153671914E-3</v>
      </c>
      <c r="K175" s="147"/>
      <c r="L175" s="466" t="s">
        <v>116</v>
      </c>
      <c r="M175" s="374">
        <f>M191+M211</f>
        <v>6797351.655923971</v>
      </c>
      <c r="N175" s="108">
        <f>N191+N211</f>
        <v>7597247.8700000001</v>
      </c>
      <c r="O175" s="699">
        <f>O174*0.33</f>
        <v>8.860113291153689E-3</v>
      </c>
      <c r="P175" s="699">
        <f>P174*0.33</f>
        <v>3.3621209370164044E-2</v>
      </c>
      <c r="Q175" s="589">
        <f>Q174*0.33</f>
        <v>4.6026058262122289E-3</v>
      </c>
      <c r="R175" s="147"/>
      <c r="S175" s="466"/>
      <c r="T175" s="374"/>
      <c r="U175" s="108"/>
      <c r="V175" s="467"/>
      <c r="W175" s="214"/>
    </row>
    <row r="176" spans="2:23" x14ac:dyDescent="0.2">
      <c r="B176" s="355"/>
      <c r="C176" s="387"/>
      <c r="D176" s="468"/>
      <c r="E176" s="242"/>
      <c r="F176" s="367"/>
      <c r="G176" s="242"/>
      <c r="H176" s="698">
        <f>((H173-SUM(H190*E190,H208*E208)))/SUM(G185:G189,G203:G207)</f>
        <v>6.4266591039420687E-2</v>
      </c>
      <c r="I176" s="698">
        <f>((I173-SUM(I190*E190,I208*E208)))/SUM(G185:G189,G203:G207)</f>
        <v>5.8822961897547536E-2</v>
      </c>
      <c r="J176" s="588">
        <f>((J173-SUM(J190*E190)))/SUM(G185:G189)</f>
        <v>1.6730764655358814E-2</v>
      </c>
      <c r="K176" s="242"/>
      <c r="L176" s="242"/>
      <c r="M176" s="367"/>
      <c r="N176" s="242"/>
      <c r="O176" s="698">
        <f>((O173-SUM(O190*L190,O208*L208)))/SUM(N185:N189,N203:N207)</f>
        <v>3.6823898637175265E-2</v>
      </c>
      <c r="P176" s="698">
        <f>((P173-SUM(P190*L190,P208*L208)))/SUM(N185:N189,N203:N207)</f>
        <v>0.13984236800246216</v>
      </c>
      <c r="Q176" s="588">
        <f>((Q173-SUM(Q190*L190)))/SUM(N185:N189)</f>
        <v>1.6324885783442142E-2</v>
      </c>
      <c r="R176" s="242"/>
      <c r="S176" s="242"/>
      <c r="T176" s="367"/>
      <c r="U176" s="242"/>
      <c r="V176" s="242"/>
      <c r="W176" s="244"/>
    </row>
    <row r="177" spans="2:23" x14ac:dyDescent="0.2">
      <c r="B177" s="302" t="s">
        <v>72</v>
      </c>
      <c r="C177" s="383"/>
      <c r="D177" s="469"/>
      <c r="E177" s="242"/>
      <c r="F177" s="367"/>
      <c r="G177" s="242"/>
      <c r="H177" s="690"/>
      <c r="I177" s="690"/>
      <c r="J177" s="242"/>
      <c r="K177" s="242"/>
      <c r="L177" s="242"/>
      <c r="M177" s="367"/>
      <c r="N177" s="242"/>
      <c r="O177" s="690"/>
      <c r="P177" s="690"/>
      <c r="Q177" s="242"/>
      <c r="R177" s="242"/>
      <c r="S177" s="242"/>
      <c r="T177" s="367"/>
      <c r="U177" s="242"/>
      <c r="V177" s="242"/>
      <c r="W177" s="244"/>
    </row>
    <row r="178" spans="2:23" x14ac:dyDescent="0.2">
      <c r="B178" s="83"/>
      <c r="C178" s="361"/>
      <c r="D178" s="88"/>
      <c r="E178" s="92"/>
      <c r="F178" s="361"/>
      <c r="G178" s="92"/>
      <c r="H178" s="693"/>
      <c r="I178" s="693"/>
      <c r="J178" s="92"/>
      <c r="K178" s="92"/>
      <c r="L178" s="92"/>
      <c r="M178" s="361"/>
      <c r="N178" s="92"/>
      <c r="O178" s="693"/>
      <c r="P178" s="693"/>
      <c r="Q178" s="92"/>
      <c r="R178" s="92"/>
      <c r="S178" s="92"/>
      <c r="T178" s="361"/>
      <c r="U178" s="92"/>
      <c r="V178" s="92"/>
      <c r="W178" s="217"/>
    </row>
    <row r="179" spans="2:23" x14ac:dyDescent="0.2">
      <c r="B179" s="79" t="s">
        <v>20</v>
      </c>
      <c r="C179" s="381">
        <f>'Exh JDT-5 (JDT-INTRPL-RD)'!E104</f>
        <v>606.5</v>
      </c>
      <c r="D179" s="104">
        <f>'Exh JDT-5 (JDT-INTRPL-RD)'!$H$104</f>
        <v>715.15</v>
      </c>
      <c r="E179" s="63">
        <v>60</v>
      </c>
      <c r="F179" s="364">
        <f t="shared" ref="F179:F180" si="20">SUM(+E179*C179)</f>
        <v>36390</v>
      </c>
      <c r="G179" s="109">
        <f>ROUND(E179*D179,2)</f>
        <v>42909</v>
      </c>
      <c r="H179" s="685"/>
      <c r="I179" s="685"/>
      <c r="J179" s="109"/>
      <c r="K179" s="92"/>
      <c r="L179" s="63">
        <v>60</v>
      </c>
      <c r="M179" s="364">
        <f t="shared" ref="M179:M181" si="21">SUM(+L179*C179)</f>
        <v>36390</v>
      </c>
      <c r="N179" s="109">
        <f>ROUND(L179*D179,2)</f>
        <v>42909</v>
      </c>
      <c r="O179" s="685"/>
      <c r="P179" s="685"/>
      <c r="Q179" s="109"/>
      <c r="R179" s="92"/>
      <c r="S179" s="63"/>
      <c r="T179" s="364"/>
      <c r="U179" s="109"/>
      <c r="V179" s="109"/>
      <c r="W179" s="213"/>
    </row>
    <row r="180" spans="2:23" x14ac:dyDescent="0.2">
      <c r="B180" s="83" t="s">
        <v>43</v>
      </c>
      <c r="C180" s="381">
        <f>'Exh JDT-5 (JDT-INTRPL-RD)'!E105</f>
        <v>1.45</v>
      </c>
      <c r="D180" s="104">
        <f>'Exh JDT-5 (JDT-INTRPL-RD)'!$H$105</f>
        <v>1.45</v>
      </c>
      <c r="E180" s="63">
        <v>0</v>
      </c>
      <c r="F180" s="364">
        <f t="shared" si="20"/>
        <v>0</v>
      </c>
      <c r="G180" s="109">
        <f>ROUND(E180*D180,2)</f>
        <v>0</v>
      </c>
      <c r="H180" s="685"/>
      <c r="I180" s="685"/>
      <c r="J180" s="109"/>
      <c r="K180" s="92"/>
      <c r="L180" s="63">
        <v>0</v>
      </c>
      <c r="M180" s="364">
        <f t="shared" si="21"/>
        <v>0</v>
      </c>
      <c r="N180" s="109">
        <f>ROUND(L180*D180,2)</f>
        <v>0</v>
      </c>
      <c r="O180" s="685"/>
      <c r="P180" s="685"/>
      <c r="Q180" s="109"/>
      <c r="R180" s="92"/>
      <c r="S180" s="63"/>
      <c r="T180" s="364"/>
      <c r="U180" s="109"/>
      <c r="V180" s="109"/>
      <c r="W180" s="213"/>
    </row>
    <row r="181" spans="2:23" x14ac:dyDescent="0.2">
      <c r="B181" s="83" t="s">
        <v>36</v>
      </c>
      <c r="C181" s="369">
        <f>'Exh JDT-5 (JDT-INTRPL-RD)'!E106</f>
        <v>8.43E-3</v>
      </c>
      <c r="D181" s="88">
        <f>'Exh JDT-5 (JDT-INTRPL-RD)'!$H$106</f>
        <v>9.3200000000000002E-3</v>
      </c>
      <c r="E181" s="63">
        <f>E191</f>
        <v>21819455.762355208</v>
      </c>
      <c r="F181" s="364">
        <f>SUM(+E181*C181)</f>
        <v>183938.01207665441</v>
      </c>
      <c r="G181" s="109">
        <f>ROUND(E181*D181,2)</f>
        <v>203357.33</v>
      </c>
      <c r="H181" s="685"/>
      <c r="I181" s="685"/>
      <c r="J181" s="109"/>
      <c r="K181" s="92"/>
      <c r="L181" s="63">
        <f>L191</f>
        <v>21819455.762355208</v>
      </c>
      <c r="M181" s="364">
        <f t="shared" si="21"/>
        <v>183938.01207665441</v>
      </c>
      <c r="N181" s="109">
        <f>ROUND(L181*D181,2)</f>
        <v>203357.33</v>
      </c>
      <c r="O181" s="685"/>
      <c r="P181" s="685"/>
      <c r="Q181" s="109"/>
      <c r="R181" s="92"/>
      <c r="S181" s="63"/>
      <c r="T181" s="364"/>
      <c r="U181" s="109"/>
      <c r="V181" s="109"/>
      <c r="W181" s="213"/>
    </row>
    <row r="182" spans="2:23" x14ac:dyDescent="0.2">
      <c r="B182" s="83" t="s">
        <v>59</v>
      </c>
      <c r="C182" s="361"/>
      <c r="D182" s="104"/>
      <c r="E182" s="92"/>
      <c r="F182" s="364">
        <f>G182</f>
        <v>51086.770000000004</v>
      </c>
      <c r="G182" s="109">
        <v>51086.770000000004</v>
      </c>
      <c r="H182" s="685"/>
      <c r="I182" s="685"/>
      <c r="J182" s="109"/>
      <c r="K182" s="92"/>
      <c r="L182" s="92"/>
      <c r="M182" s="364">
        <f>N182</f>
        <v>51086.770000000004</v>
      </c>
      <c r="N182" s="109">
        <v>51086.770000000004</v>
      </c>
      <c r="O182" s="685"/>
      <c r="P182" s="685"/>
      <c r="Q182" s="109"/>
      <c r="R182" s="92"/>
      <c r="S182" s="92"/>
      <c r="T182" s="364"/>
      <c r="U182" s="109"/>
      <c r="V182" s="109"/>
      <c r="W182" s="213"/>
    </row>
    <row r="183" spans="2:23" x14ac:dyDescent="0.2">
      <c r="B183" s="83"/>
      <c r="C183" s="361"/>
      <c r="D183" s="104"/>
      <c r="E183" s="92"/>
      <c r="F183" s="361"/>
      <c r="G183" s="92"/>
      <c r="H183" s="693"/>
      <c r="I183" s="693"/>
      <c r="J183" s="92"/>
      <c r="K183" s="92"/>
      <c r="L183" s="92"/>
      <c r="M183" s="361"/>
      <c r="N183" s="92"/>
      <c r="O183" s="693"/>
      <c r="P183" s="693"/>
      <c r="Q183" s="92"/>
      <c r="R183" s="92"/>
      <c r="S183" s="92"/>
      <c r="T183" s="361"/>
      <c r="U183" s="92"/>
      <c r="V183" s="92"/>
      <c r="W183" s="217"/>
    </row>
    <row r="184" spans="2:23" x14ac:dyDescent="0.2">
      <c r="B184" s="83" t="s">
        <v>45</v>
      </c>
      <c r="C184" s="361"/>
      <c r="D184" s="104"/>
      <c r="E184" s="92"/>
      <c r="F184" s="361"/>
      <c r="G184" s="92"/>
      <c r="H184" s="693"/>
      <c r="I184" s="693"/>
      <c r="J184" s="92"/>
      <c r="K184" s="92"/>
      <c r="L184" s="92"/>
      <c r="M184" s="361"/>
      <c r="N184" s="92"/>
      <c r="O184" s="693"/>
      <c r="P184" s="693"/>
      <c r="Q184" s="92"/>
      <c r="R184" s="92"/>
      <c r="S184" s="92"/>
      <c r="T184" s="361"/>
      <c r="U184" s="92"/>
      <c r="V184" s="92"/>
      <c r="W184" s="217"/>
    </row>
    <row r="185" spans="2:23" x14ac:dyDescent="0.2">
      <c r="B185" s="83" t="s">
        <v>60</v>
      </c>
      <c r="C185" s="369">
        <f>'Exh JDT-5 (JDT-INTRPL-RD)'!E110</f>
        <v>0.17533000000000001</v>
      </c>
      <c r="D185" s="88">
        <f>'Exh JDT-5 (JDT-INTRPL-RD)'!$H$110</f>
        <v>0.20754</v>
      </c>
      <c r="E185" s="63">
        <v>1512193</v>
      </c>
      <c r="F185" s="364">
        <f t="shared" ref="F185:F190" si="22">SUM(+E185*C185)</f>
        <v>265132.79869000003</v>
      </c>
      <c r="G185" s="109">
        <f t="shared" ref="G185:G190" si="23">ROUND(E185*D185,2)</f>
        <v>313840.53999999998</v>
      </c>
      <c r="H185" s="700">
        <f>ROUND((G185*H$176)/E185,5)</f>
        <v>1.3339999999999999E-2</v>
      </c>
      <c r="I185" s="700">
        <f>ROUND((G185*I$176)/E185,5)</f>
        <v>1.221E-2</v>
      </c>
      <c r="J185" s="590">
        <f>ROUND((G185*J$176)/E185,5)</f>
        <v>3.47E-3</v>
      </c>
      <c r="K185" s="92"/>
      <c r="L185" s="63">
        <v>1512193</v>
      </c>
      <c r="M185" s="364">
        <f t="shared" ref="M185:M190" si="24">SUM(+L185*C185)</f>
        <v>265132.79869000003</v>
      </c>
      <c r="N185" s="109">
        <f t="shared" ref="N185:N190" si="25">ROUND(L185*D185,2)</f>
        <v>313840.53999999998</v>
      </c>
      <c r="O185" s="700">
        <f>ROUND((N185*O$176)/L185,5)</f>
        <v>7.6400000000000001E-3</v>
      </c>
      <c r="P185" s="700">
        <f>ROUND((N185*P$176)/L185,5)</f>
        <v>2.9020000000000001E-2</v>
      </c>
      <c r="Q185" s="590">
        <f>ROUND((N185*Q$176)/L185,5)</f>
        <v>3.3899999999999998E-3</v>
      </c>
      <c r="R185" s="92"/>
      <c r="S185" s="63"/>
      <c r="T185" s="364"/>
      <c r="U185" s="109"/>
      <c r="V185" s="109"/>
      <c r="W185" s="213"/>
    </row>
    <row r="186" spans="2:23" x14ac:dyDescent="0.2">
      <c r="B186" s="83" t="s">
        <v>61</v>
      </c>
      <c r="C186" s="369">
        <f>'Exh JDT-5 (JDT-INTRPL-RD)'!E111</f>
        <v>0.10595</v>
      </c>
      <c r="D186" s="88">
        <f>'Exh JDT-5 (JDT-INTRPL-RD)'!$H$111</f>
        <v>0.12540999999999999</v>
      </c>
      <c r="E186" s="63">
        <v>1398016.115</v>
      </c>
      <c r="F186" s="364">
        <f t="shared" si="22"/>
        <v>148119.80738425002</v>
      </c>
      <c r="G186" s="109">
        <f t="shared" si="23"/>
        <v>175325.2</v>
      </c>
      <c r="H186" s="700">
        <f t="shared" ref="H186:H188" si="26">ROUND((G186*H$176)/E186,5)</f>
        <v>8.0599999999999995E-3</v>
      </c>
      <c r="I186" s="700">
        <f t="shared" ref="I186:I189" si="27">ROUND((G186*I$176)/E186,5)</f>
        <v>7.3800000000000003E-3</v>
      </c>
      <c r="J186" s="590">
        <f t="shared" ref="J186:J189" si="28">ROUND((G186*J$176)/E186,5)</f>
        <v>2.0999999999999999E-3</v>
      </c>
      <c r="K186" s="92"/>
      <c r="L186" s="63">
        <v>1398016.115</v>
      </c>
      <c r="M186" s="364">
        <f t="shared" si="24"/>
        <v>148119.80738425002</v>
      </c>
      <c r="N186" s="109">
        <f t="shared" si="25"/>
        <v>175325.2</v>
      </c>
      <c r="O186" s="700">
        <f t="shared" ref="O186:O188" si="29">ROUND((N186*O$176)/L186,5)</f>
        <v>4.62E-3</v>
      </c>
      <c r="P186" s="700">
        <f t="shared" ref="P186:P189" si="30">ROUND((N186*P$176)/L186,5)</f>
        <v>1.754E-2</v>
      </c>
      <c r="Q186" s="590">
        <f t="shared" ref="Q186:Q189" si="31">ROUND((N186*Q$176)/L186,5)</f>
        <v>2.0500000000000002E-3</v>
      </c>
      <c r="R186" s="92"/>
      <c r="S186" s="63"/>
      <c r="T186" s="364"/>
      <c r="U186" s="109"/>
      <c r="V186" s="109"/>
      <c r="W186" s="213"/>
    </row>
    <row r="187" spans="2:23" x14ac:dyDescent="0.2">
      <c r="B187" s="83" t="s">
        <v>64</v>
      </c>
      <c r="C187" s="369">
        <f>'Exh JDT-5 (JDT-INTRPL-RD)'!E112</f>
        <v>6.7419999999999994E-2</v>
      </c>
      <c r="D187" s="88">
        <f>'Exh JDT-5 (JDT-INTRPL-RD)'!$H$112</f>
        <v>7.9810000000000006E-2</v>
      </c>
      <c r="E187" s="63">
        <v>2316890.0959999999</v>
      </c>
      <c r="F187" s="364">
        <f t="shared" si="22"/>
        <v>156204.73027231998</v>
      </c>
      <c r="G187" s="109">
        <f t="shared" si="23"/>
        <v>184911</v>
      </c>
      <c r="H187" s="700">
        <f t="shared" si="26"/>
        <v>5.13E-3</v>
      </c>
      <c r="I187" s="700">
        <f t="shared" si="27"/>
        <v>4.6899999999999997E-3</v>
      </c>
      <c r="J187" s="590">
        <f t="shared" si="28"/>
        <v>1.34E-3</v>
      </c>
      <c r="K187" s="92"/>
      <c r="L187" s="63">
        <v>2316890.0959999999</v>
      </c>
      <c r="M187" s="364">
        <f t="shared" si="24"/>
        <v>156204.73027231998</v>
      </c>
      <c r="N187" s="109">
        <f t="shared" si="25"/>
        <v>184911</v>
      </c>
      <c r="O187" s="700">
        <f t="shared" si="29"/>
        <v>2.9399999999999999E-3</v>
      </c>
      <c r="P187" s="700">
        <f t="shared" si="30"/>
        <v>1.116E-2</v>
      </c>
      <c r="Q187" s="590">
        <f t="shared" si="31"/>
        <v>1.2999999999999999E-3</v>
      </c>
      <c r="R187" s="92"/>
      <c r="S187" s="63"/>
      <c r="T187" s="364"/>
      <c r="U187" s="109"/>
      <c r="V187" s="109"/>
      <c r="W187" s="213"/>
    </row>
    <row r="188" spans="2:23" x14ac:dyDescent="0.2">
      <c r="B188" s="83" t="s">
        <v>74</v>
      </c>
      <c r="C188" s="369">
        <f>'Exh JDT-5 (JDT-INTRPL-RD)'!E113</f>
        <v>4.3229999999999998E-2</v>
      </c>
      <c r="D188" s="88">
        <f>'Exh JDT-5 (JDT-INTRPL-RD)'!$H$113</f>
        <v>5.117E-2</v>
      </c>
      <c r="E188" s="63">
        <v>3045256.878</v>
      </c>
      <c r="F188" s="364">
        <f t="shared" si="22"/>
        <v>131646.45483594001</v>
      </c>
      <c r="G188" s="109">
        <f t="shared" si="23"/>
        <v>155825.79</v>
      </c>
      <c r="H188" s="700">
        <f t="shared" si="26"/>
        <v>3.29E-3</v>
      </c>
      <c r="I188" s="700">
        <f t="shared" si="27"/>
        <v>3.0100000000000001E-3</v>
      </c>
      <c r="J188" s="590">
        <f t="shared" si="28"/>
        <v>8.5999999999999998E-4</v>
      </c>
      <c r="K188" s="92"/>
      <c r="L188" s="63">
        <v>3045256.878</v>
      </c>
      <c r="M188" s="364">
        <f t="shared" si="24"/>
        <v>131646.45483594001</v>
      </c>
      <c r="N188" s="109">
        <f t="shared" si="25"/>
        <v>155825.79</v>
      </c>
      <c r="O188" s="700">
        <f t="shared" si="29"/>
        <v>1.8799999999999999E-3</v>
      </c>
      <c r="P188" s="700">
        <f t="shared" si="30"/>
        <v>7.1599999999999997E-3</v>
      </c>
      <c r="Q188" s="590">
        <f t="shared" si="31"/>
        <v>8.4000000000000003E-4</v>
      </c>
      <c r="R188" s="92"/>
      <c r="S188" s="63"/>
      <c r="T188" s="364"/>
      <c r="U188" s="109"/>
      <c r="V188" s="109"/>
      <c r="W188" s="213"/>
    </row>
    <row r="189" spans="2:23" x14ac:dyDescent="0.2">
      <c r="B189" s="83" t="s">
        <v>75</v>
      </c>
      <c r="C189" s="369">
        <f>'Exh JDT-5 (JDT-INTRPL-RD)'!E114</f>
        <v>3.1109999999999999E-2</v>
      </c>
      <c r="D189" s="88">
        <f>'Exh JDT-5 (JDT-INTRPL-RD)'!$H$114</f>
        <v>3.6830000000000002E-2</v>
      </c>
      <c r="E189" s="63">
        <v>3792042.2029999997</v>
      </c>
      <c r="F189" s="364">
        <f t="shared" si="22"/>
        <v>117970.43293532998</v>
      </c>
      <c r="G189" s="109">
        <f t="shared" si="23"/>
        <v>139660.91</v>
      </c>
      <c r="H189" s="700">
        <f>ROUND((G189*H$176)/E189,5)</f>
        <v>2.3700000000000001E-3</v>
      </c>
      <c r="I189" s="700">
        <f t="shared" si="27"/>
        <v>2.1700000000000001E-3</v>
      </c>
      <c r="J189" s="590">
        <f t="shared" si="28"/>
        <v>6.2E-4</v>
      </c>
      <c r="K189" s="92"/>
      <c r="L189" s="63">
        <v>3792042.2029999997</v>
      </c>
      <c r="M189" s="364">
        <f t="shared" si="24"/>
        <v>117970.43293532998</v>
      </c>
      <c r="N189" s="109">
        <f t="shared" si="25"/>
        <v>139660.91</v>
      </c>
      <c r="O189" s="700">
        <f>ROUND((N189*O$176)/L189,5)</f>
        <v>1.3600000000000001E-3</v>
      </c>
      <c r="P189" s="700">
        <f t="shared" si="30"/>
        <v>5.1500000000000001E-3</v>
      </c>
      <c r="Q189" s="590">
        <f t="shared" si="31"/>
        <v>5.9999999999999995E-4</v>
      </c>
      <c r="R189" s="92"/>
      <c r="S189" s="63"/>
      <c r="T189" s="364"/>
      <c r="U189" s="109"/>
      <c r="V189" s="109"/>
      <c r="W189" s="213"/>
    </row>
    <row r="190" spans="2:23" x14ac:dyDescent="0.2">
      <c r="B190" s="83" t="s">
        <v>76</v>
      </c>
      <c r="C190" s="369">
        <f>'Exh JDT-5 (JDT-INTRPL-RD)'!E115</f>
        <v>2.3990000000000001E-2</v>
      </c>
      <c r="D190" s="88">
        <f>'Exh JDT-5 (JDT-INTRPL-RD)'!$H$115</f>
        <v>2.4830000000000001E-2</v>
      </c>
      <c r="E190" s="209">
        <v>9755057.4703552071</v>
      </c>
      <c r="F190" s="364">
        <f t="shared" si="22"/>
        <v>234023.82871382142</v>
      </c>
      <c r="G190" s="109">
        <f t="shared" si="23"/>
        <v>242218.08</v>
      </c>
      <c r="H190" s="700">
        <f>ROUND((G190*H$175)/E190,5)</f>
        <v>4.0000000000000002E-4</v>
      </c>
      <c r="I190" s="700">
        <f>ROUND((G190*I$175)/E190,5)</f>
        <v>3.6000000000000002E-4</v>
      </c>
      <c r="J190" s="590">
        <f>ROUND((G190*J$175)/E190,5)</f>
        <v>1.2E-4</v>
      </c>
      <c r="K190" s="92"/>
      <c r="L190" s="209">
        <v>9755057.4703552071</v>
      </c>
      <c r="M190" s="364">
        <f t="shared" si="24"/>
        <v>234023.82871382142</v>
      </c>
      <c r="N190" s="109">
        <f t="shared" si="25"/>
        <v>242218.08</v>
      </c>
      <c r="O190" s="700">
        <f>ROUND((N190*O$175)/L190,5)</f>
        <v>2.2000000000000001E-4</v>
      </c>
      <c r="P190" s="700">
        <f>ROUND((N190*P$175)/L190,5)</f>
        <v>8.3000000000000001E-4</v>
      </c>
      <c r="Q190" s="590">
        <f>ROUND((N190*Q$175)/L190,5)</f>
        <v>1.1E-4</v>
      </c>
      <c r="R190" s="92"/>
      <c r="S190" s="209"/>
      <c r="T190" s="362"/>
      <c r="U190" s="208"/>
      <c r="V190" s="109"/>
      <c r="W190" s="213"/>
    </row>
    <row r="191" spans="2:23" x14ac:dyDescent="0.2">
      <c r="B191" s="354" t="s">
        <v>25</v>
      </c>
      <c r="C191" s="388"/>
      <c r="D191" s="88"/>
      <c r="E191" s="63">
        <f>SUM(E185:E190)</f>
        <v>21819455.762355208</v>
      </c>
      <c r="F191" s="372">
        <f>SUM(F179:F190)</f>
        <v>1324512.8349083159</v>
      </c>
      <c r="G191" s="470">
        <f>SUM(G179:G190)</f>
        <v>1509134.6199999999</v>
      </c>
      <c r="H191" s="696"/>
      <c r="I191" s="696"/>
      <c r="J191" s="600"/>
      <c r="K191" s="92"/>
      <c r="L191" s="63">
        <f>SUM(L185:L190)</f>
        <v>21819455.762355208</v>
      </c>
      <c r="M191" s="372">
        <f>SUM(M179:M190)</f>
        <v>1324512.8349083159</v>
      </c>
      <c r="N191" s="470">
        <f>SUM(N179:N190)</f>
        <v>1509134.6199999999</v>
      </c>
      <c r="O191" s="696"/>
      <c r="P191" s="696"/>
      <c r="Q191" s="600"/>
      <c r="R191" s="92"/>
      <c r="S191" s="63"/>
      <c r="T191" s="372"/>
      <c r="U191" s="470"/>
      <c r="V191" s="154"/>
      <c r="W191" s="213"/>
    </row>
    <row r="192" spans="2:23" x14ac:dyDescent="0.2">
      <c r="B192" s="83" t="s">
        <v>294</v>
      </c>
      <c r="C192" s="361"/>
      <c r="D192" s="104"/>
      <c r="E192" s="63"/>
      <c r="F192" s="368"/>
      <c r="G192" s="154"/>
      <c r="H192" s="687">
        <f>SUMPRODUCT(E185:E190,H185:H190)</f>
        <v>66234.368837252085</v>
      </c>
      <c r="I192" s="687">
        <f>SUMPRODUCT(E185:E190,I185:I190)</f>
        <v>60554.225481557871</v>
      </c>
      <c r="J192" s="598">
        <f>SUMPRODUCT(E185:E190,J185:J190)</f>
        <v>17428.370257522623</v>
      </c>
      <c r="K192" s="92"/>
      <c r="L192" s="63"/>
      <c r="M192" s="368"/>
      <c r="N192" s="154"/>
      <c r="O192" s="687">
        <f>SUMPRODUCT(L185:L190,O185:O190)</f>
        <v>37852.018823738152</v>
      </c>
      <c r="P192" s="687">
        <f>SUMPRODUCT(L185:L190,P185:P190)</f>
        <v>143691.29128078479</v>
      </c>
      <c r="Q192" s="598">
        <f>SUMPRODUCT(L185:L190,Q185:Q190)</f>
        <v>16910.521851609072</v>
      </c>
      <c r="R192" s="92"/>
      <c r="S192" s="63"/>
      <c r="T192" s="368"/>
      <c r="U192" s="63"/>
      <c r="V192" s="108"/>
      <c r="W192" s="214"/>
    </row>
    <row r="193" spans="2:23" x14ac:dyDescent="0.2">
      <c r="B193" s="15" t="str">
        <f>"Total "&amp;B177</f>
        <v>Total Schedule 87 - Sales</v>
      </c>
      <c r="C193" s="384"/>
      <c r="D193" s="104"/>
      <c r="E193" s="63"/>
      <c r="F193" s="368"/>
      <c r="G193" s="154"/>
      <c r="H193" s="685"/>
      <c r="I193" s="701">
        <f>G191+H192+I192</f>
        <v>1635923.2143188098</v>
      </c>
      <c r="J193" s="17"/>
      <c r="K193" s="92"/>
      <c r="L193" s="63"/>
      <c r="M193" s="368"/>
      <c r="N193" s="154"/>
      <c r="O193" s="685"/>
      <c r="P193" s="701">
        <f>N191+O192+P192</f>
        <v>1690677.930104523</v>
      </c>
      <c r="Q193" s="17"/>
      <c r="R193" s="92"/>
      <c r="S193" s="63"/>
      <c r="T193" s="368"/>
      <c r="U193" s="63"/>
      <c r="V193" s="471"/>
      <c r="W193" s="465"/>
    </row>
    <row r="194" spans="2:23" x14ac:dyDescent="0.2">
      <c r="B194" s="99"/>
      <c r="C194" s="366"/>
      <c r="D194" s="157"/>
      <c r="E194" s="107"/>
      <c r="F194" s="366"/>
      <c r="G194" s="107"/>
      <c r="H194" s="697"/>
      <c r="I194" s="697"/>
      <c r="J194" s="206"/>
      <c r="K194" s="107"/>
      <c r="L194" s="107"/>
      <c r="M194" s="366"/>
      <c r="N194" s="107"/>
      <c r="O194" s="697"/>
      <c r="P194" s="697"/>
      <c r="Q194" s="206"/>
      <c r="R194" s="107"/>
      <c r="S194" s="107"/>
      <c r="T194" s="366"/>
      <c r="U194" s="107"/>
      <c r="V194" s="107"/>
      <c r="W194" s="463"/>
    </row>
    <row r="195" spans="2:23" x14ac:dyDescent="0.2">
      <c r="B195" s="99"/>
      <c r="C195" s="366"/>
      <c r="D195" s="157"/>
      <c r="E195" s="107"/>
      <c r="F195" s="366"/>
      <c r="G195" s="107"/>
      <c r="H195" s="697"/>
      <c r="I195" s="697"/>
      <c r="J195" s="206"/>
      <c r="K195" s="107"/>
      <c r="L195" s="107"/>
      <c r="M195" s="366"/>
      <c r="N195" s="107"/>
      <c r="O195" s="697"/>
      <c r="P195" s="697"/>
      <c r="Q195" s="206"/>
      <c r="R195" s="107"/>
      <c r="S195" s="107"/>
      <c r="T195" s="366"/>
      <c r="U195" s="107"/>
      <c r="V195" s="107"/>
      <c r="W195" s="463"/>
    </row>
    <row r="196" spans="2:23" x14ac:dyDescent="0.2">
      <c r="B196" s="78" t="s">
        <v>77</v>
      </c>
      <c r="C196" s="383"/>
      <c r="D196" s="461"/>
      <c r="E196" s="221"/>
      <c r="F196" s="367"/>
      <c r="G196" s="221"/>
      <c r="H196" s="690"/>
      <c r="I196" s="690"/>
      <c r="J196" s="242"/>
      <c r="K196" s="221"/>
      <c r="L196" s="221"/>
      <c r="M196" s="367"/>
      <c r="N196" s="221"/>
      <c r="O196" s="690"/>
      <c r="P196" s="690"/>
      <c r="Q196" s="242"/>
      <c r="R196" s="221"/>
      <c r="S196" s="221"/>
      <c r="T196" s="367"/>
      <c r="U196" s="242"/>
      <c r="V196" s="242"/>
      <c r="W196" s="462"/>
    </row>
    <row r="197" spans="2:23" x14ac:dyDescent="0.2">
      <c r="B197" s="83"/>
      <c r="C197" s="361"/>
      <c r="D197" s="88"/>
      <c r="E197" s="92"/>
      <c r="F197" s="361"/>
      <c r="G197" s="92"/>
      <c r="H197" s="693"/>
      <c r="I197" s="693"/>
      <c r="J197" s="92"/>
      <c r="K197" s="92"/>
      <c r="L197" s="92"/>
      <c r="M197" s="361"/>
      <c r="N197" s="92"/>
      <c r="O197" s="693"/>
      <c r="P197" s="693"/>
      <c r="Q197" s="92"/>
      <c r="R197" s="92"/>
      <c r="S197" s="92"/>
      <c r="T197" s="361"/>
      <c r="U197" s="92"/>
      <c r="V197" s="92"/>
      <c r="W197" s="217"/>
    </row>
    <row r="198" spans="2:23" x14ac:dyDescent="0.2">
      <c r="B198" s="79" t="s">
        <v>20</v>
      </c>
      <c r="C198" s="385">
        <f>'Exh JDT-5 (JDT-INTRPL-RD)'!E123</f>
        <v>918.31</v>
      </c>
      <c r="D198" s="104">
        <f>'Exh JDT-5 (JDT-INTRPL-RD)'!$H$123</f>
        <v>1082.81</v>
      </c>
      <c r="E198" s="63">
        <v>132</v>
      </c>
      <c r="F198" s="364">
        <f t="shared" ref="F198:F199" si="32">SUM(+E198*C198)</f>
        <v>121216.92</v>
      </c>
      <c r="G198" s="109">
        <f>ROUND(E198*D198,2)</f>
        <v>142930.92000000001</v>
      </c>
      <c r="H198" s="685"/>
      <c r="I198" s="685"/>
      <c r="J198" s="109"/>
      <c r="K198" s="92"/>
      <c r="L198" s="63">
        <v>132</v>
      </c>
      <c r="M198" s="364">
        <f t="shared" ref="M198:M199" si="33">SUM(+L198*C198)</f>
        <v>121216.92</v>
      </c>
      <c r="N198" s="109">
        <f>ROUND(L198*D198,2)</f>
        <v>142930.92000000001</v>
      </c>
      <c r="O198" s="685"/>
      <c r="P198" s="685"/>
      <c r="Q198" s="109"/>
      <c r="R198" s="92"/>
      <c r="S198" s="63"/>
      <c r="T198" s="364"/>
      <c r="U198" s="109"/>
      <c r="V198" s="109"/>
      <c r="W198" s="213"/>
    </row>
    <row r="199" spans="2:23" x14ac:dyDescent="0.2">
      <c r="B199" s="83" t="s">
        <v>43</v>
      </c>
      <c r="C199" s="385">
        <f>'Exh JDT-5 (JDT-INTRPL-RD)'!E124</f>
        <v>1.45</v>
      </c>
      <c r="D199" s="104">
        <f>'Exh JDT-5 (JDT-INTRPL-RD)'!$H$124</f>
        <v>1.45</v>
      </c>
      <c r="E199" s="63">
        <v>287208</v>
      </c>
      <c r="F199" s="364">
        <f t="shared" si="32"/>
        <v>416451.6</v>
      </c>
      <c r="G199" s="109">
        <f>ROUND(E199*D199,2)</f>
        <v>416451.6</v>
      </c>
      <c r="H199" s="685"/>
      <c r="I199" s="685"/>
      <c r="J199" s="109"/>
      <c r="K199" s="92"/>
      <c r="L199" s="63">
        <v>287208</v>
      </c>
      <c r="M199" s="364">
        <f t="shared" si="33"/>
        <v>416451.6</v>
      </c>
      <c r="N199" s="109">
        <f>ROUND(L199*D199,2)</f>
        <v>416451.6</v>
      </c>
      <c r="O199" s="685"/>
      <c r="P199" s="685"/>
      <c r="Q199" s="109"/>
      <c r="R199" s="92"/>
      <c r="S199" s="63"/>
      <c r="T199" s="364"/>
      <c r="U199" s="109"/>
      <c r="V199" s="109"/>
      <c r="W199" s="213"/>
    </row>
    <row r="200" spans="2:23" x14ac:dyDescent="0.2">
      <c r="B200" s="83" t="s">
        <v>59</v>
      </c>
      <c r="C200" s="361"/>
      <c r="D200" s="104"/>
      <c r="E200" s="63"/>
      <c r="F200" s="368">
        <f>G200</f>
        <v>19447.379999999997</v>
      </c>
      <c r="G200" s="109">
        <v>19447.379999999997</v>
      </c>
      <c r="H200" s="685"/>
      <c r="I200" s="685"/>
      <c r="J200" s="109"/>
      <c r="K200" s="92"/>
      <c r="L200" s="63"/>
      <c r="M200" s="368">
        <f>N200</f>
        <v>19447.379999999997</v>
      </c>
      <c r="N200" s="109">
        <v>19447.379999999997</v>
      </c>
      <c r="O200" s="685"/>
      <c r="P200" s="685"/>
      <c r="Q200" s="109"/>
      <c r="R200" s="92"/>
      <c r="S200" s="63"/>
      <c r="T200" s="368"/>
      <c r="U200" s="109"/>
      <c r="V200" s="109"/>
      <c r="W200" s="213"/>
    </row>
    <row r="201" spans="2:23" x14ac:dyDescent="0.2">
      <c r="B201" s="83"/>
      <c r="C201" s="361"/>
      <c r="D201" s="88"/>
      <c r="E201" s="92"/>
      <c r="F201" s="361"/>
      <c r="G201" s="92"/>
      <c r="H201" s="693"/>
      <c r="I201" s="693"/>
      <c r="J201" s="92"/>
      <c r="K201" s="92"/>
      <c r="L201" s="92"/>
      <c r="M201" s="361"/>
      <c r="N201" s="92"/>
      <c r="O201" s="693"/>
      <c r="P201" s="693"/>
      <c r="Q201" s="92"/>
      <c r="R201" s="92"/>
      <c r="S201" s="92"/>
      <c r="T201" s="361"/>
      <c r="U201" s="92"/>
      <c r="V201" s="92"/>
      <c r="W201" s="217"/>
    </row>
    <row r="202" spans="2:23" x14ac:dyDescent="0.2">
      <c r="B202" s="83" t="s">
        <v>45</v>
      </c>
      <c r="C202" s="361"/>
      <c r="D202" s="104"/>
      <c r="E202" s="92"/>
      <c r="F202" s="361"/>
      <c r="G202" s="92"/>
      <c r="H202" s="693"/>
      <c r="I202" s="693"/>
      <c r="J202" s="92"/>
      <c r="K202" s="92"/>
      <c r="L202" s="92"/>
      <c r="M202" s="361"/>
      <c r="N202" s="92"/>
      <c r="O202" s="693"/>
      <c r="P202" s="693"/>
      <c r="Q202" s="92"/>
      <c r="R202" s="92"/>
      <c r="S202" s="92"/>
      <c r="T202" s="361"/>
      <c r="U202" s="92"/>
      <c r="V202" s="92"/>
      <c r="W202" s="217"/>
    </row>
    <row r="203" spans="2:23" x14ac:dyDescent="0.2">
      <c r="B203" s="83" t="s">
        <v>60</v>
      </c>
      <c r="C203" s="385">
        <f>'Exh JDT-5 (JDT-INTRPL-RD)'!E128</f>
        <v>0.17533000000000001</v>
      </c>
      <c r="D203" s="88">
        <f>'Exh JDT-5 (JDT-INTRPL-RD)'!$H$128</f>
        <v>0.20754</v>
      </c>
      <c r="E203" s="63">
        <v>3298789.67</v>
      </c>
      <c r="F203" s="364">
        <f t="shared" ref="F203:F208" si="34">SUM(+E203*C203)</f>
        <v>578376.79284110002</v>
      </c>
      <c r="G203" s="109">
        <f t="shared" ref="G203:G208" si="35">ROUND(E203*D203,2)</f>
        <v>684630.81</v>
      </c>
      <c r="H203" s="700">
        <f>ROUND((G203*H$176)/E203,5)</f>
        <v>1.3339999999999999E-2</v>
      </c>
      <c r="I203" s="700">
        <f>ROUND((G203*I$176)/E203,5)</f>
        <v>1.221E-2</v>
      </c>
      <c r="J203" s="591"/>
      <c r="K203" s="92"/>
      <c r="L203" s="63">
        <v>3298789.67</v>
      </c>
      <c r="M203" s="364">
        <f t="shared" ref="M203:M208" si="36">SUM(+L203*C203)</f>
        <v>578376.79284110002</v>
      </c>
      <c r="N203" s="109">
        <f t="shared" ref="N203:N208" si="37">ROUND(L203*D203,2)</f>
        <v>684630.81</v>
      </c>
      <c r="O203" s="700">
        <f>ROUND((N203*O$176)/L203,5)</f>
        <v>7.6400000000000001E-3</v>
      </c>
      <c r="P203" s="700">
        <f>ROUND((N203*P$176)/L203,5)</f>
        <v>2.9020000000000001E-2</v>
      </c>
      <c r="Q203" s="602"/>
      <c r="R203" s="92"/>
      <c r="S203" s="63"/>
      <c r="T203" s="364"/>
      <c r="U203" s="109"/>
      <c r="V203" s="109"/>
      <c r="W203" s="213"/>
    </row>
    <row r="204" spans="2:23" x14ac:dyDescent="0.2">
      <c r="B204" s="83" t="s">
        <v>61</v>
      </c>
      <c r="C204" s="385">
        <f>'Exh JDT-5 (JDT-INTRPL-RD)'!E129</f>
        <v>0.10595</v>
      </c>
      <c r="D204" s="88">
        <f>'Exh JDT-5 (JDT-INTRPL-RD)'!$H$129</f>
        <v>0.12540999999999999</v>
      </c>
      <c r="E204" s="63">
        <v>3300000</v>
      </c>
      <c r="F204" s="364">
        <f t="shared" si="34"/>
        <v>349635</v>
      </c>
      <c r="G204" s="109">
        <f t="shared" si="35"/>
        <v>413853</v>
      </c>
      <c r="H204" s="700">
        <f t="shared" ref="H204:H207" si="38">ROUND((G204*H$176)/E204,5)</f>
        <v>8.0599999999999995E-3</v>
      </c>
      <c r="I204" s="700">
        <f t="shared" ref="I204:I207" si="39">ROUND((G204*I$176)/E204,5)</f>
        <v>7.3800000000000003E-3</v>
      </c>
      <c r="J204" s="591"/>
      <c r="K204" s="92"/>
      <c r="L204" s="63">
        <v>3300000</v>
      </c>
      <c r="M204" s="364">
        <f t="shared" si="36"/>
        <v>349635</v>
      </c>
      <c r="N204" s="109">
        <f t="shared" si="37"/>
        <v>413853</v>
      </c>
      <c r="O204" s="700">
        <f t="shared" ref="O204:O207" si="40">ROUND((N204*O$176)/L204,5)</f>
        <v>4.62E-3</v>
      </c>
      <c r="P204" s="700">
        <f t="shared" ref="P204:P207" si="41">ROUND((N204*P$176)/L204,5)</f>
        <v>1.754E-2</v>
      </c>
      <c r="Q204" s="602"/>
      <c r="R204" s="92"/>
      <c r="S204" s="63"/>
      <c r="T204" s="364"/>
      <c r="U204" s="109"/>
      <c r="V204" s="109"/>
      <c r="W204" s="213"/>
    </row>
    <row r="205" spans="2:23" x14ac:dyDescent="0.2">
      <c r="B205" s="83" t="s">
        <v>64</v>
      </c>
      <c r="C205" s="385">
        <f>'Exh JDT-5 (JDT-INTRPL-RD)'!E130</f>
        <v>6.7419999999999994E-2</v>
      </c>
      <c r="D205" s="88">
        <f>'Exh JDT-5 (JDT-INTRPL-RD)'!$H$130</f>
        <v>7.9810000000000006E-2</v>
      </c>
      <c r="E205" s="63">
        <v>6600000</v>
      </c>
      <c r="F205" s="364">
        <f t="shared" si="34"/>
        <v>444971.99999999994</v>
      </c>
      <c r="G205" s="109">
        <f t="shared" si="35"/>
        <v>526746</v>
      </c>
      <c r="H205" s="700">
        <f t="shared" si="38"/>
        <v>5.13E-3</v>
      </c>
      <c r="I205" s="700">
        <f t="shared" si="39"/>
        <v>4.6899999999999997E-3</v>
      </c>
      <c r="J205" s="591"/>
      <c r="K205" s="92"/>
      <c r="L205" s="63">
        <v>6600000</v>
      </c>
      <c r="M205" s="364">
        <f t="shared" si="36"/>
        <v>444971.99999999994</v>
      </c>
      <c r="N205" s="109">
        <f t="shared" si="37"/>
        <v>526746</v>
      </c>
      <c r="O205" s="700">
        <f t="shared" si="40"/>
        <v>2.9399999999999999E-3</v>
      </c>
      <c r="P205" s="700">
        <f t="shared" si="41"/>
        <v>1.116E-2</v>
      </c>
      <c r="Q205" s="602"/>
      <c r="R205" s="92"/>
      <c r="S205" s="63"/>
      <c r="T205" s="364"/>
      <c r="U205" s="109"/>
      <c r="V205" s="109"/>
      <c r="W205" s="213"/>
    </row>
    <row r="206" spans="2:23" x14ac:dyDescent="0.2">
      <c r="B206" s="83" t="s">
        <v>74</v>
      </c>
      <c r="C206" s="385">
        <f>'Exh JDT-5 (JDT-INTRPL-RD)'!E131</f>
        <v>4.3229999999999998E-2</v>
      </c>
      <c r="D206" s="88">
        <f>'Exh JDT-5 (JDT-INTRPL-RD)'!$H$131</f>
        <v>5.117E-2</v>
      </c>
      <c r="E206" s="63">
        <v>12663691.02</v>
      </c>
      <c r="F206" s="364">
        <f t="shared" si="34"/>
        <v>547451.36279459996</v>
      </c>
      <c r="G206" s="109">
        <f t="shared" si="35"/>
        <v>648001.06999999995</v>
      </c>
      <c r="H206" s="700">
        <f t="shared" si="38"/>
        <v>3.29E-3</v>
      </c>
      <c r="I206" s="700">
        <f t="shared" si="39"/>
        <v>3.0100000000000001E-3</v>
      </c>
      <c r="J206" s="591"/>
      <c r="K206" s="92"/>
      <c r="L206" s="63">
        <v>12663691.02</v>
      </c>
      <c r="M206" s="364">
        <f t="shared" si="36"/>
        <v>547451.36279459996</v>
      </c>
      <c r="N206" s="109">
        <f t="shared" si="37"/>
        <v>648001.06999999995</v>
      </c>
      <c r="O206" s="700">
        <f t="shared" si="40"/>
        <v>1.8799999999999999E-3</v>
      </c>
      <c r="P206" s="700">
        <f t="shared" si="41"/>
        <v>7.1599999999999997E-3</v>
      </c>
      <c r="Q206" s="602"/>
      <c r="R206" s="92"/>
      <c r="S206" s="63"/>
      <c r="T206" s="364"/>
      <c r="U206" s="109"/>
      <c r="V206" s="109"/>
      <c r="W206" s="213"/>
    </row>
    <row r="207" spans="2:23" x14ac:dyDescent="0.2">
      <c r="B207" s="83" t="s">
        <v>75</v>
      </c>
      <c r="C207" s="385">
        <f>'Exh JDT-5 (JDT-INTRPL-RD)'!E132</f>
        <v>3.1109999999999999E-2</v>
      </c>
      <c r="D207" s="88">
        <f>'Exh JDT-5 (JDT-INTRPL-RD)'!$H$132</f>
        <v>3.6830000000000002E-2</v>
      </c>
      <c r="E207" s="63">
        <v>29344602.150000002</v>
      </c>
      <c r="F207" s="364">
        <f t="shared" si="34"/>
        <v>912910.57288650004</v>
      </c>
      <c r="G207" s="109">
        <f t="shared" si="35"/>
        <v>1080761.7</v>
      </c>
      <c r="H207" s="700">
        <f t="shared" si="38"/>
        <v>2.3700000000000001E-3</v>
      </c>
      <c r="I207" s="700">
        <f t="shared" si="39"/>
        <v>2.1700000000000001E-3</v>
      </c>
      <c r="J207" s="591"/>
      <c r="K207" s="92"/>
      <c r="L207" s="63">
        <v>29344602.150000002</v>
      </c>
      <c r="M207" s="364">
        <f t="shared" si="36"/>
        <v>912910.57288650004</v>
      </c>
      <c r="N207" s="109">
        <f t="shared" si="37"/>
        <v>1080761.7</v>
      </c>
      <c r="O207" s="700">
        <f t="shared" si="40"/>
        <v>1.3600000000000001E-3</v>
      </c>
      <c r="P207" s="700">
        <f t="shared" si="41"/>
        <v>5.1500000000000001E-3</v>
      </c>
      <c r="Q207" s="602"/>
      <c r="R207" s="92"/>
      <c r="S207" s="63"/>
      <c r="T207" s="364"/>
      <c r="U207" s="109"/>
      <c r="V207" s="109"/>
      <c r="W207" s="213"/>
    </row>
    <row r="208" spans="2:23" x14ac:dyDescent="0.2">
      <c r="B208" s="83" t="s">
        <v>76</v>
      </c>
      <c r="C208" s="385">
        <f>'Exh JDT-5 (JDT-INTRPL-RD)'!E133</f>
        <v>2.3990000000000001E-2</v>
      </c>
      <c r="D208" s="88">
        <f>'Exh JDT-5 (JDT-INTRPL-RD)'!$H$133</f>
        <v>2.4830000000000001E-2</v>
      </c>
      <c r="E208" s="63">
        <v>73746329.805479586</v>
      </c>
      <c r="F208" s="364">
        <f t="shared" si="34"/>
        <v>1769174.4520334553</v>
      </c>
      <c r="G208" s="109">
        <f t="shared" si="35"/>
        <v>1831121.37</v>
      </c>
      <c r="H208" s="700">
        <f>ROUND((G208*H$175)/E208,5)</f>
        <v>4.0000000000000002E-4</v>
      </c>
      <c r="I208" s="700">
        <f>ROUND((G208*I$175)/E208,5)</f>
        <v>3.6000000000000002E-4</v>
      </c>
      <c r="J208" s="591"/>
      <c r="K208" s="92"/>
      <c r="L208" s="63">
        <v>86801883.805479586</v>
      </c>
      <c r="M208" s="364">
        <f t="shared" si="36"/>
        <v>2082377.1924934553</v>
      </c>
      <c r="N208" s="109">
        <f t="shared" si="37"/>
        <v>2155290.77</v>
      </c>
      <c r="O208" s="700">
        <f>ROUND((N208*O$175)/L208,5)</f>
        <v>2.2000000000000001E-4</v>
      </c>
      <c r="P208" s="700">
        <f>ROUND((N208*P$175)/L208,5)</f>
        <v>8.3000000000000001E-4</v>
      </c>
      <c r="Q208" s="602"/>
      <c r="R208" s="92"/>
      <c r="S208" s="63"/>
      <c r="T208" s="362"/>
      <c r="U208" s="208"/>
      <c r="V208" s="109"/>
      <c r="W208" s="213"/>
    </row>
    <row r="209" spans="2:23" x14ac:dyDescent="0.2">
      <c r="B209" s="79" t="s">
        <v>27</v>
      </c>
      <c r="C209" s="385"/>
      <c r="D209" s="88"/>
      <c r="E209" s="170">
        <f>SUM(E203:E208)</f>
        <v>128953412.64547959</v>
      </c>
      <c r="F209" s="371">
        <f>SUM(F198:F208)</f>
        <v>5159636.0805556551</v>
      </c>
      <c r="G209" s="155">
        <f>SUM(G198:G208)</f>
        <v>5763943.8499999996</v>
      </c>
      <c r="H209" s="696"/>
      <c r="I209" s="696"/>
      <c r="J209" s="154"/>
      <c r="K209" s="92"/>
      <c r="L209" s="170">
        <f>SUM(L203:L208)</f>
        <v>142008966.64547959</v>
      </c>
      <c r="M209" s="370">
        <f>SUM(M198:M208)</f>
        <v>5472838.8210156551</v>
      </c>
      <c r="N209" s="155">
        <f>SUM(N198:N208)</f>
        <v>6088113.25</v>
      </c>
      <c r="O209" s="696"/>
      <c r="P209" s="696"/>
      <c r="Q209" s="154"/>
      <c r="R209" s="92"/>
      <c r="S209" s="170"/>
      <c r="T209" s="373"/>
      <c r="U209" s="154"/>
      <c r="V209" s="154"/>
      <c r="W209" s="213"/>
    </row>
    <row r="210" spans="2:23" x14ac:dyDescent="0.2">
      <c r="B210" s="79"/>
      <c r="C210" s="385"/>
      <c r="D210" s="88"/>
      <c r="E210" s="92"/>
      <c r="F210" s="361"/>
      <c r="G210" s="92"/>
      <c r="H210" s="693"/>
      <c r="I210" s="693"/>
      <c r="J210" s="92"/>
      <c r="K210" s="92"/>
      <c r="L210" s="92"/>
      <c r="M210" s="361"/>
      <c r="N210" s="92"/>
      <c r="O210" s="693"/>
      <c r="P210" s="693"/>
      <c r="Q210" s="92"/>
      <c r="R210" s="92"/>
      <c r="S210" s="92"/>
      <c r="T210" s="361"/>
      <c r="U210" s="92"/>
      <c r="V210" s="92"/>
      <c r="W210" s="213"/>
    </row>
    <row r="211" spans="2:23" x14ac:dyDescent="0.2">
      <c r="B211" s="354" t="s">
        <v>25</v>
      </c>
      <c r="C211" s="388"/>
      <c r="D211" s="104"/>
      <c r="E211" s="92"/>
      <c r="F211" s="370">
        <f>F209</f>
        <v>5159636.0805556551</v>
      </c>
      <c r="G211" s="155">
        <f>G209</f>
        <v>5763943.8499999996</v>
      </c>
      <c r="H211" s="696"/>
      <c r="I211" s="696"/>
      <c r="J211" s="154"/>
      <c r="K211" s="92"/>
      <c r="L211" s="92"/>
      <c r="M211" s="370">
        <f>M209</f>
        <v>5472838.8210156551</v>
      </c>
      <c r="N211" s="155">
        <f>N209</f>
        <v>6088113.25</v>
      </c>
      <c r="O211" s="696"/>
      <c r="P211" s="696"/>
      <c r="Q211" s="154"/>
      <c r="R211" s="92"/>
      <c r="S211" s="154"/>
      <c r="T211" s="370"/>
      <c r="U211" s="155"/>
      <c r="V211" s="154"/>
      <c r="W211" s="213"/>
    </row>
    <row r="212" spans="2:23" x14ac:dyDescent="0.2">
      <c r="B212" s="83" t="s">
        <v>294</v>
      </c>
      <c r="C212" s="361"/>
      <c r="D212" s="104"/>
      <c r="E212" s="63"/>
      <c r="F212" s="368"/>
      <c r="G212" s="154"/>
      <c r="H212" s="687">
        <f>SUMPRODUCT(E203:E208,H203:H208)</f>
        <v>245170.63667129184</v>
      </c>
      <c r="I212" s="687">
        <f>SUMPRODUCT(E203:E208,I203:I208)</f>
        <v>223930.39723637264</v>
      </c>
      <c r="J212" s="109"/>
      <c r="K212" s="92"/>
      <c r="L212" s="63"/>
      <c r="M212" s="368"/>
      <c r="N212" s="154"/>
      <c r="O212" s="687">
        <f>SUMPRODUCT(L203:L208,O203:O208)</f>
        <v>142665.5655576055</v>
      </c>
      <c r="P212" s="687">
        <f>SUMPRODUCT(L203:L208,P203:P208)</f>
        <v>541111.16855764808</v>
      </c>
      <c r="Q212" s="109"/>
      <c r="R212" s="92"/>
      <c r="S212" s="63"/>
      <c r="T212" s="368"/>
      <c r="U212" s="63"/>
      <c r="V212" s="108"/>
      <c r="W212" s="214"/>
    </row>
    <row r="213" spans="2:23" x14ac:dyDescent="0.2">
      <c r="B213" s="15" t="str">
        <f>"Total "&amp;B196</f>
        <v>Total Schedule 87 - Transportation</v>
      </c>
      <c r="C213" s="384"/>
      <c r="D213" s="104"/>
      <c r="E213" s="63"/>
      <c r="F213" s="368"/>
      <c r="G213" s="154"/>
      <c r="H213" s="685"/>
      <c r="I213" s="701">
        <f>G211+H212+I212</f>
        <v>6233044.8839076636</v>
      </c>
      <c r="J213" s="17"/>
      <c r="K213" s="92"/>
      <c r="L213" s="63"/>
      <c r="M213" s="368"/>
      <c r="N213" s="154"/>
      <c r="O213" s="685"/>
      <c r="P213" s="701">
        <f>N211+O212+P212</f>
        <v>6771889.9841152541</v>
      </c>
      <c r="Q213" s="17"/>
      <c r="R213" s="92"/>
      <c r="S213" s="63"/>
      <c r="T213" s="368"/>
      <c r="U213" s="63"/>
      <c r="V213" s="471"/>
      <c r="W213" s="465"/>
    </row>
    <row r="214" spans="2:23" x14ac:dyDescent="0.2">
      <c r="B214" s="15"/>
      <c r="C214" s="384"/>
      <c r="D214" s="104"/>
      <c r="E214" s="63"/>
      <c r="F214" s="368"/>
      <c r="G214" s="154"/>
      <c r="H214" s="685"/>
      <c r="I214" s="695"/>
      <c r="J214" s="17"/>
      <c r="K214" s="92"/>
      <c r="L214" s="63"/>
      <c r="M214" s="368"/>
      <c r="N214" s="154"/>
      <c r="O214" s="685"/>
      <c r="P214" s="695"/>
      <c r="Q214" s="17"/>
      <c r="R214" s="92"/>
      <c r="S214" s="63"/>
      <c r="T214" s="368"/>
      <c r="U214" s="63"/>
      <c r="V214" s="17"/>
      <c r="W214" s="465"/>
    </row>
    <row r="215" spans="2:23" x14ac:dyDescent="0.2">
      <c r="B215" s="528" t="s">
        <v>5</v>
      </c>
      <c r="C215" s="529"/>
      <c r="D215" s="480"/>
      <c r="E215" s="476">
        <v>31066759.999999996</v>
      </c>
      <c r="F215" s="530">
        <v>1620924.2085755297</v>
      </c>
      <c r="G215" s="485">
        <v>1641017.2645532298</v>
      </c>
      <c r="H215" s="702">
        <v>0</v>
      </c>
      <c r="I215" s="702">
        <v>0</v>
      </c>
      <c r="J215" s="603">
        <v>0</v>
      </c>
      <c r="K215" s="221"/>
      <c r="L215" s="476">
        <v>30967899.999999996</v>
      </c>
      <c r="M215" s="530">
        <v>1618329.5363931155</v>
      </c>
      <c r="N215" s="485">
        <v>1638422.5923708156</v>
      </c>
      <c r="O215" s="702">
        <v>0</v>
      </c>
      <c r="P215" s="702">
        <v>0</v>
      </c>
      <c r="Q215" s="603">
        <v>0</v>
      </c>
      <c r="R215" s="221"/>
      <c r="S215" s="476"/>
      <c r="T215" s="530"/>
      <c r="U215" s="485"/>
      <c r="V215" s="483"/>
      <c r="W215" s="483"/>
    </row>
    <row r="216" spans="2:23" x14ac:dyDescent="0.2">
      <c r="B216" s="99"/>
      <c r="C216" s="366"/>
      <c r="D216" s="218"/>
      <c r="E216" s="206"/>
      <c r="F216" s="366"/>
      <c r="G216" s="206"/>
      <c r="H216" s="107"/>
      <c r="I216" s="107"/>
      <c r="J216" s="206"/>
      <c r="K216" s="206"/>
      <c r="L216" s="206"/>
      <c r="M216" s="366"/>
      <c r="N216" s="206"/>
      <c r="O216" s="107"/>
      <c r="P216" s="107"/>
      <c r="Q216" s="206"/>
      <c r="R216" s="206"/>
      <c r="S216" s="206"/>
      <c r="T216" s="366"/>
      <c r="U216" s="107"/>
      <c r="V216" s="107"/>
      <c r="W216" s="463"/>
    </row>
    <row r="217" spans="2:23" x14ac:dyDescent="0.2">
      <c r="B217" s="572" t="s">
        <v>292</v>
      </c>
    </row>
    <row r="219" spans="2:23" s="357" customFormat="1" x14ac:dyDescent="0.2">
      <c r="B219" s="361" t="s">
        <v>122</v>
      </c>
      <c r="C219" s="389"/>
      <c r="E219" s="472">
        <f t="shared" ref="E219:E225" si="42">SUMIF($B$10:$B$216,$B219,E$10:E$216)</f>
        <v>636378193</v>
      </c>
      <c r="G219" s="473"/>
      <c r="H219" s="414">
        <f t="shared" ref="H219:J225" si="43">SUMIF($B$10:$B$216,$B219,H$10:H$216)</f>
        <v>15615300.17325394</v>
      </c>
      <c r="I219" s="414">
        <f>SUMIF($B$10:$B$216,$B219,I$10:I$216)</f>
        <v>14266993.036877459</v>
      </c>
      <c r="J219" s="414">
        <f>SUMIF($B$10:$B$216,$B219,J$10:J$216)</f>
        <v>2074672.7347817947</v>
      </c>
      <c r="K219" s="381"/>
      <c r="L219" s="472">
        <f t="shared" ref="L219:L225" si="44">SUMIF($B$10:$B$216,$B219,L$10:L$216)</f>
        <v>639473381</v>
      </c>
      <c r="N219" s="473"/>
      <c r="O219" s="414">
        <f t="shared" ref="O219:Q225" si="45">SUMIF($B$10:$B$216,$B219,O$10:O$216)</f>
        <v>9052934.6182615533</v>
      </c>
      <c r="P219" s="414">
        <f t="shared" si="45"/>
        <v>34352902.746613204</v>
      </c>
      <c r="Q219" s="414">
        <f t="shared" si="45"/>
        <v>2016093.3139364917</v>
      </c>
      <c r="R219" s="381"/>
      <c r="S219" s="472"/>
      <c r="U219" s="473"/>
      <c r="V219" s="414"/>
      <c r="W219" s="414"/>
    </row>
    <row r="220" spans="2:23" s="357" customFormat="1" x14ac:dyDescent="0.2">
      <c r="B220" s="361" t="s">
        <v>235</v>
      </c>
      <c r="C220" s="389"/>
      <c r="E220" s="472">
        <f t="shared" si="42"/>
        <v>243226645</v>
      </c>
      <c r="G220" s="473"/>
      <c r="H220" s="414">
        <f t="shared" si="43"/>
        <v>5508993.2050401885</v>
      </c>
      <c r="I220" s="414">
        <f t="shared" si="43"/>
        <v>5033317.7604318503</v>
      </c>
      <c r="J220" s="414">
        <f t="shared" si="43"/>
        <v>730982.95631700102</v>
      </c>
      <c r="K220" s="381"/>
      <c r="L220" s="472">
        <f t="shared" si="44"/>
        <v>245970110</v>
      </c>
      <c r="N220" s="473"/>
      <c r="O220" s="414">
        <f t="shared" si="45"/>
        <v>3193826.2309614932</v>
      </c>
      <c r="P220" s="414">
        <f t="shared" si="45"/>
        <v>12119517.761730123</v>
      </c>
      <c r="Q220" s="414">
        <f t="shared" si="45"/>
        <v>710343.28746178711</v>
      </c>
      <c r="R220" s="381"/>
      <c r="S220" s="472"/>
      <c r="U220" s="473"/>
      <c r="V220" s="414"/>
      <c r="W220" s="414"/>
    </row>
    <row r="221" spans="2:23" s="357" customFormat="1" x14ac:dyDescent="0.2">
      <c r="B221" s="361" t="s">
        <v>236</v>
      </c>
      <c r="C221" s="389"/>
      <c r="E221" s="472">
        <f t="shared" si="42"/>
        <v>92387406</v>
      </c>
      <c r="G221" s="473"/>
      <c r="H221" s="414">
        <f t="shared" si="43"/>
        <v>1000288.464697674</v>
      </c>
      <c r="I221" s="414">
        <f t="shared" si="43"/>
        <v>913918.2982312612</v>
      </c>
      <c r="J221" s="414">
        <f t="shared" si="43"/>
        <v>151679.99799864666</v>
      </c>
      <c r="K221" s="381"/>
      <c r="L221" s="472">
        <f t="shared" si="44"/>
        <v>93400775</v>
      </c>
      <c r="N221" s="473"/>
      <c r="O221" s="414">
        <f t="shared" si="45"/>
        <v>579914.95327254175</v>
      </c>
      <c r="P221" s="414">
        <f t="shared" si="45"/>
        <v>2200586.0896081422</v>
      </c>
      <c r="Q221" s="414">
        <f t="shared" si="45"/>
        <v>147397.23749979044</v>
      </c>
      <c r="R221" s="381"/>
      <c r="S221" s="472"/>
      <c r="U221" s="473"/>
      <c r="V221" s="414"/>
      <c r="W221" s="414"/>
    </row>
    <row r="222" spans="2:23" s="357" customFormat="1" x14ac:dyDescent="0.2">
      <c r="B222" s="361" t="s">
        <v>237</v>
      </c>
      <c r="C222" s="389"/>
      <c r="E222" s="472">
        <f t="shared" si="42"/>
        <v>73912158</v>
      </c>
      <c r="G222" s="473"/>
      <c r="H222" s="414">
        <f>SUMIF($B$10:$B$216,$B222,H$10:H$216)</f>
        <v>475918.82591419795</v>
      </c>
      <c r="I222" s="414">
        <f t="shared" si="43"/>
        <v>434825.49167172762</v>
      </c>
      <c r="J222" s="414">
        <f t="shared" si="43"/>
        <v>20472.643272653775</v>
      </c>
      <c r="K222" s="381"/>
      <c r="L222" s="472">
        <f t="shared" si="44"/>
        <v>73034304</v>
      </c>
      <c r="N222" s="473"/>
      <c r="O222" s="414">
        <f t="shared" si="45"/>
        <v>275912.85257395293</v>
      </c>
      <c r="P222" s="414">
        <f t="shared" si="45"/>
        <v>1046998.3260338384</v>
      </c>
      <c r="Q222" s="414">
        <f t="shared" si="45"/>
        <v>19894.587964952108</v>
      </c>
      <c r="R222" s="381"/>
      <c r="S222" s="472"/>
      <c r="U222" s="473"/>
      <c r="V222" s="414"/>
      <c r="W222" s="414"/>
    </row>
    <row r="223" spans="2:23" s="357" customFormat="1" x14ac:dyDescent="0.2">
      <c r="B223" s="361" t="s">
        <v>125</v>
      </c>
      <c r="C223" s="389"/>
      <c r="E223" s="472">
        <f t="shared" si="42"/>
        <v>6233899</v>
      </c>
      <c r="G223" s="473"/>
      <c r="H223" s="414">
        <f t="shared" si="43"/>
        <v>32727.069526211297</v>
      </c>
      <c r="I223" s="414">
        <f t="shared" si="43"/>
        <v>29901.242234689889</v>
      </c>
      <c r="J223" s="414">
        <f t="shared" si="43"/>
        <v>2774.6506744699045</v>
      </c>
      <c r="K223" s="381"/>
      <c r="L223" s="472">
        <f t="shared" si="44"/>
        <v>6068110</v>
      </c>
      <c r="N223" s="473"/>
      <c r="O223" s="414">
        <f t="shared" si="45"/>
        <v>18973.443826302861</v>
      </c>
      <c r="P223" s="414">
        <f t="shared" si="45"/>
        <v>71997.965081788658</v>
      </c>
      <c r="Q223" s="414">
        <f t="shared" si="45"/>
        <v>2696.3070268991123</v>
      </c>
      <c r="R223" s="381"/>
      <c r="S223" s="472"/>
      <c r="U223" s="473"/>
      <c r="V223" s="414"/>
      <c r="W223" s="414"/>
    </row>
    <row r="224" spans="2:23" s="357" customFormat="1" x14ac:dyDescent="0.2">
      <c r="B224" s="361" t="s">
        <v>124</v>
      </c>
      <c r="C224" s="389"/>
      <c r="E224" s="472">
        <f t="shared" si="42"/>
        <v>150772868.4078348</v>
      </c>
      <c r="G224" s="473"/>
      <c r="H224" s="414">
        <f t="shared" si="43"/>
        <v>311260.76148369926</v>
      </c>
      <c r="I224" s="414">
        <f t="shared" si="43"/>
        <v>284384.87044567277</v>
      </c>
      <c r="J224" s="414">
        <f t="shared" si="43"/>
        <v>17392.144629522732</v>
      </c>
      <c r="K224" s="381"/>
      <c r="L224" s="472">
        <f t="shared" si="44"/>
        <v>163828422.4078348</v>
      </c>
      <c r="M224" s="361"/>
      <c r="N224" s="381"/>
      <c r="O224" s="414">
        <f t="shared" si="45"/>
        <v>180452.71571331253</v>
      </c>
      <c r="P224" s="414">
        <f t="shared" si="45"/>
        <v>684758.57328704349</v>
      </c>
      <c r="Q224" s="414">
        <f t="shared" si="45"/>
        <v>16901.068739540333</v>
      </c>
      <c r="R224" s="381"/>
      <c r="S224" s="472"/>
      <c r="T224" s="361"/>
      <c r="U224" s="381"/>
      <c r="V224" s="414"/>
      <c r="W224" s="414"/>
    </row>
    <row r="225" spans="2:23" s="357" customFormat="1" x14ac:dyDescent="0.2">
      <c r="B225" s="361" t="s">
        <v>5</v>
      </c>
      <c r="C225" s="389"/>
      <c r="E225" s="472">
        <f t="shared" si="42"/>
        <v>31066759.999999996</v>
      </c>
      <c r="G225" s="473"/>
      <c r="H225" s="414">
        <f t="shared" si="43"/>
        <v>0</v>
      </c>
      <c r="I225" s="414">
        <f t="shared" si="43"/>
        <v>0</v>
      </c>
      <c r="J225" s="414">
        <f t="shared" si="43"/>
        <v>0</v>
      </c>
      <c r="K225" s="381"/>
      <c r="L225" s="472">
        <f t="shared" si="44"/>
        <v>30967899.999999996</v>
      </c>
      <c r="N225" s="473"/>
      <c r="O225" s="414">
        <f t="shared" si="45"/>
        <v>0</v>
      </c>
      <c r="P225" s="414">
        <f t="shared" si="45"/>
        <v>0</v>
      </c>
      <c r="Q225" s="414">
        <f t="shared" si="45"/>
        <v>0</v>
      </c>
      <c r="R225" s="381"/>
      <c r="S225" s="472"/>
      <c r="U225" s="473"/>
      <c r="V225" s="414"/>
      <c r="W225" s="414"/>
    </row>
    <row r="226" spans="2:23" s="357" customFormat="1" x14ac:dyDescent="0.2">
      <c r="B226" s="389"/>
      <c r="C226" s="389"/>
      <c r="E226" s="531">
        <f>SUM(E219:E225)</f>
        <v>1233977929.4078348</v>
      </c>
      <c r="G226" s="473"/>
      <c r="H226" s="532">
        <f>SUM(H219:H225)</f>
        <v>22944488.499915909</v>
      </c>
      <c r="I226" s="532">
        <f>SUM(I219:I225)</f>
        <v>20963340.699892659</v>
      </c>
      <c r="J226" s="532">
        <f>SUM(J219:J225)</f>
        <v>2997975.1276740883</v>
      </c>
      <c r="K226" s="381"/>
      <c r="L226" s="531">
        <f>SUM(L219:L225)</f>
        <v>1252743002.4078348</v>
      </c>
      <c r="N226" s="473"/>
      <c r="O226" s="532">
        <f>SUM(O219:O225)</f>
        <v>13302014.814609159</v>
      </c>
      <c r="P226" s="532">
        <f>SUM(P219:P225)</f>
        <v>50476761.462354131</v>
      </c>
      <c r="Q226" s="532">
        <f>SUM(Q219:Q225)</f>
        <v>2913325.8026294606</v>
      </c>
      <c r="R226" s="381"/>
      <c r="S226" s="531"/>
      <c r="U226" s="473"/>
      <c r="V226" s="532"/>
      <c r="W226" s="532"/>
    </row>
    <row r="227" spans="2:23" s="357" customFormat="1" x14ac:dyDescent="0.2">
      <c r="B227" s="389"/>
      <c r="C227" s="389"/>
      <c r="G227" s="473"/>
      <c r="H227" s="473"/>
      <c r="I227" s="473"/>
      <c r="J227" s="473"/>
      <c r="K227" s="381"/>
      <c r="N227" s="473"/>
      <c r="O227" s="473"/>
      <c r="P227" s="473"/>
      <c r="Q227" s="473"/>
      <c r="R227" s="381"/>
      <c r="U227" s="473"/>
      <c r="V227" s="473"/>
      <c r="W227" s="473"/>
    </row>
    <row r="228" spans="2:23" s="357" customFormat="1" x14ac:dyDescent="0.2">
      <c r="B228" s="357" t="s">
        <v>249</v>
      </c>
      <c r="C228" s="389"/>
      <c r="E228" s="391">
        <v>1233977929.6218345</v>
      </c>
      <c r="F228" s="391"/>
      <c r="G228" s="391"/>
      <c r="H228" s="391"/>
      <c r="I228" s="391"/>
      <c r="J228" s="392"/>
      <c r="K228" s="472"/>
      <c r="L228" s="391">
        <v>1252743002.6218348</v>
      </c>
      <c r="M228" s="391"/>
      <c r="N228" s="391"/>
      <c r="O228" s="391"/>
      <c r="P228" s="391"/>
      <c r="Q228" s="392"/>
      <c r="R228" s="472"/>
      <c r="S228" s="391"/>
      <c r="U228" s="473"/>
      <c r="V228" s="391"/>
      <c r="W228" s="391"/>
    </row>
    <row r="229" spans="2:23" s="357" customFormat="1" x14ac:dyDescent="0.2">
      <c r="B229" s="357" t="s">
        <v>88</v>
      </c>
      <c r="C229" s="389"/>
      <c r="E229" s="391">
        <f>E228-E226</f>
        <v>0.21399974822998047</v>
      </c>
      <c r="F229" s="391"/>
      <c r="G229" s="391"/>
      <c r="H229" s="391"/>
      <c r="I229" s="391"/>
      <c r="J229" s="392"/>
      <c r="K229" s="472"/>
      <c r="L229" s="391">
        <f>L228-L226</f>
        <v>0.21399998664855957</v>
      </c>
      <c r="M229" s="391"/>
      <c r="N229" s="391"/>
      <c r="O229" s="391"/>
      <c r="P229" s="391"/>
      <c r="Q229" s="392"/>
      <c r="R229" s="472"/>
      <c r="S229" s="391"/>
      <c r="U229" s="473"/>
      <c r="V229" s="391"/>
      <c r="W229" s="391"/>
    </row>
    <row r="230" spans="2:23" s="357" customFormat="1" x14ac:dyDescent="0.2">
      <c r="C230" s="389"/>
      <c r="G230" s="473"/>
      <c r="H230" s="473"/>
      <c r="I230" s="473"/>
      <c r="J230" s="473"/>
      <c r="K230" s="381"/>
      <c r="N230" s="473"/>
      <c r="O230" s="473"/>
      <c r="P230" s="473"/>
      <c r="Q230" s="473"/>
      <c r="R230" s="381"/>
      <c r="U230" s="473"/>
      <c r="V230" s="473"/>
      <c r="W230" s="473"/>
    </row>
    <row r="231" spans="2:23" s="357" customFormat="1" x14ac:dyDescent="0.2">
      <c r="C231" s="389"/>
      <c r="G231" s="473"/>
      <c r="H231" s="473"/>
      <c r="I231" s="473"/>
      <c r="J231" s="473"/>
      <c r="K231" s="381"/>
      <c r="N231" s="473"/>
      <c r="O231" s="473"/>
      <c r="P231" s="473"/>
      <c r="Q231" s="473"/>
      <c r="R231" s="381"/>
      <c r="U231" s="473"/>
      <c r="V231" s="473"/>
      <c r="W231" s="473"/>
    </row>
    <row r="232" spans="2:23" s="357" customFormat="1" x14ac:dyDescent="0.2">
      <c r="B232" s="357" t="s">
        <v>116</v>
      </c>
      <c r="C232" s="389"/>
      <c r="F232" s="410">
        <f>SUMIF($E$10:$E$216,$B232,F10:F216)+F215</f>
        <v>539600736.19147825</v>
      </c>
      <c r="G232" s="410">
        <f>SUMIF($E$10:$E$216,$B232,G10:G216)+G215</f>
        <v>587785548.37421727</v>
      </c>
      <c r="H232" s="473"/>
      <c r="I232" s="473"/>
      <c r="J232" s="473"/>
      <c r="K232" s="381"/>
      <c r="M232" s="391">
        <f>SUMIF($E$10:$E$216,$B232,M10:M216)+M215</f>
        <v>543745909.19024289</v>
      </c>
      <c r="N232" s="391">
        <f>SUMIF($E$10:$E$216,$B232,N10:N216)+N215</f>
        <v>592277399.27363074</v>
      </c>
      <c r="O232" s="473"/>
      <c r="P232" s="473"/>
      <c r="Q232" s="473"/>
      <c r="R232" s="381"/>
      <c r="T232" s="391"/>
      <c r="U232" s="391"/>
      <c r="V232" s="473"/>
      <c r="W232" s="473"/>
    </row>
    <row r="233" spans="2:23" s="357" customFormat="1" x14ac:dyDescent="0.2">
      <c r="B233" s="357" t="s">
        <v>250</v>
      </c>
      <c r="C233" s="389"/>
      <c r="F233" s="410">
        <v>541636319.26357377</v>
      </c>
      <c r="G233" s="410"/>
      <c r="H233" s="473"/>
      <c r="I233" s="473"/>
      <c r="J233" s="473"/>
      <c r="K233" s="381"/>
      <c r="M233" s="391">
        <v>545781492.25652039</v>
      </c>
      <c r="N233" s="473"/>
      <c r="O233" s="473"/>
      <c r="P233" s="473"/>
      <c r="Q233" s="473"/>
      <c r="R233" s="381"/>
      <c r="T233" s="391"/>
      <c r="U233" s="473"/>
      <c r="V233" s="473"/>
      <c r="W233" s="473"/>
    </row>
    <row r="234" spans="2:23" s="357" customFormat="1" x14ac:dyDescent="0.2">
      <c r="B234" s="357" t="s">
        <v>88</v>
      </c>
      <c r="C234" s="389"/>
      <c r="F234" s="410">
        <f>F232-F233</f>
        <v>-2035583.0720955133</v>
      </c>
      <c r="G234" s="410"/>
      <c r="H234" s="473"/>
      <c r="I234" s="473"/>
      <c r="J234" s="473"/>
      <c r="K234" s="381"/>
      <c r="M234" s="392">
        <f>M232-M233</f>
        <v>-2035583.066277504</v>
      </c>
      <c r="N234" s="473"/>
      <c r="O234" s="473"/>
      <c r="P234" s="473"/>
      <c r="Q234" s="473"/>
      <c r="R234" s="381"/>
      <c r="T234" s="392"/>
      <c r="U234" s="473"/>
      <c r="V234" s="473"/>
      <c r="W234" s="473"/>
    </row>
    <row r="235" spans="2:23" s="357" customFormat="1" x14ac:dyDescent="0.2">
      <c r="B235" s="389"/>
      <c r="C235" s="389"/>
      <c r="G235" s="473"/>
      <c r="H235" s="473"/>
      <c r="I235" s="473"/>
      <c r="J235" s="473"/>
      <c r="K235" s="381"/>
      <c r="N235" s="473"/>
      <c r="O235" s="473"/>
      <c r="P235" s="473"/>
      <c r="Q235" s="473"/>
      <c r="R235" s="381"/>
      <c r="U235" s="473"/>
      <c r="V235" s="473"/>
      <c r="W235" s="473"/>
    </row>
    <row r="236" spans="2:23" s="357" customFormat="1" x14ac:dyDescent="0.2">
      <c r="B236" s="389"/>
      <c r="C236" s="389"/>
      <c r="G236" s="473"/>
      <c r="H236" s="473"/>
      <c r="I236" s="473"/>
      <c r="J236" s="473"/>
      <c r="K236" s="381"/>
      <c r="N236" s="473"/>
      <c r="O236" s="473"/>
      <c r="P236" s="473"/>
      <c r="Q236" s="473"/>
      <c r="R236" s="381"/>
      <c r="U236" s="473"/>
      <c r="V236" s="473"/>
      <c r="W236" s="473"/>
    </row>
    <row r="237" spans="2:23" s="357" customFormat="1" x14ac:dyDescent="0.2">
      <c r="B237" s="389"/>
      <c r="C237" s="389"/>
      <c r="G237" s="473"/>
      <c r="H237" s="473"/>
      <c r="I237" s="473"/>
      <c r="J237" s="473"/>
      <c r="K237" s="381"/>
      <c r="N237" s="473"/>
      <c r="O237" s="473"/>
      <c r="P237" s="473"/>
      <c r="Q237" s="473"/>
      <c r="R237" s="381"/>
      <c r="U237" s="473"/>
      <c r="V237" s="473"/>
      <c r="W237" s="473"/>
    </row>
    <row r="238" spans="2:23" s="357" customFormat="1" x14ac:dyDescent="0.2"/>
    <row r="239" spans="2:23" s="410" customFormat="1" x14ac:dyDescent="0.2">
      <c r="B239" s="414" t="s">
        <v>182</v>
      </c>
      <c r="C239" s="413"/>
      <c r="I239" s="410">
        <f>SUMIF($B$10:$B$216,$B239,I$10:I$216)</f>
        <v>444236624.32549</v>
      </c>
      <c r="K239" s="414"/>
      <c r="P239" s="410">
        <f t="shared" ref="P239:P251" si="46">SUMIF($B$10:$B$216,$B239,P$10:P$216)</f>
        <v>460608843.32148999</v>
      </c>
      <c r="R239" s="414"/>
    </row>
    <row r="240" spans="2:23" s="410" customFormat="1" x14ac:dyDescent="0.2">
      <c r="B240" s="414" t="s">
        <v>183</v>
      </c>
      <c r="C240" s="413"/>
      <c r="I240" s="410">
        <f t="shared" ref="I240:I251" si="47">SUMIF($B$10:$B$216,$B240,I$10:I$216)</f>
        <v>0</v>
      </c>
      <c r="K240" s="414"/>
      <c r="P240" s="410">
        <f t="shared" si="46"/>
        <v>0</v>
      </c>
      <c r="R240" s="414"/>
    </row>
    <row r="241" spans="2:23" s="410" customFormat="1" x14ac:dyDescent="0.2">
      <c r="B241" s="414" t="s">
        <v>184</v>
      </c>
      <c r="C241" s="413"/>
      <c r="I241" s="410">
        <f t="shared" si="47"/>
        <v>6057.9307200000003</v>
      </c>
      <c r="K241" s="414"/>
      <c r="P241" s="410">
        <f t="shared" si="46"/>
        <v>6242.6961600000004</v>
      </c>
      <c r="R241" s="414"/>
    </row>
    <row r="242" spans="2:23" s="410" customFormat="1" x14ac:dyDescent="0.2">
      <c r="B242" s="414" t="s">
        <v>185</v>
      </c>
      <c r="C242" s="413"/>
      <c r="I242" s="410">
        <f t="shared" si="47"/>
        <v>142091733.99599999</v>
      </c>
      <c r="K242" s="414"/>
      <c r="P242" s="410">
        <f t="shared" si="46"/>
        <v>148180855.96738002</v>
      </c>
      <c r="R242" s="414"/>
    </row>
    <row r="243" spans="2:23" s="410" customFormat="1" x14ac:dyDescent="0.2">
      <c r="B243" s="414" t="s">
        <v>186</v>
      </c>
      <c r="C243" s="413"/>
      <c r="I243" s="410">
        <f>SUMIF($B$10:$B$216,$B243,I$10:I$216)</f>
        <v>24416.144510000002</v>
      </c>
      <c r="K243" s="414"/>
      <c r="P243" s="410">
        <f t="shared" si="46"/>
        <v>24814.979579999999</v>
      </c>
      <c r="R243" s="414"/>
    </row>
    <row r="244" spans="2:23" s="410" customFormat="1" x14ac:dyDescent="0.2">
      <c r="B244" s="414" t="s">
        <v>187</v>
      </c>
      <c r="C244" s="413"/>
      <c r="I244" s="410">
        <f t="shared" si="47"/>
        <v>19636865.990349997</v>
      </c>
      <c r="K244" s="414"/>
      <c r="P244" s="410">
        <f t="shared" si="46"/>
        <v>20234057.579360001</v>
      </c>
      <c r="R244" s="414"/>
    </row>
    <row r="245" spans="2:23" s="410" customFormat="1" x14ac:dyDescent="0.2">
      <c r="B245" s="414" t="s">
        <v>188</v>
      </c>
      <c r="C245" s="413"/>
      <c r="I245" s="410">
        <f t="shared" si="47"/>
        <v>5606450.8951199995</v>
      </c>
      <c r="K245" s="414"/>
      <c r="P245" s="410">
        <f t="shared" si="46"/>
        <v>5991323.1361800004</v>
      </c>
      <c r="R245" s="414"/>
    </row>
    <row r="246" spans="2:23" s="410" customFormat="1" x14ac:dyDescent="0.2">
      <c r="B246" s="414" t="s">
        <v>189</v>
      </c>
      <c r="C246" s="413"/>
      <c r="I246" s="410">
        <f t="shared" si="47"/>
        <v>1604061.6653731624</v>
      </c>
      <c r="K246" s="414"/>
      <c r="P246" s="410">
        <f t="shared" si="46"/>
        <v>1626020.7199833121</v>
      </c>
      <c r="R246" s="414"/>
    </row>
    <row r="247" spans="2:23" s="410" customFormat="1" x14ac:dyDescent="0.2">
      <c r="B247" s="414" t="s">
        <v>190</v>
      </c>
      <c r="C247" s="413"/>
      <c r="I247" s="410">
        <f t="shared" si="47"/>
        <v>7614719.5414968757</v>
      </c>
      <c r="K247" s="414"/>
      <c r="P247" s="410">
        <f t="shared" si="46"/>
        <v>7928556.0135318311</v>
      </c>
      <c r="R247" s="414"/>
    </row>
    <row r="248" spans="2:23" s="410" customFormat="1" x14ac:dyDescent="0.2">
      <c r="B248" s="414" t="s">
        <v>191</v>
      </c>
      <c r="C248" s="413"/>
      <c r="I248" s="410">
        <f t="shared" si="47"/>
        <v>1210217.9071548816</v>
      </c>
      <c r="K248" s="414"/>
      <c r="P248" s="410">
        <f t="shared" si="46"/>
        <v>1192960.5864223496</v>
      </c>
      <c r="R248" s="414"/>
    </row>
    <row r="249" spans="2:23" s="410" customFormat="1" x14ac:dyDescent="0.2">
      <c r="B249" s="414" t="s">
        <v>192</v>
      </c>
      <c r="C249" s="413"/>
      <c r="I249" s="410">
        <f t="shared" si="47"/>
        <v>153582.50485911273</v>
      </c>
      <c r="K249" s="414"/>
      <c r="P249" s="410">
        <f t="shared" si="46"/>
        <v>162029.89008239386</v>
      </c>
      <c r="R249" s="414"/>
    </row>
    <row r="250" spans="2:23" s="410" customFormat="1" x14ac:dyDescent="0.2">
      <c r="B250" s="414" t="s">
        <v>193</v>
      </c>
      <c r="C250" s="413"/>
      <c r="I250" s="410">
        <f t="shared" si="47"/>
        <v>1635923.2143188098</v>
      </c>
      <c r="K250" s="414"/>
      <c r="P250" s="410">
        <f t="shared" si="46"/>
        <v>1690677.930104523</v>
      </c>
      <c r="R250" s="414"/>
    </row>
    <row r="251" spans="2:23" s="410" customFormat="1" x14ac:dyDescent="0.2">
      <c r="B251" s="414" t="s">
        <v>238</v>
      </c>
      <c r="C251" s="413"/>
      <c r="I251" s="410">
        <f t="shared" si="47"/>
        <v>6233044.8839076636</v>
      </c>
      <c r="K251" s="414"/>
      <c r="P251" s="410">
        <f t="shared" si="46"/>
        <v>6771889.9841152541</v>
      </c>
      <c r="R251" s="414"/>
    </row>
    <row r="252" spans="2:23" s="410" customFormat="1" x14ac:dyDescent="0.2">
      <c r="B252" s="410" t="s">
        <v>5</v>
      </c>
      <c r="I252" s="410">
        <f>G215</f>
        <v>1641017.2645532298</v>
      </c>
      <c r="P252" s="410">
        <f>N215</f>
        <v>1638422.5923708156</v>
      </c>
    </row>
    <row r="253" spans="2:23" s="410" customFormat="1" x14ac:dyDescent="0.2">
      <c r="B253" s="413" t="s">
        <v>2</v>
      </c>
      <c r="C253" s="413"/>
      <c r="I253" s="413">
        <f>SUM(I239:I252)</f>
        <v>631694716.26385367</v>
      </c>
      <c r="J253" s="413"/>
      <c r="K253" s="414"/>
      <c r="P253" s="413">
        <f>SUM(P239:P252)</f>
        <v>656056695.39676058</v>
      </c>
      <c r="Q253" s="413"/>
      <c r="R253" s="414"/>
      <c r="W253" s="413"/>
    </row>
    <row r="254" spans="2:23" s="410" customFormat="1" x14ac:dyDescent="0.2">
      <c r="B254" s="413"/>
      <c r="C254" s="413"/>
      <c r="K254" s="414"/>
      <c r="R254" s="414"/>
    </row>
    <row r="255" spans="2:23" s="416" customFormat="1" x14ac:dyDescent="0.2">
      <c r="B255" s="415" t="s">
        <v>200</v>
      </c>
      <c r="C255" s="415"/>
      <c r="I255" s="416">
        <f>'Exh JDT-5 (JDT-MYRP-SUM)'!I30</f>
        <v>631694363.20787597</v>
      </c>
      <c r="K255" s="474"/>
      <c r="P255" s="416">
        <f>'Exh JDT-5 (JDT-MYRP-SUM)'!N30</f>
        <v>656056342.34078276</v>
      </c>
      <c r="R255" s="474"/>
    </row>
    <row r="256" spans="2:23" s="416" customFormat="1" x14ac:dyDescent="0.2">
      <c r="B256" s="415" t="s">
        <v>88</v>
      </c>
      <c r="C256" s="415"/>
      <c r="I256" s="416">
        <f>I253-I255</f>
        <v>353.05597770214081</v>
      </c>
      <c r="K256" s="474"/>
      <c r="P256" s="416">
        <f>P253-P255</f>
        <v>353.0559778213501</v>
      </c>
      <c r="R256" s="474"/>
    </row>
    <row r="257" spans="2:23" s="410" customFormat="1" x14ac:dyDescent="0.2">
      <c r="B257" s="413"/>
      <c r="C257" s="413"/>
      <c r="K257" s="414"/>
      <c r="R257" s="414"/>
    </row>
    <row r="258" spans="2:23" s="357" customFormat="1" x14ac:dyDescent="0.2">
      <c r="B258" s="389"/>
      <c r="C258" s="389"/>
      <c r="G258" s="473"/>
      <c r="H258" s="473"/>
      <c r="I258" s="473"/>
      <c r="J258" s="473"/>
      <c r="K258" s="381"/>
      <c r="N258" s="473"/>
      <c r="O258" s="473"/>
      <c r="P258" s="473"/>
      <c r="Q258" s="473"/>
      <c r="R258" s="381"/>
      <c r="U258" s="473"/>
      <c r="V258" s="473"/>
      <c r="W258" s="473"/>
    </row>
    <row r="259" spans="2:23" s="357" customFormat="1" x14ac:dyDescent="0.2">
      <c r="B259" s="389"/>
      <c r="C259" s="389"/>
      <c r="G259" s="473"/>
      <c r="H259" s="473"/>
      <c r="I259" s="473"/>
      <c r="J259" s="473"/>
      <c r="K259" s="381"/>
      <c r="N259" s="473"/>
      <c r="O259" s="473"/>
      <c r="P259" s="473"/>
      <c r="Q259" s="473"/>
      <c r="R259" s="381"/>
      <c r="U259" s="473"/>
      <c r="V259" s="473"/>
      <c r="W259" s="473"/>
    </row>
    <row r="260" spans="2:23" s="357" customFormat="1" x14ac:dyDescent="0.2">
      <c r="B260" s="389"/>
      <c r="C260" s="389"/>
      <c r="G260" s="473"/>
      <c r="H260" s="473"/>
      <c r="I260" s="473"/>
      <c r="J260" s="473"/>
      <c r="K260" s="381"/>
      <c r="N260" s="473"/>
      <c r="O260" s="473"/>
      <c r="P260" s="473"/>
      <c r="Q260" s="473"/>
      <c r="R260" s="381"/>
      <c r="U260" s="473"/>
      <c r="V260" s="473"/>
      <c r="W260" s="473"/>
    </row>
    <row r="261" spans="2:23" s="357" customFormat="1" x14ac:dyDescent="0.2">
      <c r="B261" s="389"/>
      <c r="C261" s="389"/>
      <c r="G261" s="473"/>
      <c r="H261" s="473"/>
      <c r="I261" s="473"/>
      <c r="J261" s="473"/>
      <c r="K261" s="381"/>
      <c r="N261" s="473"/>
      <c r="O261" s="473"/>
      <c r="P261" s="473"/>
      <c r="Q261" s="473"/>
      <c r="R261" s="381"/>
      <c r="U261" s="473"/>
      <c r="V261" s="473"/>
      <c r="W261" s="473"/>
    </row>
    <row r="262" spans="2:23" s="357" customFormat="1" x14ac:dyDescent="0.2">
      <c r="B262" s="389"/>
      <c r="C262" s="389"/>
      <c r="G262" s="473"/>
      <c r="H262" s="473"/>
      <c r="I262" s="473"/>
      <c r="J262" s="473"/>
      <c r="K262" s="381"/>
      <c r="N262" s="473"/>
      <c r="O262" s="473"/>
      <c r="P262" s="473"/>
      <c r="Q262" s="473"/>
      <c r="R262" s="381"/>
      <c r="U262" s="473"/>
      <c r="V262" s="473"/>
      <c r="W262" s="473"/>
    </row>
    <row r="263" spans="2:23" s="357" customFormat="1" x14ac:dyDescent="0.2">
      <c r="B263" s="389"/>
      <c r="C263" s="389"/>
      <c r="G263" s="473"/>
      <c r="H263" s="473"/>
      <c r="I263" s="473"/>
      <c r="J263" s="473"/>
      <c r="K263" s="381"/>
      <c r="N263" s="473"/>
      <c r="O263" s="473"/>
      <c r="P263" s="473"/>
      <c r="Q263" s="473"/>
      <c r="R263" s="381"/>
      <c r="U263" s="473"/>
      <c r="V263" s="473"/>
      <c r="W263" s="473"/>
    </row>
    <row r="264" spans="2:23" s="357" customFormat="1" x14ac:dyDescent="0.2">
      <c r="B264" s="389"/>
      <c r="C264" s="389"/>
      <c r="G264" s="473"/>
      <c r="H264" s="473"/>
      <c r="I264" s="473"/>
      <c r="J264" s="473"/>
      <c r="K264" s="381"/>
      <c r="N264" s="473"/>
      <c r="O264" s="473"/>
      <c r="P264" s="473"/>
      <c r="Q264" s="473"/>
      <c r="R264" s="381"/>
      <c r="U264" s="473"/>
      <c r="V264" s="473"/>
      <c r="W264" s="473"/>
    </row>
    <row r="265" spans="2:23" s="357" customFormat="1" x14ac:dyDescent="0.2">
      <c r="B265" s="389"/>
      <c r="C265" s="389"/>
      <c r="G265" s="473"/>
      <c r="H265" s="473"/>
      <c r="I265" s="473"/>
      <c r="J265" s="473"/>
      <c r="K265" s="381"/>
      <c r="N265" s="473"/>
      <c r="O265" s="473"/>
      <c r="P265" s="473"/>
      <c r="Q265" s="473"/>
      <c r="R265" s="381"/>
      <c r="U265" s="473"/>
      <c r="V265" s="473"/>
      <c r="W265" s="473"/>
    </row>
    <row r="266" spans="2:23" s="357" customFormat="1" x14ac:dyDescent="0.2">
      <c r="B266" s="389"/>
      <c r="C266" s="389"/>
      <c r="G266" s="473"/>
      <c r="H266" s="473"/>
      <c r="I266" s="473"/>
      <c r="J266" s="473"/>
      <c r="K266" s="381"/>
      <c r="N266" s="473"/>
      <c r="O266" s="473"/>
      <c r="P266" s="473"/>
      <c r="Q266" s="473"/>
      <c r="R266" s="381"/>
      <c r="U266" s="473"/>
      <c r="V266" s="473"/>
      <c r="W266" s="473"/>
    </row>
    <row r="267" spans="2:23" s="357" customFormat="1" x14ac:dyDescent="0.2">
      <c r="B267" s="389"/>
      <c r="C267" s="389"/>
      <c r="G267" s="473"/>
      <c r="H267" s="473"/>
      <c r="I267" s="473"/>
      <c r="J267" s="473"/>
      <c r="K267" s="381"/>
      <c r="N267" s="473"/>
      <c r="O267" s="473"/>
      <c r="P267" s="473"/>
      <c r="Q267" s="473"/>
      <c r="R267" s="381"/>
      <c r="U267" s="473"/>
      <c r="V267" s="473"/>
      <c r="W267" s="473"/>
    </row>
    <row r="268" spans="2:23" s="357" customFormat="1" x14ac:dyDescent="0.2">
      <c r="B268" s="389"/>
      <c r="C268" s="389"/>
      <c r="G268" s="473"/>
      <c r="H268" s="473"/>
      <c r="I268" s="473"/>
      <c r="J268" s="473"/>
      <c r="K268" s="381"/>
      <c r="N268" s="473"/>
      <c r="O268" s="473"/>
      <c r="P268" s="473"/>
      <c r="Q268" s="473"/>
      <c r="R268" s="381"/>
      <c r="U268" s="473"/>
      <c r="V268" s="473"/>
      <c r="W268" s="473"/>
    </row>
    <row r="269" spans="2:23" s="357" customFormat="1" x14ac:dyDescent="0.2">
      <c r="B269" s="389"/>
      <c r="C269" s="389"/>
      <c r="G269" s="473"/>
      <c r="H269" s="473"/>
      <c r="I269" s="473"/>
      <c r="J269" s="473"/>
      <c r="K269" s="381"/>
      <c r="N269" s="473"/>
      <c r="O269" s="473"/>
      <c r="P269" s="473"/>
      <c r="Q269" s="473"/>
      <c r="R269" s="381"/>
      <c r="U269" s="473"/>
      <c r="V269" s="473"/>
      <c r="W269" s="473"/>
    </row>
    <row r="270" spans="2:23" s="357" customFormat="1" x14ac:dyDescent="0.2">
      <c r="B270" s="389"/>
      <c r="C270" s="389"/>
      <c r="G270" s="473"/>
      <c r="H270" s="473"/>
      <c r="I270" s="473"/>
      <c r="J270" s="473"/>
      <c r="K270" s="381"/>
      <c r="N270" s="473"/>
      <c r="O270" s="473"/>
      <c r="P270" s="473"/>
      <c r="Q270" s="473"/>
      <c r="R270" s="381"/>
      <c r="U270" s="473"/>
      <c r="V270" s="473"/>
      <c r="W270" s="473"/>
    </row>
    <row r="271" spans="2:23" s="357" customFormat="1" x14ac:dyDescent="0.2">
      <c r="B271" s="389"/>
      <c r="C271" s="389"/>
      <c r="G271" s="473"/>
      <c r="H271" s="473"/>
      <c r="I271" s="473"/>
      <c r="J271" s="473"/>
      <c r="K271" s="381"/>
      <c r="N271" s="473"/>
      <c r="O271" s="473"/>
      <c r="P271" s="473"/>
      <c r="Q271" s="473"/>
      <c r="R271" s="381"/>
      <c r="U271" s="473"/>
      <c r="V271" s="473"/>
      <c r="W271" s="473"/>
    </row>
    <row r="272" spans="2:23" s="357" customFormat="1" x14ac:dyDescent="0.2">
      <c r="B272" s="389"/>
      <c r="C272" s="389"/>
      <c r="G272" s="473"/>
      <c r="H272" s="473"/>
      <c r="I272" s="473"/>
      <c r="J272" s="473"/>
      <c r="K272" s="381"/>
      <c r="N272" s="473"/>
      <c r="O272" s="473"/>
      <c r="P272" s="473"/>
      <c r="Q272" s="473"/>
      <c r="R272" s="381"/>
      <c r="U272" s="473"/>
      <c r="V272" s="473"/>
      <c r="W272" s="473"/>
    </row>
    <row r="273" spans="2:23" s="357" customFormat="1" x14ac:dyDescent="0.2">
      <c r="B273" s="389"/>
      <c r="C273" s="389"/>
      <c r="G273" s="473"/>
      <c r="H273" s="473"/>
      <c r="I273" s="473"/>
      <c r="J273" s="473"/>
      <c r="K273" s="381"/>
      <c r="N273" s="473"/>
      <c r="O273" s="473"/>
      <c r="P273" s="473"/>
      <c r="Q273" s="473"/>
      <c r="R273" s="381"/>
      <c r="U273" s="473"/>
      <c r="V273" s="473"/>
      <c r="W273" s="473"/>
    </row>
    <row r="274" spans="2:23" s="357" customFormat="1" x14ac:dyDescent="0.2">
      <c r="B274" s="389"/>
      <c r="C274" s="389"/>
      <c r="G274" s="473"/>
      <c r="H274" s="473"/>
      <c r="I274" s="473"/>
      <c r="J274" s="473"/>
      <c r="K274" s="381"/>
      <c r="N274" s="473"/>
      <c r="O274" s="473"/>
      <c r="P274" s="473"/>
      <c r="Q274" s="473"/>
      <c r="R274" s="381"/>
      <c r="U274" s="473"/>
      <c r="V274" s="473"/>
      <c r="W274" s="473"/>
    </row>
    <row r="275" spans="2:23" s="357" customFormat="1" x14ac:dyDescent="0.2">
      <c r="B275" s="389"/>
      <c r="C275" s="389"/>
      <c r="G275" s="473"/>
      <c r="H275" s="473"/>
      <c r="I275" s="473"/>
      <c r="J275" s="473"/>
      <c r="K275" s="381"/>
      <c r="N275" s="473"/>
      <c r="O275" s="473"/>
      <c r="P275" s="473"/>
      <c r="Q275" s="473"/>
      <c r="R275" s="381"/>
      <c r="U275" s="473"/>
      <c r="V275" s="473"/>
      <c r="W275" s="473"/>
    </row>
    <row r="276" spans="2:23" s="357" customFormat="1" x14ac:dyDescent="0.2">
      <c r="B276" s="389"/>
      <c r="C276" s="389"/>
      <c r="G276" s="473"/>
      <c r="H276" s="473"/>
      <c r="I276" s="473"/>
      <c r="J276" s="473"/>
      <c r="K276" s="381"/>
      <c r="N276" s="473"/>
      <c r="O276" s="473"/>
      <c r="P276" s="473"/>
      <c r="Q276" s="473"/>
      <c r="R276" s="381"/>
      <c r="U276" s="473"/>
      <c r="V276" s="473"/>
      <c r="W276" s="473"/>
    </row>
    <row r="277" spans="2:23" s="357" customFormat="1" x14ac:dyDescent="0.2">
      <c r="B277" s="389"/>
      <c r="C277" s="389"/>
      <c r="G277" s="473"/>
      <c r="H277" s="473"/>
      <c r="I277" s="473"/>
      <c r="J277" s="473"/>
      <c r="K277" s="381"/>
      <c r="N277" s="473"/>
      <c r="O277" s="473"/>
      <c r="P277" s="473"/>
      <c r="Q277" s="473"/>
      <c r="R277" s="381"/>
      <c r="U277" s="473"/>
      <c r="V277" s="473"/>
      <c r="W277" s="473"/>
    </row>
    <row r="278" spans="2:23" s="357" customFormat="1" x14ac:dyDescent="0.2">
      <c r="B278" s="389"/>
      <c r="C278" s="389"/>
      <c r="G278" s="473"/>
      <c r="H278" s="473"/>
      <c r="I278" s="473"/>
      <c r="J278" s="473"/>
      <c r="K278" s="381"/>
      <c r="N278" s="473"/>
      <c r="O278" s="473"/>
      <c r="P278" s="473"/>
      <c r="Q278" s="473"/>
      <c r="R278" s="381"/>
      <c r="U278" s="473"/>
      <c r="V278" s="473"/>
      <c r="W278" s="473"/>
    </row>
    <row r="279" spans="2:23" s="357" customFormat="1" x14ac:dyDescent="0.2">
      <c r="B279" s="389"/>
      <c r="C279" s="389"/>
      <c r="G279" s="473"/>
      <c r="H279" s="473"/>
      <c r="I279" s="473"/>
      <c r="J279" s="473"/>
      <c r="K279" s="381"/>
      <c r="N279" s="473"/>
      <c r="O279" s="473"/>
      <c r="P279" s="473"/>
      <c r="Q279" s="473"/>
      <c r="R279" s="381"/>
      <c r="U279" s="473"/>
      <c r="V279" s="473"/>
      <c r="W279" s="473"/>
    </row>
  </sheetData>
  <mergeCells count="3">
    <mergeCell ref="E7:I7"/>
    <mergeCell ref="S7:W7"/>
    <mergeCell ref="L7:P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T40"/>
  <sheetViews>
    <sheetView topLeftCell="A7" zoomScale="90" zoomScaleNormal="90" zoomScaleSheetLayoutView="100" workbookViewId="0">
      <selection activeCell="L44" sqref="L44"/>
    </sheetView>
  </sheetViews>
  <sheetFormatPr defaultColWidth="9.140625" defaultRowHeight="15.75" x14ac:dyDescent="0.25"/>
  <cols>
    <col min="1" max="1" width="4.85546875" style="279" bestFit="1" customWidth="1"/>
    <col min="2" max="2" width="34.42578125" style="279" customWidth="1"/>
    <col min="3" max="3" width="15.140625" style="396" bestFit="1" customWidth="1"/>
    <col min="4" max="4" width="15.140625" style="279" bestFit="1" customWidth="1"/>
    <col min="5" max="5" width="2.140625" style="279" customWidth="1"/>
    <col min="6" max="6" width="15.140625" style="393" bestFit="1" customWidth="1"/>
    <col min="7" max="7" width="15.140625" style="279" bestFit="1" customWidth="1"/>
    <col min="8" max="8" width="14" style="279" bestFit="1" customWidth="1"/>
    <col min="9" max="9" width="15.140625" style="279" bestFit="1" customWidth="1"/>
    <col min="10" max="10" width="2.140625" style="279" customWidth="1"/>
    <col min="11" max="11" width="15.140625" style="396" bestFit="1" customWidth="1"/>
    <col min="12" max="12" width="15.140625" style="279" bestFit="1" customWidth="1"/>
    <col min="13" max="13" width="14.7109375" style="279" bestFit="1" customWidth="1"/>
    <col min="14" max="14" width="15.140625" style="279" bestFit="1" customWidth="1"/>
    <col min="15" max="15" width="2.140625" style="279" customWidth="1"/>
    <col min="16" max="17" width="15.140625" style="279" bestFit="1" customWidth="1"/>
    <col min="18" max="18" width="14.7109375" style="279" bestFit="1" customWidth="1"/>
    <col min="19" max="19" width="15.140625" style="279" bestFit="1" customWidth="1"/>
    <col min="20" max="20" width="12.7109375" style="279" bestFit="1" customWidth="1"/>
    <col min="21" max="16384" width="9.140625" style="279"/>
  </cols>
  <sheetData>
    <row r="1" spans="1:20" x14ac:dyDescent="0.25">
      <c r="B1" s="490" t="str">
        <f>'Table of Contents'!$A$1</f>
        <v>Puget Sound Energy</v>
      </c>
    </row>
    <row r="2" spans="1:20" s="118" customFormat="1" ht="12.75" x14ac:dyDescent="0.2">
      <c r="B2" s="264" t="str">
        <f>'Table of Contents'!$A$2</f>
        <v>2022 Gas General Rate Case Filing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</row>
    <row r="3" spans="1:20" s="118" customFormat="1" ht="12.75" x14ac:dyDescent="0.2">
      <c r="B3" s="264" t="str">
        <f>'Table of Contents'!$A$3</f>
        <v>Gas Rate Spread &amp; Design Work Paper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</row>
    <row r="4" spans="1:20" s="118" customFormat="1" ht="12.75" x14ac:dyDescent="0.2">
      <c r="B4" s="490" t="s">
        <v>171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s="118" customFormat="1" ht="12.75" x14ac:dyDescent="0.2">
      <c r="B5" s="490" t="str">
        <f>'Exh JDT-5 (JDT-RES_RD)'!B5</f>
        <v>Rate Spread and Schedule 141R and 141N Allocation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</row>
    <row r="6" spans="1:20" ht="15" customHeight="1" x14ac:dyDescent="0.25">
      <c r="F6" s="417"/>
      <c r="G6" s="417"/>
      <c r="H6" s="417"/>
      <c r="I6" s="417"/>
    </row>
    <row r="7" spans="1:20" x14ac:dyDescent="0.25">
      <c r="A7" s="280"/>
      <c r="C7" s="768" t="s">
        <v>149</v>
      </c>
      <c r="D7" s="768"/>
      <c r="F7" s="769">
        <v>2023</v>
      </c>
      <c r="G7" s="769"/>
      <c r="H7" s="769"/>
      <c r="I7" s="769"/>
      <c r="K7" s="769">
        <v>2024</v>
      </c>
      <c r="L7" s="769"/>
      <c r="M7" s="769"/>
      <c r="N7" s="769"/>
      <c r="P7" s="769">
        <v>2025</v>
      </c>
      <c r="Q7" s="769"/>
      <c r="R7" s="769"/>
      <c r="S7" s="769"/>
    </row>
    <row r="8" spans="1:20" ht="45" x14ac:dyDescent="0.25">
      <c r="A8" s="281" t="s">
        <v>150</v>
      </c>
      <c r="B8" s="282" t="s">
        <v>13</v>
      </c>
      <c r="C8" s="398" t="s">
        <v>163</v>
      </c>
      <c r="D8" s="281" t="s">
        <v>164</v>
      </c>
      <c r="F8" s="394" t="s">
        <v>163</v>
      </c>
      <c r="G8" s="281" t="s">
        <v>164</v>
      </c>
      <c r="H8" s="281" t="s">
        <v>165</v>
      </c>
      <c r="I8" s="281" t="s">
        <v>166</v>
      </c>
      <c r="K8" s="394" t="s">
        <v>163</v>
      </c>
      <c r="L8" s="281" t="s">
        <v>164</v>
      </c>
      <c r="M8" s="281" t="s">
        <v>165</v>
      </c>
      <c r="N8" s="281" t="s">
        <v>166</v>
      </c>
      <c r="P8" s="394" t="s">
        <v>163</v>
      </c>
      <c r="Q8" s="281" t="s">
        <v>164</v>
      </c>
      <c r="R8" s="281" t="s">
        <v>165</v>
      </c>
      <c r="S8" s="281" t="s">
        <v>166</v>
      </c>
    </row>
    <row r="9" spans="1:20" x14ac:dyDescent="0.25">
      <c r="A9" s="283"/>
      <c r="B9" s="284" t="s">
        <v>151</v>
      </c>
      <c r="C9" s="533" t="s">
        <v>152</v>
      </c>
      <c r="D9" s="280" t="s">
        <v>153</v>
      </c>
      <c r="E9" s="280"/>
      <c r="F9" s="280" t="s">
        <v>154</v>
      </c>
      <c r="G9" s="280" t="s">
        <v>155</v>
      </c>
      <c r="H9" s="280" t="s">
        <v>156</v>
      </c>
      <c r="I9" s="280" t="s">
        <v>157</v>
      </c>
      <c r="J9" s="280"/>
      <c r="K9" s="280" t="s">
        <v>158</v>
      </c>
      <c r="L9" s="280" t="s">
        <v>159</v>
      </c>
      <c r="M9" s="280" t="s">
        <v>160</v>
      </c>
      <c r="N9" s="280" t="s">
        <v>161</v>
      </c>
      <c r="O9" s="280"/>
      <c r="P9" s="280" t="s">
        <v>162</v>
      </c>
      <c r="Q9" s="280" t="s">
        <v>232</v>
      </c>
      <c r="R9" s="280" t="s">
        <v>233</v>
      </c>
      <c r="S9" s="280" t="s">
        <v>234</v>
      </c>
    </row>
    <row r="10" spans="1:20" x14ac:dyDescent="0.25">
      <c r="A10" s="280">
        <v>1</v>
      </c>
      <c r="B10" s="285"/>
      <c r="P10" s="396"/>
    </row>
    <row r="11" spans="1:20" x14ac:dyDescent="0.25">
      <c r="A11" s="280">
        <f>+A10+1</f>
        <v>2</v>
      </c>
      <c r="B11" s="283" t="s">
        <v>7</v>
      </c>
      <c r="C11" s="399">
        <f>'Exh JDT-5 (JDT-RES_RD)'!F37</f>
        <v>371522164.00579327</v>
      </c>
      <c r="D11" s="288">
        <f>'Exh JDT-5 (JDT-RES_RD)'!I37</f>
        <v>403618690.2447409</v>
      </c>
      <c r="F11" s="393">
        <f>'Exh JDT-5 (JDT-MYRP)'!F12</f>
        <v>381408517.88003999</v>
      </c>
      <c r="G11" s="286">
        <f>'Exh JDT-5 (JDT-MYRP)'!G12</f>
        <v>414358362.31292999</v>
      </c>
      <c r="H11" s="286">
        <f>SUM('Exh JDT-5 (JDT-MYRP)'!H19,'Exh JDT-5 (JDT-MYRP)'!H27,'Exh JDT-5 (JDT-MYRP)'!H35)</f>
        <v>15616720.856219999</v>
      </c>
      <c r="I11" s="286">
        <f>SUM('Exh JDT-5 (JDT-MYRP)'!I19,'Exh JDT-5 (JDT-MYRP)'!I27,'Exh JDT-5 (JDT-MYRP)'!I35)</f>
        <v>14267599.087059999</v>
      </c>
      <c r="K11" s="397">
        <f>'Exh JDT-5 (JDT-MYRP)'!M12</f>
        <v>384032148.01235998</v>
      </c>
      <c r="L11" s="286">
        <f>'Exh JDT-5 (JDT-MYRP)'!N12</f>
        <v>417207632.91536999</v>
      </c>
      <c r="M11" s="286">
        <f>SUM('Exh JDT-5 (JDT-MYRP)'!O19,'Exh JDT-5 (JDT-MYRP)'!O27,'Exh JDT-5 (JDT-MYRP)'!O35)</f>
        <v>9054943.0749600008</v>
      </c>
      <c r="N11" s="286">
        <f>SUM('Exh JDT-5 (JDT-MYRP)'!P19,'Exh JDT-5 (JDT-MYRP)'!P27,'Exh JDT-5 (JDT-MYRP)'!P35)</f>
        <v>34352510.027319998</v>
      </c>
      <c r="P11" s="397"/>
      <c r="Q11" s="286"/>
      <c r="R11" s="286"/>
      <c r="S11" s="286"/>
    </row>
    <row r="12" spans="1:20" x14ac:dyDescent="0.25">
      <c r="A12" s="280">
        <f t="shared" ref="A12:A15" si="0">+A11+1</f>
        <v>3</v>
      </c>
      <c r="B12" s="283" t="s">
        <v>104</v>
      </c>
      <c r="C12" s="397">
        <f>'Exh JDT-5 (JDT-C&amp;I-RD)'!F36</f>
        <v>111031564.85000001</v>
      </c>
      <c r="D12" s="286">
        <f>'Exh JDT-5 (JDT-C&amp;I-RD)'!I36</f>
        <v>122144982.04000001</v>
      </c>
      <c r="F12" s="393">
        <f>'Exh JDT-5 (JDT-MYRP)'!F41</f>
        <v>119685870.05628002</v>
      </c>
      <c r="G12" s="286">
        <f>'Exh JDT-5 (JDT-MYRP)'!G41</f>
        <v>131574707.34621</v>
      </c>
      <c r="H12" s="286">
        <f>SUM('Exh JDT-5 (JDT-MYRP)'!H49,'Exh JDT-5 (JDT-MYRP)'!H59)</f>
        <v>5509083.5092500001</v>
      </c>
      <c r="I12" s="286">
        <f>SUM('Exh JDT-5 (JDT-MYRP)'!I49,'Exh JDT-5 (JDT-MYRP)'!I59)</f>
        <v>5032359.2850499991</v>
      </c>
      <c r="K12" s="397">
        <f>'Exh JDT-5 (JDT-MYRP)'!M41</f>
        <v>120892478.12313001</v>
      </c>
      <c r="L12" s="286">
        <f>'Exh JDT-5 (JDT-MYRP)'!N41</f>
        <v>132894031.59946001</v>
      </c>
      <c r="M12" s="286">
        <f>SUM('Exh JDT-5 (JDT-MYRP)'!O49,'Exh JDT-5 (JDT-MYRP)'!O59)</f>
        <v>3192692.0277999998</v>
      </c>
      <c r="N12" s="286">
        <f>SUM('Exh JDT-5 (JDT-MYRP)'!P49,'Exh JDT-5 (JDT-MYRP)'!P59)</f>
        <v>12118947.319700001</v>
      </c>
      <c r="P12" s="397"/>
      <c r="Q12" s="286"/>
      <c r="R12" s="286"/>
      <c r="S12" s="286"/>
    </row>
    <row r="13" spans="1:20" x14ac:dyDescent="0.25">
      <c r="A13" s="280">
        <f t="shared" si="0"/>
        <v>4</v>
      </c>
      <c r="B13" s="283" t="s">
        <v>105</v>
      </c>
      <c r="C13" s="397">
        <f>'Exh JDT-5 (JDT-C&amp;I-RD)'!F86</f>
        <v>20697587.662770957</v>
      </c>
      <c r="D13" s="286">
        <f>'Exh JDT-5 (JDT-C&amp;I-RD)'!I86</f>
        <v>22261797.053338237</v>
      </c>
      <c r="F13" s="393">
        <f>'Exh JDT-5 (JDT-MYRP)'!F65</f>
        <v>21705020.029999997</v>
      </c>
      <c r="G13" s="286">
        <f>'Exh JDT-5 (JDT-MYRP)'!G65</f>
        <v>23329049.833149999</v>
      </c>
      <c r="H13" s="286">
        <f>SUM('Exh JDT-5 (JDT-MYRP)'!H80,'Exh JDT-5 (JDT-MYRP)'!H97)</f>
        <v>1000555.6069799999</v>
      </c>
      <c r="I13" s="286">
        <f>SUM('Exh JDT-5 (JDT-MYRP)'!I80,'Exh JDT-5 (JDT-MYRP)'!I97)</f>
        <v>913711.44533999998</v>
      </c>
      <c r="K13" s="397">
        <f>'Exh JDT-5 (JDT-MYRP)'!M65</f>
        <v>21813071.000000004</v>
      </c>
      <c r="L13" s="286">
        <f>'Exh JDT-5 (JDT-MYRP)'!N65</f>
        <v>23444839.643789999</v>
      </c>
      <c r="M13" s="286">
        <f>SUM('Exh JDT-5 (JDT-MYRP)'!O80,'Exh JDT-5 (JDT-MYRP)'!O97)</f>
        <v>580018.81275000004</v>
      </c>
      <c r="N13" s="286">
        <f>SUM('Exh JDT-5 (JDT-MYRP)'!P80,'Exh JDT-5 (JDT-MYRP)'!P97)</f>
        <v>2200522.2590000005</v>
      </c>
      <c r="P13" s="397"/>
      <c r="Q13" s="286"/>
      <c r="R13" s="286"/>
      <c r="S13" s="286"/>
    </row>
    <row r="14" spans="1:20" x14ac:dyDescent="0.25">
      <c r="A14" s="280">
        <f t="shared" si="0"/>
        <v>5</v>
      </c>
      <c r="B14" s="283" t="s">
        <v>8</v>
      </c>
      <c r="C14" s="397">
        <f>'Exh JDT-5 (JDT-INTRPL-RD)'!F54</f>
        <v>8603644.5934943184</v>
      </c>
      <c r="D14" s="286">
        <f>'Exh JDT-5 (JDT-INTRPL-RD)'!I54</f>
        <v>9611990.3699999992</v>
      </c>
      <c r="F14" s="393">
        <f>'Exh JDT-5 (JDT-MYRP)'!F103</f>
        <v>7448585.0592142921</v>
      </c>
      <c r="G14" s="286">
        <f>'Exh JDT-5 (JDT-MYRP)'!G103</f>
        <v>8308183.4203100381</v>
      </c>
      <c r="H14" s="286">
        <f>SUM('Exh JDT-5 (JDT-MYRP)'!H117,'Exh JDT-5 (JDT-MYRP)'!H134)</f>
        <v>475994.29752000002</v>
      </c>
      <c r="I14" s="286">
        <f>SUM('Exh JDT-5 (JDT-MYRP)'!I117,'Exh JDT-5 (JDT-MYRP)'!I134)</f>
        <v>434603.48903999996</v>
      </c>
      <c r="K14" s="397">
        <f>'Exh JDT-5 (JDT-MYRP)'!M103</f>
        <v>7380545.0838783914</v>
      </c>
      <c r="L14" s="286">
        <f>'Exh JDT-5 (JDT-MYRP)'!N103</f>
        <v>8231195.1450351439</v>
      </c>
      <c r="M14" s="286">
        <f>SUM('Exh JDT-5 (JDT-MYRP)'!O117,'Exh JDT-5 (JDT-MYRP)'!O134)</f>
        <v>276069.66911999998</v>
      </c>
      <c r="N14" s="286">
        <f>SUM('Exh JDT-5 (JDT-MYRP)'!P117,'Exh JDT-5 (JDT-MYRP)'!P134)</f>
        <v>1047311.9193599999</v>
      </c>
      <c r="P14" s="397"/>
      <c r="Q14" s="286"/>
      <c r="R14" s="286"/>
      <c r="S14" s="286"/>
    </row>
    <row r="15" spans="1:20" x14ac:dyDescent="0.25">
      <c r="A15" s="280">
        <f t="shared" si="0"/>
        <v>6</v>
      </c>
      <c r="B15" s="283" t="s">
        <v>106</v>
      </c>
      <c r="C15" s="397">
        <f>'Exh JDT-5 (JDT-INTRPL-RD)'!F98</f>
        <v>1496082.9500000002</v>
      </c>
      <c r="D15" s="286">
        <f>'Exh JDT-5 (JDT-INTRPL-RD)'!I98</f>
        <v>1560031.02</v>
      </c>
      <c r="F15" s="393">
        <f>'Exh JDT-5 (JDT-MYRP)'!F140</f>
        <v>1247670.0419045878</v>
      </c>
      <c r="G15" s="286">
        <f>'Exh JDT-5 (JDT-MYRP)'!G140</f>
        <v>1301149.7270639944</v>
      </c>
      <c r="H15" s="286">
        <f>SUM('Exh JDT-5 (JDT-MYRP)'!H153,'Exh JDT-5 (JDT-MYRP)'!H169)</f>
        <v>32727.969750000004</v>
      </c>
      <c r="I15" s="286">
        <f>SUM('Exh JDT-5 (JDT-MYRP)'!I153,'Exh JDT-5 (JDT-MYRP)'!I169)</f>
        <v>29922.715199999999</v>
      </c>
      <c r="K15" s="397">
        <f>'Exh JDT-5 (JDT-MYRP)'!M140</f>
        <v>1211985.7785573273</v>
      </c>
      <c r="L15" s="286">
        <f>'Exh JDT-5 (JDT-MYRP)'!N140</f>
        <v>1264029.5076047436</v>
      </c>
      <c r="M15" s="286">
        <f>SUM('Exh JDT-5 (JDT-MYRP)'!O153,'Exh JDT-5 (JDT-MYRP)'!O169)</f>
        <v>18993.184300000001</v>
      </c>
      <c r="N15" s="286">
        <f>SUM('Exh JDT-5 (JDT-MYRP)'!P153,'Exh JDT-5 (JDT-MYRP)'!P169)</f>
        <v>71967.784599999999</v>
      </c>
      <c r="P15" s="397"/>
      <c r="Q15" s="286"/>
      <c r="R15" s="286"/>
      <c r="S15" s="286"/>
    </row>
    <row r="16" spans="1:20" x14ac:dyDescent="0.25">
      <c r="A16" s="280">
        <f>+A15+1</f>
        <v>7</v>
      </c>
      <c r="B16" s="283" t="s">
        <v>107</v>
      </c>
      <c r="C16" s="397">
        <f>'Exh JDT-5 (JDT-INTRPL-RD)'!F155</f>
        <v>5587277.8200000003</v>
      </c>
      <c r="D16" s="286">
        <f>'Exh JDT-5 (JDT-INTRPL-RD)'!I155</f>
        <v>6299906.5300000003</v>
      </c>
      <c r="F16" s="393">
        <f>'Exh JDT-5 (JDT-MYRP)'!F175</f>
        <v>6484148.915463971</v>
      </c>
      <c r="G16" s="286">
        <f>'Exh JDT-5 (JDT-MYRP)'!G175</f>
        <v>7273078.4699999997</v>
      </c>
      <c r="H16" s="286">
        <f>SUM('Exh JDT-5 (JDT-MYRP)'!H192,'Exh JDT-5 (JDT-MYRP)'!H212)</f>
        <v>311405.00550854392</v>
      </c>
      <c r="I16" s="286">
        <f>SUM('Exh JDT-5 (JDT-MYRP)'!I192,'Exh JDT-5 (JDT-MYRP)'!I212)</f>
        <v>284484.62271793053</v>
      </c>
      <c r="K16" s="397">
        <f>'Exh JDT-5 (JDT-MYRP)'!M175</f>
        <v>6797351.655923971</v>
      </c>
      <c r="L16" s="286">
        <f>'Exh JDT-5 (JDT-MYRP)'!N175</f>
        <v>7597247.8700000001</v>
      </c>
      <c r="M16" s="286">
        <f>SUM('Exh JDT-5 (JDT-MYRP)'!O192,'Exh JDT-5 (JDT-MYRP)'!O212)</f>
        <v>180517.58438134365</v>
      </c>
      <c r="N16" s="286">
        <f>SUM('Exh JDT-5 (JDT-MYRP)'!P192,'Exh JDT-5 (JDT-MYRP)'!P212)</f>
        <v>684802.45983843284</v>
      </c>
      <c r="P16" s="397"/>
      <c r="Q16" s="286"/>
      <c r="R16" s="286"/>
      <c r="S16" s="286"/>
    </row>
    <row r="17" spans="1:20" x14ac:dyDescent="0.25">
      <c r="A17" s="280">
        <f t="shared" ref="A17:A18" si="1">+A16+1</f>
        <v>8</v>
      </c>
      <c r="B17" s="283" t="s">
        <v>5</v>
      </c>
      <c r="C17" s="397">
        <v>1649472.3881615999</v>
      </c>
      <c r="D17" s="286">
        <f>'Exh JDT-5 (JDT-INTRPL-RD)'!I168</f>
        <v>1699064.4523564125</v>
      </c>
      <c r="F17" s="393">
        <v>1620924.2085755297</v>
      </c>
      <c r="G17" s="286">
        <f>F17++'Exh JDT-5 (JDT-Rate Spread)'!L46</f>
        <v>1640664.2085755297</v>
      </c>
      <c r="H17" s="286"/>
      <c r="I17" s="286"/>
      <c r="K17" s="397">
        <v>1618329.5363931155</v>
      </c>
      <c r="L17" s="286">
        <f>K17++'Exh JDT-5 (JDT-Rate Spread)'!L46</f>
        <v>1638069.5363931155</v>
      </c>
      <c r="M17" s="286"/>
      <c r="N17" s="286"/>
      <c r="P17" s="397"/>
      <c r="Q17" s="286"/>
      <c r="R17" s="286"/>
      <c r="S17" s="286"/>
    </row>
    <row r="18" spans="1:20" ht="16.5" thickBot="1" x14ac:dyDescent="0.3">
      <c r="A18" s="280">
        <f t="shared" si="1"/>
        <v>9</v>
      </c>
      <c r="B18" s="279" t="s">
        <v>2</v>
      </c>
      <c r="C18" s="395">
        <f>SUM(C11:C17)</f>
        <v>520587794.2702201</v>
      </c>
      <c r="D18" s="287">
        <f>SUM(D11:D17)</f>
        <v>567196461.71043563</v>
      </c>
      <c r="F18" s="395">
        <f>SUM(F11:F17)</f>
        <v>539600736.19147825</v>
      </c>
      <c r="G18" s="412">
        <f>SUM(G11:G17)</f>
        <v>587785195.31823957</v>
      </c>
      <c r="H18" s="412">
        <f>SUM(H11:H17)</f>
        <v>22946487.245228544</v>
      </c>
      <c r="I18" s="412">
        <f>SUM(I11:I17)</f>
        <v>20962680.644407928</v>
      </c>
      <c r="K18" s="395">
        <f>SUM(K11:K17)</f>
        <v>543745909.19024289</v>
      </c>
      <c r="L18" s="287">
        <f>SUM(L11:L17)</f>
        <v>592277046.21765304</v>
      </c>
      <c r="M18" s="287">
        <f>SUM(M11:M17)</f>
        <v>13303234.353311345</v>
      </c>
      <c r="N18" s="287">
        <f>SUM(N11:N17)</f>
        <v>50476061.769818433</v>
      </c>
      <c r="P18" s="395">
        <f>SUM(P11:P17)</f>
        <v>0</v>
      </c>
      <c r="Q18" s="287">
        <f>SUM(Q11:Q17)</f>
        <v>0</v>
      </c>
      <c r="R18" s="287">
        <f>SUM(R11:R17)</f>
        <v>0</v>
      </c>
      <c r="S18" s="287">
        <f>SUM(S11:S17)</f>
        <v>0</v>
      </c>
    </row>
    <row r="19" spans="1:20" ht="16.5" thickTop="1" x14ac:dyDescent="0.25">
      <c r="A19" s="280"/>
      <c r="C19" s="400"/>
      <c r="D19" s="291"/>
      <c r="F19" s="400"/>
      <c r="G19" s="291"/>
      <c r="H19" s="291"/>
      <c r="I19" s="291"/>
      <c r="K19" s="400"/>
      <c r="L19" s="291"/>
      <c r="M19" s="291"/>
      <c r="N19" s="291"/>
      <c r="P19" s="400"/>
      <c r="Q19" s="291"/>
      <c r="R19" s="291"/>
      <c r="S19" s="291"/>
    </row>
    <row r="20" spans="1:20" x14ac:dyDescent="0.25">
      <c r="A20" s="280">
        <f>A18+1</f>
        <v>10</v>
      </c>
      <c r="B20" s="279" t="s">
        <v>199</v>
      </c>
      <c r="C20" s="400"/>
      <c r="D20" s="291"/>
      <c r="F20" s="400">
        <f>F18-C18</f>
        <v>19012941.921258152</v>
      </c>
      <c r="G20" s="291"/>
      <c r="H20" s="291"/>
      <c r="I20" s="291"/>
      <c r="K20" s="400">
        <f>K18-C18</f>
        <v>23158114.920022786</v>
      </c>
      <c r="L20" s="291"/>
      <c r="M20" s="291"/>
      <c r="N20" s="291"/>
      <c r="P20" s="400">
        <v>0</v>
      </c>
      <c r="Q20" s="291"/>
      <c r="R20" s="291"/>
      <c r="S20" s="291"/>
    </row>
    <row r="21" spans="1:20" x14ac:dyDescent="0.25">
      <c r="A21" s="280">
        <f>+A20+1</f>
        <v>11</v>
      </c>
      <c r="B21" s="279" t="s">
        <v>194</v>
      </c>
      <c r="C21" s="400"/>
      <c r="D21" s="291"/>
      <c r="G21" s="291">
        <f>G18-D18</f>
        <v>20588733.607803941</v>
      </c>
      <c r="H21" s="291"/>
      <c r="I21" s="291"/>
      <c r="K21" s="393"/>
      <c r="L21" s="291">
        <f>L18-D18</f>
        <v>25080584.507217407</v>
      </c>
      <c r="M21" s="291"/>
      <c r="N21" s="291"/>
      <c r="Q21" s="291">
        <v>0</v>
      </c>
      <c r="R21" s="291"/>
      <c r="S21" s="291"/>
    </row>
    <row r="22" spans="1:20" x14ac:dyDescent="0.25">
      <c r="A22" s="280">
        <f>+A21+1</f>
        <v>12</v>
      </c>
      <c r="B22" s="279" t="s">
        <v>91</v>
      </c>
      <c r="C22" s="400"/>
      <c r="D22" s="291"/>
      <c r="G22" s="411">
        <f>G21-F20</f>
        <v>1575791.6865457892</v>
      </c>
      <c r="H22" s="291"/>
      <c r="I22" s="291"/>
      <c r="K22" s="393"/>
      <c r="L22" s="291">
        <f>L21-K20</f>
        <v>1922469.5871946216</v>
      </c>
      <c r="M22" s="291"/>
      <c r="N22" s="291"/>
      <c r="Q22" s="291">
        <f>Q21-P20</f>
        <v>0</v>
      </c>
      <c r="R22" s="291"/>
      <c r="S22" s="291"/>
    </row>
    <row r="23" spans="1:20" x14ac:dyDescent="0.25">
      <c r="A23" s="280"/>
      <c r="C23" s="400"/>
      <c r="D23" s="291"/>
      <c r="G23" s="291"/>
      <c r="H23" s="291"/>
      <c r="I23" s="291"/>
      <c r="L23" s="291"/>
      <c r="M23" s="291"/>
      <c r="N23" s="291"/>
      <c r="Q23" s="291"/>
      <c r="R23" s="291"/>
      <c r="S23" s="291"/>
    </row>
    <row r="24" spans="1:20" s="403" customFormat="1" x14ac:dyDescent="0.25">
      <c r="B24" s="403" t="s">
        <v>197</v>
      </c>
      <c r="D24" s="405"/>
      <c r="F24" s="404"/>
      <c r="H24" s="405">
        <v>-9917.7636761665344</v>
      </c>
      <c r="M24" s="405">
        <v>-27106197.244208008</v>
      </c>
      <c r="R24" s="405">
        <v>0</v>
      </c>
    </row>
    <row r="25" spans="1:20" s="403" customFormat="1" x14ac:dyDescent="0.25">
      <c r="B25" s="403" t="s">
        <v>198</v>
      </c>
      <c r="D25" s="405"/>
      <c r="F25" s="404"/>
      <c r="G25" s="405"/>
      <c r="H25" s="405">
        <f>+H24</f>
        <v>-9917.7636761665344</v>
      </c>
      <c r="M25" s="405">
        <f>H24+M24</f>
        <v>-27116115.007884175</v>
      </c>
      <c r="R25" s="405">
        <v>0</v>
      </c>
    </row>
    <row r="26" spans="1:20" s="403" customFormat="1" x14ac:dyDescent="0.25">
      <c r="B26" s="403" t="s">
        <v>196</v>
      </c>
      <c r="D26" s="405"/>
      <c r="F26" s="404"/>
      <c r="H26" s="405">
        <f>H25-G22</f>
        <v>-1585709.4502219558</v>
      </c>
      <c r="M26" s="405">
        <f>M25-L22</f>
        <v>-29038584.595078796</v>
      </c>
      <c r="R26" s="405">
        <v>0</v>
      </c>
    </row>
    <row r="27" spans="1:20" s="403" customFormat="1" x14ac:dyDescent="0.25">
      <c r="D27" s="405"/>
      <c r="F27" s="404"/>
      <c r="H27" s="406"/>
    </row>
    <row r="28" spans="1:20" s="403" customFormat="1" x14ac:dyDescent="0.25">
      <c r="D28" s="405"/>
      <c r="F28" s="404"/>
      <c r="I28" s="405"/>
    </row>
    <row r="29" spans="1:20" s="403" customFormat="1" x14ac:dyDescent="0.25">
      <c r="B29" s="403" t="s">
        <v>195</v>
      </c>
      <c r="D29" s="407"/>
      <c r="F29" s="405">
        <v>541636319.26357377</v>
      </c>
      <c r="I29" s="405">
        <v>631690364.27253067</v>
      </c>
      <c r="K29" s="405">
        <v>545781492.25652039</v>
      </c>
      <c r="N29" s="405">
        <v>656053162.24328077</v>
      </c>
      <c r="P29" s="402">
        <v>0</v>
      </c>
      <c r="S29" s="402">
        <v>0</v>
      </c>
    </row>
    <row r="30" spans="1:20" s="403" customFormat="1" x14ac:dyDescent="0.25">
      <c r="B30" s="403" t="s">
        <v>201</v>
      </c>
      <c r="F30" s="405">
        <f>F18</f>
        <v>539600736.19147825</v>
      </c>
      <c r="I30" s="402">
        <f>SUM(G18:I18)</f>
        <v>631694363.20787597</v>
      </c>
      <c r="K30" s="405">
        <f>K18</f>
        <v>543745909.19024289</v>
      </c>
      <c r="N30" s="402">
        <f>SUM(L18:N18)</f>
        <v>656056342.34078276</v>
      </c>
      <c r="P30" s="402">
        <f>P18</f>
        <v>0</v>
      </c>
      <c r="S30" s="402">
        <f>SUM(Q18:S18)</f>
        <v>0</v>
      </c>
    </row>
    <row r="31" spans="1:20" s="408" customFormat="1" x14ac:dyDescent="0.25">
      <c r="B31" s="403" t="s">
        <v>239</v>
      </c>
      <c r="D31" s="409"/>
      <c r="F31" s="534">
        <f>F29-F30</f>
        <v>2035583.0720955133</v>
      </c>
      <c r="G31" s="403"/>
      <c r="H31" s="403"/>
      <c r="I31" s="534">
        <f>I29-I30</f>
        <v>-3998.9353452920914</v>
      </c>
      <c r="J31" s="403"/>
      <c r="K31" s="534">
        <f>K29-K30</f>
        <v>2035583.066277504</v>
      </c>
      <c r="L31" s="403"/>
      <c r="M31" s="403"/>
      <c r="N31" s="534">
        <f>N29-N30</f>
        <v>-3180.0975019931793</v>
      </c>
      <c r="O31" s="403"/>
      <c r="P31" s="534">
        <f>P29-P30</f>
        <v>0</v>
      </c>
      <c r="Q31" s="403"/>
      <c r="R31" s="403"/>
      <c r="S31" s="534">
        <f>S29-S30</f>
        <v>0</v>
      </c>
    </row>
    <row r="32" spans="1:20" s="403" customFormat="1" x14ac:dyDescent="0.25">
      <c r="F32" s="404"/>
      <c r="H32" s="406"/>
      <c r="T32" s="405"/>
    </row>
    <row r="33" spans="1:19" s="403" customFormat="1" x14ac:dyDescent="0.25">
      <c r="F33" s="404"/>
      <c r="I33" s="405"/>
    </row>
    <row r="34" spans="1:19" s="403" customFormat="1" x14ac:dyDescent="0.25">
      <c r="F34" s="404"/>
    </row>
    <row r="35" spans="1:19" s="403" customFormat="1" x14ac:dyDescent="0.25">
      <c r="A35" s="401"/>
      <c r="B35" s="403" t="s">
        <v>178</v>
      </c>
      <c r="C35" s="402"/>
      <c r="D35" s="402"/>
      <c r="F35" s="404"/>
      <c r="H35" s="402">
        <f>'Exh JDT-5 (JDT-Rate Spread)'!C70</f>
        <v>22944488.499915916</v>
      </c>
      <c r="I35" s="402">
        <f>'Exh JDT-5 (JDT-Rate Spread)'!C81</f>
        <v>20963340.699892666</v>
      </c>
      <c r="L35" s="402"/>
      <c r="M35" s="402">
        <f>'Exh JDT-5 (JDT-Rate Spread)'!C74</f>
        <v>13302014.814609159</v>
      </c>
      <c r="N35" s="402">
        <f>'Exh JDT-5 (JDT-Rate Spread)'!C82</f>
        <v>50476761.462354153</v>
      </c>
      <c r="Q35" s="402"/>
      <c r="R35" s="402">
        <f>'Exh JDT-5 (JDT-Rate Spread)'!C78</f>
        <v>0</v>
      </c>
      <c r="S35" s="402">
        <f>'Exh JDT-5 (JDT-Rate Spread)'!C83</f>
        <v>0</v>
      </c>
    </row>
    <row r="36" spans="1:19" s="403" customFormat="1" x14ac:dyDescent="0.25">
      <c r="A36" s="401"/>
      <c r="B36" s="403" t="s">
        <v>240</v>
      </c>
      <c r="C36" s="402"/>
      <c r="D36" s="402"/>
      <c r="F36" s="404"/>
      <c r="G36" s="402"/>
      <c r="H36" s="402">
        <f>H18</f>
        <v>22946487.245228544</v>
      </c>
      <c r="I36" s="402">
        <f>I18</f>
        <v>20962680.644407928</v>
      </c>
      <c r="L36" s="402"/>
      <c r="M36" s="402">
        <f>M18</f>
        <v>13303234.353311345</v>
      </c>
      <c r="N36" s="402">
        <f>N18</f>
        <v>50476061.769818433</v>
      </c>
      <c r="Q36" s="402"/>
      <c r="R36" s="402">
        <f>R18</f>
        <v>0</v>
      </c>
      <c r="S36" s="402">
        <f>S18</f>
        <v>0</v>
      </c>
    </row>
    <row r="37" spans="1:19" s="403" customFormat="1" x14ac:dyDescent="0.25">
      <c r="B37" s="403" t="s">
        <v>241</v>
      </c>
      <c r="F37" s="404"/>
      <c r="H37" s="405">
        <f>H35-H36</f>
        <v>-1998.7453126274049</v>
      </c>
      <c r="I37" s="405">
        <f>I35-I36</f>
        <v>660.0554847382009</v>
      </c>
      <c r="M37" s="405">
        <f>M35-M36</f>
        <v>-1219.538702186197</v>
      </c>
      <c r="N37" s="405">
        <f>N35-N36</f>
        <v>699.69253572076559</v>
      </c>
      <c r="R37" s="405">
        <f>R35-R36</f>
        <v>0</v>
      </c>
      <c r="S37" s="405">
        <f>S35-S36</f>
        <v>0</v>
      </c>
    </row>
    <row r="39" spans="1:19" ht="18.95" customHeight="1" thickBot="1" x14ac:dyDescent="0.3">
      <c r="B39" s="676" t="s">
        <v>333</v>
      </c>
      <c r="C39" s="673">
        <v>520587794.2702201</v>
      </c>
      <c r="D39" s="674">
        <v>567196461.71043563</v>
      </c>
      <c r="E39" s="672"/>
      <c r="F39" s="673">
        <v>539600736.19147825</v>
      </c>
      <c r="G39" s="674">
        <v>587785195.31823957</v>
      </c>
      <c r="H39" s="674">
        <v>-1589849.677868865</v>
      </c>
      <c r="I39" s="674">
        <v>45492653.785575338</v>
      </c>
      <c r="J39" s="672"/>
      <c r="K39" s="673">
        <v>543745909.19024289</v>
      </c>
      <c r="L39" s="674">
        <v>592277046.21765304</v>
      </c>
      <c r="M39" s="674">
        <v>-29036383.99469918</v>
      </c>
      <c r="N39" s="674">
        <v>92814915.17068705</v>
      </c>
      <c r="O39" s="677"/>
      <c r="P39" s="678"/>
      <c r="Q39" s="411"/>
      <c r="R39" s="411"/>
      <c r="S39" s="411"/>
    </row>
    <row r="40" spans="1:19" ht="16.5" thickTop="1" x14ac:dyDescent="0.25">
      <c r="B40" s="676" t="s">
        <v>298</v>
      </c>
      <c r="C40" s="675">
        <f>C18-C39</f>
        <v>0</v>
      </c>
      <c r="D40" s="675">
        <f t="shared" ref="D40:N40" si="2">D18-D39</f>
        <v>0</v>
      </c>
      <c r="E40" s="675">
        <f t="shared" si="2"/>
        <v>0</v>
      </c>
      <c r="F40" s="675">
        <f t="shared" si="2"/>
        <v>0</v>
      </c>
      <c r="G40" s="675">
        <f t="shared" si="2"/>
        <v>0</v>
      </c>
      <c r="H40" s="675">
        <f t="shared" si="2"/>
        <v>24536336.923097409</v>
      </c>
      <c r="I40" s="675">
        <f t="shared" si="2"/>
        <v>-24529973.14116741</v>
      </c>
      <c r="J40" s="675">
        <f t="shared" si="2"/>
        <v>0</v>
      </c>
      <c r="K40" s="675">
        <f t="shared" si="2"/>
        <v>0</v>
      </c>
      <c r="L40" s="675">
        <f t="shared" si="2"/>
        <v>0</v>
      </c>
      <c r="M40" s="675">
        <f t="shared" si="2"/>
        <v>42339618.348010525</v>
      </c>
      <c r="N40" s="675">
        <f t="shared" si="2"/>
        <v>-42338853.400868617</v>
      </c>
      <c r="O40" s="678"/>
      <c r="P40" s="678"/>
      <c r="Q40" s="678"/>
      <c r="R40" s="678"/>
      <c r="S40" s="678"/>
    </row>
  </sheetData>
  <mergeCells count="4">
    <mergeCell ref="C7:D7"/>
    <mergeCell ref="F7:I7"/>
    <mergeCell ref="K7:N7"/>
    <mergeCell ref="P7:S7"/>
  </mergeCells>
  <phoneticPr fontId="11" type="noConversion"/>
  <pageMargins left="0.45" right="0.45" top="0.75" bottom="0.75" header="0.3" footer="0.3"/>
  <pageSetup scale="75" orientation="landscape" r:id="rId1"/>
  <headerFooter>
    <oddFooter>&amp;R&amp;A
 Page &amp;P of &amp;N</oddFooter>
  </headerFooter>
  <colBreaks count="2" manualBreakCount="2">
    <brk id="10" max="22" man="1"/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23"/>
  <sheetViews>
    <sheetView zoomScale="90" zoomScaleNormal="90" zoomScaleSheetLayoutView="90" workbookViewId="0">
      <selection activeCell="O20" sqref="O20"/>
    </sheetView>
  </sheetViews>
  <sheetFormatPr defaultRowHeight="15" x14ac:dyDescent="0.25"/>
  <cols>
    <col min="1" max="1" width="4" customWidth="1"/>
    <col min="2" max="2" width="26.7109375" bestFit="1" customWidth="1"/>
    <col min="3" max="3" width="26.7109375" customWidth="1"/>
    <col min="4" max="4" width="10" customWidth="1"/>
    <col min="5" max="5" width="13.7109375" customWidth="1"/>
    <col min="6" max="7" width="11.42578125" customWidth="1"/>
    <col min="8" max="8" width="4.140625" customWidth="1"/>
    <col min="9" max="9" width="14.28515625" customWidth="1"/>
    <col min="10" max="10" width="11.42578125" customWidth="1"/>
    <col min="11" max="11" width="3.5703125" customWidth="1"/>
    <col min="12" max="13" width="11.42578125" customWidth="1"/>
  </cols>
  <sheetData>
    <row r="1" spans="2:13" x14ac:dyDescent="0.25">
      <c r="B1" s="490" t="str">
        <f>'Table of Contents'!$A$1</f>
        <v>Puget Sound Energy</v>
      </c>
    </row>
    <row r="2" spans="2:13" x14ac:dyDescent="0.25">
      <c r="B2" s="264" t="str">
        <f>'Table of Contents'!$A$2</f>
        <v>2022 Gas General Rate Case Filing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2:13" x14ac:dyDescent="0.25">
      <c r="B3" s="264" t="str">
        <f>'Table of Contents'!$A$3</f>
        <v>Gas Rate Spread &amp; Design Work Paper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</row>
    <row r="4" spans="2:13" x14ac:dyDescent="0.25">
      <c r="B4" s="490" t="s">
        <v>177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</row>
    <row r="5" spans="2:13" x14ac:dyDescent="0.25">
      <c r="B5" s="490" t="str">
        <f>'Exh JDT-5 (JDT-Rate Spread)'!B5</f>
        <v>Rate Spread and Schedule 141R and 141N Allocation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</row>
    <row r="7" spans="2:13" x14ac:dyDescent="0.25">
      <c r="B7" s="307"/>
      <c r="C7" s="296"/>
      <c r="D7" s="296"/>
      <c r="E7" s="308" t="s">
        <v>10</v>
      </c>
      <c r="F7" s="309" t="s">
        <v>175</v>
      </c>
      <c r="G7" s="310"/>
      <c r="H7" s="308"/>
      <c r="I7" s="311" t="s">
        <v>176</v>
      </c>
      <c r="J7" s="310"/>
      <c r="K7" s="312"/>
      <c r="L7" s="770" t="s">
        <v>12</v>
      </c>
      <c r="M7" s="771"/>
    </row>
    <row r="8" spans="2:13" x14ac:dyDescent="0.25">
      <c r="B8" s="47" t="s">
        <v>172</v>
      </c>
      <c r="C8" s="297" t="s">
        <v>13</v>
      </c>
      <c r="D8" s="313" t="s">
        <v>14</v>
      </c>
      <c r="E8" s="314" t="s">
        <v>15</v>
      </c>
      <c r="F8" s="315" t="s">
        <v>4</v>
      </c>
      <c r="G8" s="207" t="s">
        <v>16</v>
      </c>
      <c r="H8" s="314"/>
      <c r="I8" s="220" t="s">
        <v>4</v>
      </c>
      <c r="J8" s="207" t="s">
        <v>16</v>
      </c>
      <c r="K8" s="207"/>
      <c r="L8" s="207" t="s">
        <v>17</v>
      </c>
      <c r="M8" s="316" t="s">
        <v>18</v>
      </c>
    </row>
    <row r="9" spans="2:13" x14ac:dyDescent="0.25">
      <c r="B9" s="317"/>
      <c r="C9" s="169"/>
      <c r="D9" s="294"/>
      <c r="E9" s="142"/>
      <c r="F9" s="161"/>
      <c r="G9" s="51"/>
      <c r="H9" s="142"/>
      <c r="I9" s="295"/>
      <c r="J9" s="51"/>
      <c r="K9" s="51"/>
      <c r="L9" s="51"/>
      <c r="M9" s="318"/>
    </row>
    <row r="10" spans="2:13" x14ac:dyDescent="0.25">
      <c r="B10" s="319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320"/>
    </row>
    <row r="11" spans="2:13" x14ac:dyDescent="0.25">
      <c r="B11" s="83" t="s">
        <v>37</v>
      </c>
      <c r="C11" s="92" t="s">
        <v>38</v>
      </c>
      <c r="D11" s="61" t="s">
        <v>23</v>
      </c>
      <c r="E11" s="63">
        <f>'Exh JDT-5 (JDT-C&amp;I-RD)'!D23</f>
        <v>36958.529999999992</v>
      </c>
      <c r="F11" s="88">
        <v>1E-3</v>
      </c>
      <c r="G11" s="89">
        <f>F11*E11</f>
        <v>36.958529999999989</v>
      </c>
      <c r="H11" s="92"/>
      <c r="I11" s="80">
        <v>1.1800000000000001E-3</v>
      </c>
      <c r="J11" s="109">
        <f>I11*E11</f>
        <v>43.611065399999994</v>
      </c>
      <c r="K11" s="89"/>
      <c r="L11" s="89">
        <f>J11-G11</f>
        <v>6.652535400000005</v>
      </c>
      <c r="M11" s="59">
        <f>ROUND(L11/G11,5)</f>
        <v>0.18</v>
      </c>
    </row>
    <row r="12" spans="2:13" x14ac:dyDescent="0.25">
      <c r="B12" s="319"/>
      <c r="C12" s="231"/>
      <c r="D12" s="231"/>
      <c r="E12" s="231"/>
      <c r="F12" s="88"/>
      <c r="G12" s="231"/>
      <c r="H12" s="231"/>
      <c r="I12" s="231"/>
      <c r="J12" s="231"/>
      <c r="K12" s="231"/>
      <c r="L12" s="231"/>
      <c r="M12" s="320"/>
    </row>
    <row r="13" spans="2:13" x14ac:dyDescent="0.25">
      <c r="B13" s="319" t="s">
        <v>51</v>
      </c>
      <c r="C13" s="92" t="s">
        <v>38</v>
      </c>
      <c r="D13" s="61" t="s">
        <v>23</v>
      </c>
      <c r="E13" s="63">
        <f>'Exh JDT-5 (JDT-C&amp;I-RD)'!D66</f>
        <v>19494505.608019032</v>
      </c>
      <c r="F13" s="88">
        <v>1E-3</v>
      </c>
      <c r="G13" s="89">
        <f>F13*E13</f>
        <v>19494.505608019033</v>
      </c>
      <c r="H13" s="92"/>
      <c r="I13" s="80">
        <f>I11</f>
        <v>1.1800000000000001E-3</v>
      </c>
      <c r="J13" s="89">
        <f>I13*E13</f>
        <v>23003.516617462457</v>
      </c>
      <c r="K13" s="89"/>
      <c r="L13" s="89">
        <f>J13-G13</f>
        <v>3509.011009443424</v>
      </c>
      <c r="M13" s="59">
        <f>ROUND(L13/G13,5)</f>
        <v>0.18</v>
      </c>
    </row>
    <row r="14" spans="2:13" x14ac:dyDescent="0.25">
      <c r="B14" s="319"/>
      <c r="C14" s="231"/>
      <c r="D14" s="231"/>
      <c r="E14" s="231"/>
      <c r="F14" s="88"/>
      <c r="G14" s="231"/>
      <c r="H14" s="231"/>
      <c r="I14" s="231"/>
      <c r="J14" s="231"/>
      <c r="K14" s="231"/>
      <c r="L14" s="231"/>
      <c r="M14" s="320"/>
    </row>
    <row r="15" spans="2:13" x14ac:dyDescent="0.25">
      <c r="B15" s="319" t="s">
        <v>63</v>
      </c>
      <c r="C15" s="61" t="s">
        <v>38</v>
      </c>
      <c r="D15" s="61" t="s">
        <v>23</v>
      </c>
      <c r="E15" s="141">
        <f>'Exh JDT-5 (JDT-INTRPL-RD)'!D36</f>
        <v>68886791.019958794</v>
      </c>
      <c r="F15" s="88">
        <v>1E-3</v>
      </c>
      <c r="G15" s="151">
        <f>F15*E15</f>
        <v>68886.791019958793</v>
      </c>
      <c r="H15" s="142"/>
      <c r="I15" s="80">
        <f>I13</f>
        <v>1.1800000000000001E-3</v>
      </c>
      <c r="J15" s="89">
        <f>I15*E15</f>
        <v>81286.413403551385</v>
      </c>
      <c r="K15" s="64"/>
      <c r="L15" s="89">
        <f>J15-G15</f>
        <v>12399.622383592592</v>
      </c>
      <c r="M15" s="59">
        <f>ROUND(L15/G15,5)</f>
        <v>0.18</v>
      </c>
    </row>
    <row r="16" spans="2:13" x14ac:dyDescent="0.25">
      <c r="B16" s="319"/>
      <c r="C16" s="231"/>
      <c r="D16" s="231"/>
      <c r="E16" s="231"/>
      <c r="F16" s="88"/>
      <c r="G16" s="231"/>
      <c r="H16" s="231"/>
      <c r="I16" s="231"/>
      <c r="J16" s="231"/>
      <c r="K16" s="231"/>
      <c r="L16" s="231"/>
      <c r="M16" s="320"/>
    </row>
    <row r="17" spans="2:13" x14ac:dyDescent="0.25">
      <c r="B17" s="319" t="s">
        <v>70</v>
      </c>
      <c r="C17" s="61" t="s">
        <v>38</v>
      </c>
      <c r="D17" s="61" t="s">
        <v>23</v>
      </c>
      <c r="E17" s="141">
        <f>'Exh JDT-5 (JDT-INTRPL-RD)'!D81</f>
        <v>1718484.3400000003</v>
      </c>
      <c r="F17" s="88">
        <v>1E-3</v>
      </c>
      <c r="G17" s="151">
        <f>F17*E17</f>
        <v>1718.4843400000004</v>
      </c>
      <c r="H17" s="142"/>
      <c r="I17" s="80">
        <f>I15</f>
        <v>1.1800000000000001E-3</v>
      </c>
      <c r="J17" s="89">
        <f>I17*E17</f>
        <v>2027.8115212000005</v>
      </c>
      <c r="K17" s="64"/>
      <c r="L17" s="89">
        <f>J17-G17</f>
        <v>309.32718120000004</v>
      </c>
      <c r="M17" s="59">
        <f>ROUND(L17/G17,5)</f>
        <v>0.18</v>
      </c>
    </row>
    <row r="18" spans="2:13" x14ac:dyDescent="0.25">
      <c r="B18" s="319"/>
      <c r="C18" s="231"/>
      <c r="D18" s="231"/>
      <c r="E18" s="231"/>
      <c r="F18" s="88"/>
      <c r="G18" s="231"/>
      <c r="H18" s="231"/>
      <c r="I18" s="231"/>
      <c r="J18" s="231"/>
      <c r="K18" s="231"/>
      <c r="L18" s="231"/>
      <c r="M18" s="320"/>
    </row>
    <row r="19" spans="2:13" x14ac:dyDescent="0.25">
      <c r="B19" s="319" t="s">
        <v>77</v>
      </c>
      <c r="C19" s="134" t="s">
        <v>38</v>
      </c>
      <c r="D19" s="61" t="s">
        <v>23</v>
      </c>
      <c r="E19" s="141">
        <f>'Exh JDT-5 (JDT-INTRPL-RD)'!D134</f>
        <v>97500425.645479575</v>
      </c>
      <c r="F19" s="88">
        <v>1E-3</v>
      </c>
      <c r="G19" s="151">
        <f>+F19*E19</f>
        <v>97500.425645479583</v>
      </c>
      <c r="H19" s="142"/>
      <c r="I19" s="80">
        <f>I17</f>
        <v>1.1800000000000001E-3</v>
      </c>
      <c r="J19" s="151">
        <f>+I19*E19</f>
        <v>115050.5022616659</v>
      </c>
      <c r="K19" s="64"/>
      <c r="L19" s="89">
        <f>J19-G19</f>
        <v>17550.076616186314</v>
      </c>
      <c r="M19" s="59">
        <f>ROUND(L19/G19,5)</f>
        <v>0.18</v>
      </c>
    </row>
    <row r="20" spans="2:13" x14ac:dyDescent="0.25">
      <c r="B20" s="319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320"/>
    </row>
    <row r="21" spans="2:13" x14ac:dyDescent="0.25">
      <c r="B21" s="321" t="s">
        <v>2</v>
      </c>
      <c r="C21" s="322"/>
      <c r="D21" s="322"/>
      <c r="E21" s="324">
        <f>SUM(E11:E19)</f>
        <v>187637165.14345741</v>
      </c>
      <c r="F21" s="322"/>
      <c r="G21" s="323">
        <f>SUM(G11:G19)</f>
        <v>187637.16514345742</v>
      </c>
      <c r="H21" s="322"/>
      <c r="I21" s="322"/>
      <c r="J21" s="323">
        <f>SUM(J11:J19)</f>
        <v>221411.85486927972</v>
      </c>
      <c r="K21" s="322"/>
      <c r="L21" s="211">
        <f>J21-G21</f>
        <v>33774.689725822303</v>
      </c>
      <c r="M21" s="277">
        <f>ROUND(L21/G21,5)</f>
        <v>0.18</v>
      </c>
    </row>
    <row r="23" spans="2:13" x14ac:dyDescent="0.25">
      <c r="I23" s="418"/>
    </row>
  </sheetData>
  <mergeCells count="1">
    <mergeCell ref="L7:M7"/>
  </mergeCells>
  <pageMargins left="0.7" right="0.7" top="0.75" bottom="0.75" header="0.3" footer="0.3"/>
  <pageSetup scale="70" orientation="landscape" horizontalDpi="300" verticalDpi="300" r:id="rId1"/>
  <headerFooter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2024-10-18T07:00:00+00:00</OpenedDate>
    <SignificantOrder xmlns="dc463f71-b30c-4ab2-9473-d307f9d35888">false</SignificantOrder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240780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FFDB28793EEF40B67417AC2FA19C57" ma:contentTypeVersion="7" ma:contentTypeDescription="" ma:contentTypeScope="" ma:versionID="e5057932752f43dccaba120f3cd3e4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FAAC93-6504-4497-AF71-20FBDA9FA221}">
  <ds:schemaRefs>
    <ds:schemaRef ds:uri="http://schemas.microsoft.com/office/2006/metadata/properties"/>
    <ds:schemaRef ds:uri="18a89e5a-5d99-4893-bb2c-ffe289a95aa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6839804-1fe9-48e2-9bc7-0ffc4eabf59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883C1A-3112-41F1-BD7B-8CBCDD6D46EA}"/>
</file>

<file path=customXml/itemProps3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991208-5B5D-404C-ABE7-D5F3507E3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Table of Contents</vt:lpstr>
      <vt:lpstr>Exh JDT-5 (JDT-Rate Spread)</vt:lpstr>
      <vt:lpstr>Exh JDT-5 (Rate Des Sum)</vt:lpstr>
      <vt:lpstr>Exh JDT-5 (JDT-RES_RD)</vt:lpstr>
      <vt:lpstr>Exh JDT-5 (JDT-C&amp;I-RD)</vt:lpstr>
      <vt:lpstr>Exh JDT-5 (JDT-INTRPL-RD)</vt:lpstr>
      <vt:lpstr>Exh JDT-5 (JDT-MYRP)</vt:lpstr>
      <vt:lpstr>Exh JDT-5 (JDT-MYRP-SUM)</vt:lpstr>
      <vt:lpstr>Exh JDT-5 (JDT-Balancing)</vt:lpstr>
      <vt:lpstr>Exh JDT-5 (JDT-Procmnt Chrg)</vt:lpstr>
      <vt:lpstr>Rev Req--&gt;</vt:lpstr>
      <vt:lpstr>Rev Req Comparison</vt:lpstr>
      <vt:lpstr>Gas Rev Req for COS</vt:lpstr>
      <vt:lpstr>'Exh JDT-5 (JDT-Balancing)'!Print_Area</vt:lpstr>
      <vt:lpstr>'Exh JDT-5 (JDT-MYRP)'!Print_Area</vt:lpstr>
      <vt:lpstr>'Exh JDT-5 (JDT-MYRP-SUM)'!Print_Area</vt:lpstr>
      <vt:lpstr>'Exh JDT-5 (JDT-Procmnt Chrg)'!Print_Area</vt:lpstr>
      <vt:lpstr>'Exh JDT-5 (JDT-Rate Spread)'!Print_Area</vt:lpstr>
      <vt:lpstr>'Exh JDT-5 (JDT-C&amp;I-RD)'!Print_Titles</vt:lpstr>
      <vt:lpstr>'Exh JDT-5 (JDT-INTRPL-RD)'!Print_Titles</vt:lpstr>
      <vt:lpstr>'Exh JDT-5 (JDT-MYRP)'!Print_Titles</vt:lpstr>
      <vt:lpstr>'Exh JDT-5 (JDT-MYRP-SUM)'!Print_Titles</vt:lpstr>
      <vt:lpstr>'Exh JDT-5 (JDT-Rate Spread)'!Print_Titles</vt:lpstr>
      <vt:lpstr>'Exh JDT-5 (Rate Des Sum)'!Print_Titles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2024-10-16T21:19:03Z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0x0101006E56B4D1795A2E4DB2F0B01679ED314A00F0FFDB28793EEF40B67417AC2FA19C57</vt:lpwstr>
  </property>
</Properties>
</file>