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Commodity Rebate Filings\2024\Bremerton\"/>
    </mc:Choice>
  </mc:AlternateContent>
  <xr:revisionPtr revIDLastSave="0" documentId="13_ncr:1_{55060557-E3B9-4670-A964-D90DED8FD39B}" xr6:coauthVersionLast="47" xr6:coauthVersionMax="47" xr10:uidLastSave="{00000000-0000-0000-0000-000000000000}"/>
  <bookViews>
    <workbookView xWindow="-120" yWindow="-120" windowWidth="25440" windowHeight="15390" tabRatio="967" xr2:uid="{00000000-000D-0000-FFFF-FFFF00000000}"/>
  </bookViews>
  <sheets>
    <sheet name="Rebate Analysis" sheetId="40" r:id="rId1"/>
    <sheet name="Calculation of Revenue" sheetId="34" r:id="rId2"/>
    <sheet name="Reg. Res'l - SS Mix &amp; Prices" sheetId="35" r:id="rId3"/>
    <sheet name="Composition - CRC" sheetId="43" r:id="rId4"/>
    <sheet name="Reg. MF - SS Mix &amp; Prices" sheetId="36" r:id="rId5"/>
    <sheet name="Total Company Tonnage" sheetId="41" r:id="rId6"/>
    <sheet name="Commodity Prices - JMK" sheetId="39" r:id="rId7"/>
    <sheet name="Customer Counts" sheetId="38" r:id="rId8"/>
    <sheet name="MF Units" sheetId="4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xlnm.Print_Area" localSheetId="1">'Calculation of Revenue'!$A$1:$K$47</definedName>
    <definedName name="_xlnm.Print_Area" localSheetId="6">'Commodity Prices - JMK'!$A$1:$K$21</definedName>
    <definedName name="_xlnm.Print_Area" localSheetId="7">'Customer Counts'!$A$1:$I$24</definedName>
    <definedName name="_xlnm.Print_Area" localSheetId="0">'Rebate Analysis'!$AK$1:$AP$67</definedName>
    <definedName name="_xlnm.Print_Area" localSheetId="4">'Reg. MF - SS Mix &amp; Prices'!$A$1:$M$68</definedName>
    <definedName name="_xlnm.Print_Area" localSheetId="2">'Reg. Res''l - SS Mix &amp; Prices'!$A$1:$M$70</definedName>
    <definedName name="_xlnm.Print_Area" localSheetId="5">'Total Company Tonnage'!$A$1:$T$61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40" l="1"/>
  <c r="E62" i="40" s="1"/>
  <c r="E16" i="40"/>
  <c r="C13" i="40"/>
  <c r="C11" i="40"/>
  <c r="D11" i="40"/>
  <c r="A62" i="40"/>
  <c r="D45" i="40"/>
  <c r="A44" i="40"/>
  <c r="E11" i="40" l="1"/>
  <c r="C14" i="40"/>
  <c r="E28" i="40"/>
  <c r="E24" i="40" l="1"/>
  <c r="E29" i="40"/>
  <c r="D47" i="40"/>
  <c r="D13" i="40"/>
  <c r="E13" i="40" s="1"/>
  <c r="E14" i="40" s="1"/>
  <c r="E22" i="40" s="1"/>
  <c r="F30" i="40"/>
  <c r="F26" i="40" l="1"/>
  <c r="F32" i="40" s="1"/>
  <c r="K20" i="39" l="1"/>
  <c r="J20" i="39"/>
  <c r="I20" i="39"/>
  <c r="H20" i="39"/>
  <c r="G20" i="39"/>
  <c r="F20" i="39"/>
  <c r="E20" i="39"/>
  <c r="D20" i="39"/>
  <c r="C20" i="39"/>
  <c r="B20" i="39"/>
  <c r="X15" i="43"/>
  <c r="X14" i="43"/>
  <c r="X13" i="43"/>
  <c r="X12" i="43"/>
  <c r="X11" i="43"/>
  <c r="X10" i="43"/>
  <c r="X9" i="43"/>
  <c r="X8" i="43"/>
  <c r="X7" i="43"/>
  <c r="X6" i="43"/>
  <c r="X5" i="43"/>
  <c r="D20" i="38" l="1"/>
  <c r="C20" i="38"/>
  <c r="B20" i="38"/>
  <c r="H21" i="41"/>
  <c r="F21" i="41"/>
  <c r="C21" i="41"/>
  <c r="B21" i="41"/>
  <c r="V15" i="43" l="1"/>
  <c r="V14" i="43"/>
  <c r="V13" i="43"/>
  <c r="V12" i="43"/>
  <c r="V11" i="43"/>
  <c r="V10" i="43"/>
  <c r="V9" i="43"/>
  <c r="V8" i="43"/>
  <c r="V7" i="43"/>
  <c r="V6" i="43"/>
  <c r="V5" i="43"/>
  <c r="B19" i="39" l="1"/>
  <c r="K19" i="39"/>
  <c r="J19" i="39"/>
  <c r="I19" i="39"/>
  <c r="H19" i="39"/>
  <c r="G19" i="39"/>
  <c r="F19" i="39"/>
  <c r="E19" i="39"/>
  <c r="D19" i="39"/>
  <c r="C19" i="39"/>
  <c r="H19" i="41"/>
  <c r="F19" i="41"/>
  <c r="C19" i="41"/>
  <c r="B19" i="41"/>
  <c r="H18" i="41"/>
  <c r="I18" i="41" s="1"/>
  <c r="F18" i="41"/>
  <c r="C18" i="41"/>
  <c r="B18" i="41"/>
  <c r="D17" i="38"/>
  <c r="C17" i="38"/>
  <c r="B17" i="38"/>
  <c r="T15" i="43" l="1"/>
  <c r="T14" i="43"/>
  <c r="T13" i="43"/>
  <c r="T12" i="43"/>
  <c r="T11" i="43"/>
  <c r="T10" i="43"/>
  <c r="T9" i="43"/>
  <c r="T8" i="43"/>
  <c r="T7" i="43"/>
  <c r="T6" i="43"/>
  <c r="T5" i="43"/>
  <c r="R15" i="43" l="1"/>
  <c r="R14" i="43"/>
  <c r="R13" i="43"/>
  <c r="R12" i="43"/>
  <c r="R11" i="43"/>
  <c r="R10" i="43"/>
  <c r="R9" i="43"/>
  <c r="R8" i="43"/>
  <c r="R7" i="43"/>
  <c r="R6" i="43"/>
  <c r="R5" i="43"/>
  <c r="K17" i="39"/>
  <c r="J17" i="39"/>
  <c r="I17" i="39"/>
  <c r="H17" i="39"/>
  <c r="G17" i="39"/>
  <c r="F17" i="39"/>
  <c r="E17" i="39"/>
  <c r="D17" i="39"/>
  <c r="C17" i="39"/>
  <c r="B17" i="39"/>
  <c r="D16" i="38"/>
  <c r="C16" i="38"/>
  <c r="B16" i="38"/>
  <c r="H17" i="41"/>
  <c r="F17" i="41"/>
  <c r="C17" i="41"/>
  <c r="B17" i="41"/>
  <c r="P15" i="43"/>
  <c r="P14" i="43"/>
  <c r="P13" i="43"/>
  <c r="P12" i="43"/>
  <c r="P11" i="43"/>
  <c r="P10" i="43"/>
  <c r="P9" i="43"/>
  <c r="P8" i="43"/>
  <c r="P7" i="43"/>
  <c r="P6" i="43"/>
  <c r="P5" i="43"/>
  <c r="K16" i="39"/>
  <c r="J16" i="39"/>
  <c r="I16" i="39"/>
  <c r="H16" i="39"/>
  <c r="G16" i="39"/>
  <c r="F16" i="39"/>
  <c r="E16" i="39"/>
  <c r="D16" i="39"/>
  <c r="C16" i="39"/>
  <c r="B16" i="39"/>
  <c r="H11" i="41"/>
  <c r="H10" i="41"/>
  <c r="H13" i="41"/>
  <c r="H15" i="41"/>
  <c r="H14" i="41"/>
  <c r="H12" i="41"/>
  <c r="H16" i="41"/>
  <c r="F16" i="41"/>
  <c r="C16" i="41"/>
  <c r="B16" i="41"/>
  <c r="D15" i="38"/>
  <c r="C15" i="38"/>
  <c r="B15" i="38"/>
  <c r="K15" i="39"/>
  <c r="K14" i="39"/>
  <c r="J15" i="39"/>
  <c r="J14" i="39"/>
  <c r="I15" i="39"/>
  <c r="I14" i="39"/>
  <c r="H15" i="39"/>
  <c r="H14" i="39"/>
  <c r="G15" i="39"/>
  <c r="G14" i="39"/>
  <c r="F15" i="39"/>
  <c r="F14" i="39"/>
  <c r="E15" i="39"/>
  <c r="E14" i="39"/>
  <c r="D15" i="39"/>
  <c r="D14" i="39"/>
  <c r="C15" i="39"/>
  <c r="C14" i="39"/>
  <c r="B15" i="39"/>
  <c r="B14" i="39"/>
  <c r="N15" i="43"/>
  <c r="N14" i="43"/>
  <c r="N13" i="43"/>
  <c r="N12" i="43"/>
  <c r="N11" i="43"/>
  <c r="N10" i="43"/>
  <c r="N9" i="43"/>
  <c r="N8" i="43"/>
  <c r="N7" i="43"/>
  <c r="N6" i="43"/>
  <c r="N5" i="43"/>
  <c r="D14" i="38" l="1"/>
  <c r="C14" i="38"/>
  <c r="B14" i="38"/>
  <c r="F15" i="41"/>
  <c r="C15" i="41"/>
  <c r="B15" i="41"/>
  <c r="L15" i="43"/>
  <c r="L14" i="43"/>
  <c r="L13" i="43"/>
  <c r="L12" i="43"/>
  <c r="L11" i="43"/>
  <c r="L10" i="43"/>
  <c r="L9" i="43"/>
  <c r="L8" i="43"/>
  <c r="L7" i="43"/>
  <c r="L6" i="43"/>
  <c r="L5" i="43"/>
  <c r="F14" i="41"/>
  <c r="C14" i="41"/>
  <c r="B14" i="41"/>
  <c r="D13" i="38"/>
  <c r="C13" i="38"/>
  <c r="B13" i="38"/>
  <c r="J15" i="43" l="1"/>
  <c r="J14" i="43"/>
  <c r="J13" i="43"/>
  <c r="J12" i="43"/>
  <c r="J11" i="43"/>
  <c r="J10" i="43"/>
  <c r="J9" i="43"/>
  <c r="J8" i="43"/>
  <c r="J7" i="43"/>
  <c r="J6" i="43"/>
  <c r="J5" i="43"/>
  <c r="K13" i="39" l="1"/>
  <c r="J13" i="39"/>
  <c r="I13" i="39"/>
  <c r="H13" i="39"/>
  <c r="G13" i="39"/>
  <c r="F13" i="39"/>
  <c r="E13" i="39"/>
  <c r="D13" i="39"/>
  <c r="C13" i="39"/>
  <c r="B13" i="39"/>
  <c r="B15" i="43"/>
  <c r="B14" i="43"/>
  <c r="B13" i="43"/>
  <c r="B12" i="43"/>
  <c r="B11" i="43"/>
  <c r="B10" i="43"/>
  <c r="B9" i="43"/>
  <c r="B8" i="43"/>
  <c r="B7" i="43"/>
  <c r="B6" i="43"/>
  <c r="B5" i="43"/>
  <c r="K12" i="39"/>
  <c r="J12" i="39"/>
  <c r="I12" i="39"/>
  <c r="H12" i="39"/>
  <c r="G12" i="39"/>
  <c r="F12" i="39"/>
  <c r="E12" i="39"/>
  <c r="D12" i="39"/>
  <c r="C12" i="39"/>
  <c r="B12" i="39"/>
  <c r="K11" i="39"/>
  <c r="J11" i="39"/>
  <c r="I11" i="39"/>
  <c r="H11" i="39"/>
  <c r="G11" i="39"/>
  <c r="F11" i="39"/>
  <c r="E11" i="39"/>
  <c r="D11" i="39"/>
  <c r="C11" i="39"/>
  <c r="B11" i="39"/>
  <c r="H15" i="43"/>
  <c r="H14" i="43"/>
  <c r="H13" i="43"/>
  <c r="H12" i="43"/>
  <c r="H11" i="43"/>
  <c r="H10" i="43"/>
  <c r="H9" i="43"/>
  <c r="H8" i="43"/>
  <c r="H7" i="43"/>
  <c r="H6" i="43"/>
  <c r="H5" i="43"/>
  <c r="F15" i="43"/>
  <c r="F14" i="43"/>
  <c r="F13" i="43"/>
  <c r="F12" i="43"/>
  <c r="F11" i="43"/>
  <c r="F10" i="43"/>
  <c r="F9" i="43"/>
  <c r="F8" i="43"/>
  <c r="F7" i="43"/>
  <c r="F6" i="43"/>
  <c r="F5" i="43"/>
  <c r="D15" i="43"/>
  <c r="D14" i="43"/>
  <c r="D13" i="43"/>
  <c r="D12" i="43"/>
  <c r="D11" i="43"/>
  <c r="D10" i="43"/>
  <c r="D9" i="43"/>
  <c r="D8" i="43"/>
  <c r="D7" i="43"/>
  <c r="D6" i="43"/>
  <c r="D5" i="43"/>
  <c r="D10" i="38"/>
  <c r="C10" i="38"/>
  <c r="B10" i="38"/>
  <c r="D9" i="38"/>
  <c r="C9" i="38"/>
  <c r="B9" i="38"/>
  <c r="D11" i="38"/>
  <c r="C11" i="38"/>
  <c r="B11" i="38"/>
  <c r="D12" i="38"/>
  <c r="C12" i="38"/>
  <c r="B12" i="38"/>
  <c r="F13" i="41"/>
  <c r="C13" i="41"/>
  <c r="B13" i="41"/>
  <c r="F12" i="41"/>
  <c r="C12" i="41"/>
  <c r="B12" i="41"/>
  <c r="F10" i="41"/>
  <c r="F11" i="41"/>
  <c r="C11" i="41"/>
  <c r="B11" i="41"/>
  <c r="C10" i="41"/>
  <c r="B10" i="41"/>
  <c r="M73" i="40" l="1"/>
  <c r="AH11" i="40"/>
  <c r="AI11" i="40" s="1"/>
  <c r="AO11" i="40"/>
  <c r="AO14" i="40" s="1"/>
  <c r="AO22" i="40" s="1"/>
  <c r="AT11" i="40"/>
  <c r="AU11" i="40" s="1"/>
  <c r="BA11" i="40"/>
  <c r="BF11" i="40"/>
  <c r="BG11" i="40" s="1"/>
  <c r="BM11" i="40"/>
  <c r="AO13" i="40"/>
  <c r="BA13" i="40"/>
  <c r="BA14" i="40" s="1"/>
  <c r="BA22" i="40" s="1"/>
  <c r="BB26" i="40" s="1"/>
  <c r="BM13" i="40"/>
  <c r="U14" i="40"/>
  <c r="W24" i="40" s="1"/>
  <c r="AA14" i="40"/>
  <c r="AC24" i="40" s="1"/>
  <c r="AG14" i="40"/>
  <c r="AI29" i="40" s="1"/>
  <c r="AJ30" i="40" s="1"/>
  <c r="AB13" i="40" s="1"/>
  <c r="AM14" i="40"/>
  <c r="AO29" i="40" s="1"/>
  <c r="AP30" i="40" s="1"/>
  <c r="AH13" i="40" s="1"/>
  <c r="AS14" i="40"/>
  <c r="AY14" i="40"/>
  <c r="BE14" i="40"/>
  <c r="BG24" i="40" s="1"/>
  <c r="BK14" i="40"/>
  <c r="BM29" i="40" s="1"/>
  <c r="BM14" i="40"/>
  <c r="BM22" i="40" s="1"/>
  <c r="AO24" i="40"/>
  <c r="AU24" i="40"/>
  <c r="BA24" i="40"/>
  <c r="W28" i="40"/>
  <c r="AC28" i="40"/>
  <c r="AD30" i="40" s="1"/>
  <c r="V13" i="40" s="1"/>
  <c r="W13" i="40" s="1"/>
  <c r="AU28" i="40"/>
  <c r="AV30" i="40" s="1"/>
  <c r="BA28" i="40"/>
  <c r="BG28" i="40"/>
  <c r="BM28" i="40"/>
  <c r="AC29" i="40"/>
  <c r="AU29" i="40"/>
  <c r="BA29" i="40"/>
  <c r="BG29" i="40"/>
  <c r="AD34" i="40"/>
  <c r="S44" i="40"/>
  <c r="Y44" i="40"/>
  <c r="AE44" i="40"/>
  <c r="AK44" i="40"/>
  <c r="AQ44" i="40"/>
  <c r="AW44" i="40"/>
  <c r="BC44" i="40"/>
  <c r="BI44" i="40"/>
  <c r="AH45" i="40"/>
  <c r="AI45" i="40"/>
  <c r="AO45" i="40"/>
  <c r="AT45" i="40"/>
  <c r="AU45" i="40" s="1"/>
  <c r="BA45" i="40"/>
  <c r="BF45" i="40"/>
  <c r="BG45" i="40" s="1"/>
  <c r="BM45" i="40"/>
  <c r="BM48" i="40" s="1"/>
  <c r="BM56" i="40" s="1"/>
  <c r="AO47" i="40"/>
  <c r="AO48" i="40" s="1"/>
  <c r="AO56" i="40" s="1"/>
  <c r="BA47" i="40"/>
  <c r="BA48" i="40" s="1"/>
  <c r="BA56" i="40" s="1"/>
  <c r="BM47" i="40"/>
  <c r="U48" i="40"/>
  <c r="W63" i="40" s="1"/>
  <c r="AA48" i="40"/>
  <c r="AC58" i="40" s="1"/>
  <c r="AG48" i="40"/>
  <c r="AI63" i="40" s="1"/>
  <c r="AJ64" i="40" s="1"/>
  <c r="AB47" i="40" s="1"/>
  <c r="AM48" i="40"/>
  <c r="AS48" i="40"/>
  <c r="AU58" i="40" s="1"/>
  <c r="AY48" i="40"/>
  <c r="BA58" i="40" s="1"/>
  <c r="BE48" i="40"/>
  <c r="BG58" i="40" s="1"/>
  <c r="BK48" i="40"/>
  <c r="W58" i="40"/>
  <c r="AO58" i="40"/>
  <c r="BM58" i="40"/>
  <c r="S62" i="40"/>
  <c r="W62" i="40"/>
  <c r="Y62" i="40"/>
  <c r="AC62" i="40"/>
  <c r="AE62" i="40"/>
  <c r="AK62" i="40"/>
  <c r="AQ62" i="40"/>
  <c r="AU62" i="40"/>
  <c r="AW62" i="40"/>
  <c r="BA62" i="40"/>
  <c r="BC62" i="40"/>
  <c r="BG62" i="40"/>
  <c r="BI62" i="40"/>
  <c r="BM62" i="40"/>
  <c r="BN64" i="40" s="1"/>
  <c r="BF47" i="40" s="1"/>
  <c r="BG47" i="40" s="1"/>
  <c r="AO63" i="40"/>
  <c r="AP64" i="40" s="1"/>
  <c r="AH47" i="40" s="1"/>
  <c r="AU63" i="40"/>
  <c r="AV64" i="40" s="1"/>
  <c r="BG63" i="40"/>
  <c r="BM63" i="40"/>
  <c r="AI58" i="40" l="1"/>
  <c r="BH64" i="40"/>
  <c r="X30" i="40"/>
  <c r="BM24" i="40"/>
  <c r="BN26" i="40" s="1"/>
  <c r="W29" i="40"/>
  <c r="BB30" i="40"/>
  <c r="AT13" i="40" s="1"/>
  <c r="AU13" i="40" s="1"/>
  <c r="AU14" i="40" s="1"/>
  <c r="AU22" i="40" s="1"/>
  <c r="AV26" i="40" s="1"/>
  <c r="AV32" i="40" s="1"/>
  <c r="AP60" i="40"/>
  <c r="AP66" i="40" s="1"/>
  <c r="BN60" i="40"/>
  <c r="BN66" i="40" s="1"/>
  <c r="AP26" i="40"/>
  <c r="AP32" i="40" s="1"/>
  <c r="BN30" i="40"/>
  <c r="BF13" i="40" s="1"/>
  <c r="BG13" i="40" s="1"/>
  <c r="BG14" i="40" s="1"/>
  <c r="BG22" i="40" s="1"/>
  <c r="BH26" i="40" s="1"/>
  <c r="BA63" i="40"/>
  <c r="BB64" i="40" s="1"/>
  <c r="BB66" i="40" s="1"/>
  <c r="BH30" i="40"/>
  <c r="AB11" i="40"/>
  <c r="AC11" i="40" s="1"/>
  <c r="AI13" i="40"/>
  <c r="AI14" i="40" s="1"/>
  <c r="AI22" i="40" s="1"/>
  <c r="X64" i="40"/>
  <c r="BB60" i="40"/>
  <c r="V11" i="40"/>
  <c r="W11" i="40" s="1"/>
  <c r="W14" i="40" s="1"/>
  <c r="W22" i="40" s="1"/>
  <c r="X26" i="40" s="1"/>
  <c r="X32" i="40" s="1"/>
  <c r="AC13" i="40"/>
  <c r="AB45" i="40"/>
  <c r="AC45" i="40" s="1"/>
  <c r="AC48" i="40" s="1"/>
  <c r="AC56" i="40" s="1"/>
  <c r="AD60" i="40" s="1"/>
  <c r="AI47" i="40"/>
  <c r="AI48" i="40" s="1"/>
  <c r="AI56" i="40" s="1"/>
  <c r="AJ60" i="40" s="1"/>
  <c r="AJ66" i="40" s="1"/>
  <c r="BG48" i="40"/>
  <c r="BG56" i="40" s="1"/>
  <c r="BH60" i="40" s="1"/>
  <c r="BH66" i="40" s="1"/>
  <c r="V45" i="40"/>
  <c r="W45" i="40" s="1"/>
  <c r="AC47" i="40"/>
  <c r="AI24" i="40"/>
  <c r="AC63" i="40"/>
  <c r="AD64" i="40" s="1"/>
  <c r="BH32" i="40" l="1"/>
  <c r="BB32" i="40"/>
  <c r="AT47" i="40"/>
  <c r="AU47" i="40" s="1"/>
  <c r="AU48" i="40" s="1"/>
  <c r="AU56" i="40" s="1"/>
  <c r="AV60" i="40" s="1"/>
  <c r="AV66" i="40" s="1"/>
  <c r="BN32" i="40"/>
  <c r="AD66" i="40"/>
  <c r="V47" i="40"/>
  <c r="W47" i="40" s="1"/>
  <c r="W48" i="40" s="1"/>
  <c r="W56" i="40" s="1"/>
  <c r="X60" i="40" s="1"/>
  <c r="X66" i="40" s="1"/>
  <c r="AJ26" i="40"/>
  <c r="AJ32" i="40" s="1"/>
  <c r="AC14" i="40"/>
  <c r="AC22" i="40" s="1"/>
  <c r="AD26" i="40" s="1"/>
  <c r="AD32" i="40" s="1"/>
  <c r="AD36" i="40" s="1"/>
  <c r="Z15" i="43" l="1"/>
  <c r="Z14" i="43"/>
  <c r="Z13" i="43"/>
  <c r="Z12" i="43"/>
  <c r="Z11" i="43"/>
  <c r="Z10" i="43"/>
  <c r="Z9" i="43"/>
  <c r="Z8" i="43"/>
  <c r="Z7" i="43"/>
  <c r="Z6" i="43"/>
  <c r="Z5" i="43"/>
  <c r="X16" i="43"/>
  <c r="Y14" i="43" s="1"/>
  <c r="O21" i="41" s="1"/>
  <c r="Y15" i="43" l="1"/>
  <c r="Y7" i="43"/>
  <c r="L21" i="41" s="1"/>
  <c r="Y11" i="43"/>
  <c r="Q21" i="41" s="1"/>
  <c r="Y5" i="43"/>
  <c r="Y9" i="43"/>
  <c r="N21" i="41" s="1"/>
  <c r="Y13" i="43"/>
  <c r="S21" i="41" s="1"/>
  <c r="Y8" i="43"/>
  <c r="M21" i="41" s="1"/>
  <c r="Y12" i="43"/>
  <c r="R21" i="41" s="1"/>
  <c r="Y6" i="43"/>
  <c r="K21" i="41" s="1"/>
  <c r="Y10" i="43"/>
  <c r="P21" i="41" s="1"/>
  <c r="Z16" i="43"/>
  <c r="AA6" i="43" s="1"/>
  <c r="Y16" i="43" l="1"/>
  <c r="AA9" i="43"/>
  <c r="AA14" i="43"/>
  <c r="AA5" i="43"/>
  <c r="AA10" i="43"/>
  <c r="AA12" i="43"/>
  <c r="AA11" i="43"/>
  <c r="AA15" i="43"/>
  <c r="AA7" i="43"/>
  <c r="AA13" i="43"/>
  <c r="AA8" i="43"/>
  <c r="AA16" i="43" l="1"/>
  <c r="V16" i="43"/>
  <c r="W13" i="43" s="1"/>
  <c r="S20" i="41" s="1"/>
  <c r="W10" i="43" l="1"/>
  <c r="P20" i="41" s="1"/>
  <c r="W6" i="43"/>
  <c r="K20" i="41" s="1"/>
  <c r="W7" i="43"/>
  <c r="L20" i="41" s="1"/>
  <c r="W5" i="43"/>
  <c r="W14" i="43"/>
  <c r="O20" i="41" s="1"/>
  <c r="W8" i="43"/>
  <c r="M20" i="41" s="1"/>
  <c r="W11" i="43"/>
  <c r="Q20" i="41" s="1"/>
  <c r="W12" i="43"/>
  <c r="R20" i="41" s="1"/>
  <c r="W15" i="43"/>
  <c r="W9" i="43"/>
  <c r="W16" i="43" l="1"/>
  <c r="N20" i="41"/>
  <c r="P16" i="43"/>
  <c r="Q13" i="43" s="1"/>
  <c r="S17" i="41" s="1"/>
  <c r="L16" i="43"/>
  <c r="M15" i="43" s="1"/>
  <c r="H16" i="43"/>
  <c r="I13" i="43" s="1"/>
  <c r="S13" i="41" s="1"/>
  <c r="F16" i="43"/>
  <c r="G12" i="43" s="1"/>
  <c r="R12" i="41" s="1"/>
  <c r="D16" i="43"/>
  <c r="E15" i="43" s="1"/>
  <c r="N16" i="43"/>
  <c r="O12" i="43" s="1"/>
  <c r="R16" i="41" s="1"/>
  <c r="J16" i="43"/>
  <c r="K14" i="43" s="1"/>
  <c r="O14" i="41" s="1"/>
  <c r="Q10" i="43" l="1"/>
  <c r="P17" i="41" s="1"/>
  <c r="Q14" i="43"/>
  <c r="O17" i="41" s="1"/>
  <c r="Q6" i="43"/>
  <c r="K17" i="41" s="1"/>
  <c r="I10" i="43"/>
  <c r="P13" i="41" s="1"/>
  <c r="I7" i="43"/>
  <c r="L13" i="41" s="1"/>
  <c r="I11" i="43"/>
  <c r="Q13" i="41" s="1"/>
  <c r="I15" i="43"/>
  <c r="I14" i="43"/>
  <c r="O13" i="41" s="1"/>
  <c r="I8" i="43"/>
  <c r="M13" i="41" s="1"/>
  <c r="I12" i="43"/>
  <c r="R13" i="41" s="1"/>
  <c r="I6" i="43"/>
  <c r="K13" i="41" s="1"/>
  <c r="I5" i="43"/>
  <c r="I9" i="43"/>
  <c r="N13" i="41" s="1"/>
  <c r="G5" i="43"/>
  <c r="G6" i="43"/>
  <c r="K12" i="41" s="1"/>
  <c r="G10" i="43"/>
  <c r="P12" i="41" s="1"/>
  <c r="G14" i="43"/>
  <c r="O12" i="41" s="1"/>
  <c r="G13" i="43"/>
  <c r="S12" i="41" s="1"/>
  <c r="G7" i="43"/>
  <c r="L12" i="41" s="1"/>
  <c r="G11" i="43"/>
  <c r="Q12" i="41" s="1"/>
  <c r="G15" i="43"/>
  <c r="G9" i="43"/>
  <c r="N12" i="41" s="1"/>
  <c r="G8" i="43"/>
  <c r="M12" i="41" s="1"/>
  <c r="E8" i="43"/>
  <c r="M11" i="41" s="1"/>
  <c r="E9" i="43"/>
  <c r="N11" i="41" s="1"/>
  <c r="E13" i="43"/>
  <c r="S11" i="41" s="1"/>
  <c r="E12" i="43"/>
  <c r="R11" i="41" s="1"/>
  <c r="E5" i="43"/>
  <c r="E6" i="43"/>
  <c r="K11" i="41" s="1"/>
  <c r="E10" i="43"/>
  <c r="P11" i="41" s="1"/>
  <c r="E14" i="43"/>
  <c r="O11" i="41" s="1"/>
  <c r="E7" i="43"/>
  <c r="L11" i="41" s="1"/>
  <c r="E11" i="43"/>
  <c r="Q11" i="41" s="1"/>
  <c r="Q11" i="43"/>
  <c r="Q17" i="41" s="1"/>
  <c r="Q15" i="43"/>
  <c r="Q8" i="43"/>
  <c r="M17" i="41" s="1"/>
  <c r="Q12" i="43"/>
  <c r="R17" i="41" s="1"/>
  <c r="Q7" i="43"/>
  <c r="L17" i="41" s="1"/>
  <c r="Q5" i="43"/>
  <c r="Q9" i="43"/>
  <c r="N17" i="41" s="1"/>
  <c r="O5" i="43"/>
  <c r="O6" i="43"/>
  <c r="K16" i="41" s="1"/>
  <c r="O10" i="43"/>
  <c r="P16" i="41" s="1"/>
  <c r="O14" i="43"/>
  <c r="O16" i="41" s="1"/>
  <c r="O13" i="43"/>
  <c r="S16" i="41" s="1"/>
  <c r="O7" i="43"/>
  <c r="L16" i="41" s="1"/>
  <c r="O11" i="43"/>
  <c r="Q16" i="41" s="1"/>
  <c r="O15" i="43"/>
  <c r="O9" i="43"/>
  <c r="N16" i="41" s="1"/>
  <c r="O8" i="43"/>
  <c r="M16" i="41" s="1"/>
  <c r="M8" i="43"/>
  <c r="M15" i="41" s="1"/>
  <c r="M5" i="43"/>
  <c r="M9" i="43"/>
  <c r="N15" i="41" s="1"/>
  <c r="M13" i="43"/>
  <c r="S15" i="41" s="1"/>
  <c r="M6" i="43"/>
  <c r="K15" i="41" s="1"/>
  <c r="M10" i="43"/>
  <c r="P15" i="41" s="1"/>
  <c r="M14" i="43"/>
  <c r="O15" i="41" s="1"/>
  <c r="M12" i="43"/>
  <c r="R15" i="41" s="1"/>
  <c r="M7" i="43"/>
  <c r="L15" i="41" s="1"/>
  <c r="M11" i="43"/>
  <c r="Q15" i="41" s="1"/>
  <c r="K11" i="43"/>
  <c r="Q14" i="41" s="1"/>
  <c r="K15" i="43"/>
  <c r="K8" i="43"/>
  <c r="M14" i="41" s="1"/>
  <c r="K12" i="43"/>
  <c r="R14" i="41" s="1"/>
  <c r="K5" i="43"/>
  <c r="K9" i="43"/>
  <c r="N14" i="41" s="1"/>
  <c r="K13" i="43"/>
  <c r="S14" i="41" s="1"/>
  <c r="K7" i="43"/>
  <c r="K6" i="43"/>
  <c r="K14" i="41" s="1"/>
  <c r="K10" i="43"/>
  <c r="P14" i="41" s="1"/>
  <c r="B16" i="43"/>
  <c r="C6" i="43" s="1"/>
  <c r="K10" i="41" s="1"/>
  <c r="O16" i="43" l="1"/>
  <c r="K16" i="43"/>
  <c r="L14" i="41"/>
  <c r="I16" i="43"/>
  <c r="G16" i="43"/>
  <c r="E16" i="43"/>
  <c r="C13" i="43"/>
  <c r="S10" i="41" s="1"/>
  <c r="C9" i="43"/>
  <c r="N10" i="41" s="1"/>
  <c r="Q16" i="43"/>
  <c r="M16" i="43"/>
  <c r="C5" i="43"/>
  <c r="C8" i="43"/>
  <c r="M10" i="41" s="1"/>
  <c r="C12" i="43"/>
  <c r="R10" i="41" s="1"/>
  <c r="C15" i="43"/>
  <c r="C11" i="43"/>
  <c r="Q10" i="41" s="1"/>
  <c r="C7" i="43"/>
  <c r="C14" i="43"/>
  <c r="O10" i="41" s="1"/>
  <c r="C10" i="43"/>
  <c r="P10" i="41" s="1"/>
  <c r="C16" i="43" l="1"/>
  <c r="L10" i="41"/>
  <c r="R16" i="43"/>
  <c r="S14" i="43" l="1"/>
  <c r="O18" i="41" s="1"/>
  <c r="S10" i="43"/>
  <c r="P18" i="41" s="1"/>
  <c r="S6" i="43"/>
  <c r="K18" i="41" s="1"/>
  <c r="S8" i="43"/>
  <c r="M18" i="41" s="1"/>
  <c r="S15" i="43"/>
  <c r="S13" i="43"/>
  <c r="S18" i="41" s="1"/>
  <c r="S9" i="43"/>
  <c r="N18" i="41" s="1"/>
  <c r="S5" i="43"/>
  <c r="S12" i="43"/>
  <c r="R18" i="41" s="1"/>
  <c r="S11" i="43"/>
  <c r="Q18" i="41" s="1"/>
  <c r="S7" i="43"/>
  <c r="L18" i="41" s="1"/>
  <c r="T16" i="43"/>
  <c r="S16" i="43" l="1"/>
  <c r="U15" i="43"/>
  <c r="U11" i="43"/>
  <c r="Q19" i="41" s="1"/>
  <c r="U7" i="43"/>
  <c r="L19" i="41" s="1"/>
  <c r="U14" i="43"/>
  <c r="O19" i="41" s="1"/>
  <c r="U10" i="43"/>
  <c r="P19" i="41" s="1"/>
  <c r="U6" i="43"/>
  <c r="K19" i="41" s="1"/>
  <c r="U13" i="43"/>
  <c r="S19" i="41" s="1"/>
  <c r="U9" i="43"/>
  <c r="N19" i="41" s="1"/>
  <c r="U12" i="43"/>
  <c r="R19" i="41" s="1"/>
  <c r="U5" i="43"/>
  <c r="U8" i="43"/>
  <c r="M19" i="41" s="1"/>
  <c r="C21" i="38"/>
  <c r="D21" i="38"/>
  <c r="E10" i="38"/>
  <c r="E11" i="38"/>
  <c r="E12" i="38"/>
  <c r="E13" i="38"/>
  <c r="E14" i="38"/>
  <c r="E15" i="38"/>
  <c r="E16" i="38"/>
  <c r="E17" i="38"/>
  <c r="E18" i="38"/>
  <c r="E19" i="38"/>
  <c r="E20" i="38"/>
  <c r="E9" i="38"/>
  <c r="U16" i="43" l="1"/>
  <c r="D34" i="34"/>
  <c r="B26" i="36" s="1"/>
  <c r="D35" i="34"/>
  <c r="B27" i="36" s="1"/>
  <c r="D36" i="34"/>
  <c r="B28" i="36" s="1"/>
  <c r="D37" i="34"/>
  <c r="B29" i="36" s="1"/>
  <c r="D38" i="34"/>
  <c r="B30" i="36" s="1"/>
  <c r="D39" i="34"/>
  <c r="B31" i="36" s="1"/>
  <c r="D40" i="34"/>
  <c r="B32" i="36" s="1"/>
  <c r="D41" i="34"/>
  <c r="B33" i="36" s="1"/>
  <c r="D42" i="34"/>
  <c r="B34" i="36" s="1"/>
  <c r="D43" i="34"/>
  <c r="B35" i="36" s="1"/>
  <c r="D44" i="34"/>
  <c r="B36" i="36" s="1"/>
  <c r="D33" i="34"/>
  <c r="B25" i="36" s="1"/>
  <c r="D16" i="34"/>
  <c r="B30" i="35" s="1"/>
  <c r="D17" i="34"/>
  <c r="B31" i="35" s="1"/>
  <c r="D18" i="34"/>
  <c r="B32" i="35" s="1"/>
  <c r="D19" i="34"/>
  <c r="B33" i="35" s="1"/>
  <c r="D20" i="34"/>
  <c r="B34" i="35" s="1"/>
  <c r="D21" i="34"/>
  <c r="B35" i="35" s="1"/>
  <c r="D22" i="34"/>
  <c r="B36" i="35" s="1"/>
  <c r="D11" i="34"/>
  <c r="B25" i="35" s="1"/>
  <c r="I11" i="41"/>
  <c r="I12" i="41"/>
  <c r="I13" i="41"/>
  <c r="I14" i="41"/>
  <c r="I15" i="41"/>
  <c r="I16" i="41"/>
  <c r="I17" i="41"/>
  <c r="I19" i="41"/>
  <c r="I20" i="41"/>
  <c r="I21" i="41"/>
  <c r="I10" i="41"/>
  <c r="H22" i="41"/>
  <c r="X21" i="41" l="1"/>
  <c r="Y21" i="41" s="1"/>
  <c r="Y10" i="41"/>
  <c r="Y11" i="41"/>
  <c r="Y12" i="41"/>
  <c r="Y13" i="41"/>
  <c r="Y14" i="41"/>
  <c r="Y15" i="41"/>
  <c r="Y16" i="41"/>
  <c r="Y17" i="41"/>
  <c r="Y18" i="41"/>
  <c r="Y19" i="41"/>
  <c r="Y20" i="41"/>
  <c r="X22" i="41" l="1"/>
  <c r="J20" i="41"/>
  <c r="J21" i="41" s="1"/>
  <c r="L17" i="35" l="1"/>
  <c r="T11" i="41" l="1"/>
  <c r="T12" i="41"/>
  <c r="T13" i="41"/>
  <c r="T14" i="41"/>
  <c r="T15" i="41"/>
  <c r="T16" i="41"/>
  <c r="T17" i="41"/>
  <c r="T18" i="41"/>
  <c r="T19" i="41"/>
  <c r="T20" i="41"/>
  <c r="T21" i="41"/>
  <c r="D20" i="42" l="1"/>
  <c r="C20" i="42" s="1"/>
  <c r="I20" i="38" l="1"/>
  <c r="D19" i="42"/>
  <c r="C19" i="42" s="1"/>
  <c r="I19" i="38" l="1"/>
  <c r="D10" i="42"/>
  <c r="C10" i="42" s="1"/>
  <c r="D11" i="42"/>
  <c r="C11" i="42" s="1"/>
  <c r="D12" i="42"/>
  <c r="C12" i="42" s="1"/>
  <c r="D13" i="42"/>
  <c r="C13" i="42" s="1"/>
  <c r="D14" i="42"/>
  <c r="C14" i="42" s="1"/>
  <c r="D15" i="42"/>
  <c r="C15" i="42" s="1"/>
  <c r="D16" i="42"/>
  <c r="C16" i="42" s="1"/>
  <c r="I16" i="38" s="1"/>
  <c r="D17" i="42"/>
  <c r="C17" i="42" s="1"/>
  <c r="I17" i="38" s="1"/>
  <c r="D18" i="42"/>
  <c r="C18" i="42" s="1"/>
  <c r="I18" i="38" s="1"/>
  <c r="D9" i="42"/>
  <c r="C9" i="42" s="1"/>
  <c r="C45" i="40" s="1"/>
  <c r="E45" i="40" s="1"/>
  <c r="C47" i="40" l="1"/>
  <c r="E47" i="40" s="1"/>
  <c r="E48" i="40" s="1"/>
  <c r="E56" i="40" s="1"/>
  <c r="C48" i="40"/>
  <c r="I10" i="38"/>
  <c r="I11" i="38"/>
  <c r="I12" i="38"/>
  <c r="I13" i="38"/>
  <c r="I14" i="38"/>
  <c r="I15" i="38"/>
  <c r="I9" i="38"/>
  <c r="E58" i="40" l="1"/>
  <c r="F60" i="40" s="1"/>
  <c r="E63" i="40"/>
  <c r="F64" i="40" s="1"/>
  <c r="E21" i="38"/>
  <c r="F66" i="40" l="1"/>
  <c r="T10" i="41"/>
  <c r="F13" i="38" l="1"/>
  <c r="G13" i="38" s="1"/>
  <c r="F14" i="38"/>
  <c r="G14" i="38" s="1"/>
  <c r="F15" i="38"/>
  <c r="G15" i="38" s="1"/>
  <c r="F16" i="38"/>
  <c r="G16" i="38" s="1"/>
  <c r="F17" i="38"/>
  <c r="G17" i="38" s="1"/>
  <c r="F18" i="38"/>
  <c r="G18" i="38" s="1"/>
  <c r="F19" i="38"/>
  <c r="G19" i="38" s="1"/>
  <c r="F20" i="38"/>
  <c r="G20" i="38" s="1"/>
  <c r="F9" i="38" l="1"/>
  <c r="F10" i="38"/>
  <c r="F11" i="38"/>
  <c r="F12" i="38"/>
  <c r="K49" i="41" l="1"/>
  <c r="L49" i="41"/>
  <c r="M49" i="41"/>
  <c r="O49" i="41"/>
  <c r="N49" i="41"/>
  <c r="P49" i="41"/>
  <c r="Q49" i="41"/>
  <c r="R49" i="41"/>
  <c r="S49" i="41"/>
  <c r="T49" i="41"/>
  <c r="K50" i="41"/>
  <c r="L50" i="41"/>
  <c r="M50" i="41"/>
  <c r="O50" i="41"/>
  <c r="N50" i="41"/>
  <c r="P50" i="41"/>
  <c r="Q50" i="41"/>
  <c r="R50" i="41"/>
  <c r="S50" i="41"/>
  <c r="T50" i="41"/>
  <c r="K51" i="41"/>
  <c r="L51" i="41"/>
  <c r="M51" i="41"/>
  <c r="O51" i="41"/>
  <c r="N51" i="41"/>
  <c r="P51" i="41"/>
  <c r="Q51" i="41"/>
  <c r="R51" i="41"/>
  <c r="S51" i="41"/>
  <c r="T51" i="41"/>
  <c r="K52" i="41"/>
  <c r="L52" i="41"/>
  <c r="M52" i="41"/>
  <c r="O52" i="41"/>
  <c r="N52" i="41"/>
  <c r="P52" i="41"/>
  <c r="Q52" i="41"/>
  <c r="R52" i="41"/>
  <c r="S52" i="41"/>
  <c r="T52" i="41"/>
  <c r="K53" i="41"/>
  <c r="L53" i="41"/>
  <c r="M53" i="41"/>
  <c r="O53" i="41"/>
  <c r="N53" i="41"/>
  <c r="P53" i="41"/>
  <c r="Q53" i="41"/>
  <c r="R53" i="41"/>
  <c r="S53" i="41"/>
  <c r="T53" i="41"/>
  <c r="K54" i="41"/>
  <c r="L54" i="41"/>
  <c r="M54" i="41"/>
  <c r="O54" i="41"/>
  <c r="N54" i="41"/>
  <c r="P54" i="41"/>
  <c r="Q54" i="41"/>
  <c r="R54" i="41"/>
  <c r="S54" i="41"/>
  <c r="T54" i="41"/>
  <c r="K55" i="41"/>
  <c r="L55" i="41"/>
  <c r="M55" i="41"/>
  <c r="O55" i="41"/>
  <c r="N55" i="41"/>
  <c r="P55" i="41"/>
  <c r="Q55" i="41"/>
  <c r="R55" i="41"/>
  <c r="S55" i="41"/>
  <c r="T55" i="41"/>
  <c r="K56" i="41"/>
  <c r="L56" i="41"/>
  <c r="M56" i="41"/>
  <c r="O56" i="41"/>
  <c r="N56" i="41"/>
  <c r="P56" i="41"/>
  <c r="Q56" i="41"/>
  <c r="R56" i="41"/>
  <c r="S56" i="41"/>
  <c r="T56" i="41"/>
  <c r="K57" i="41"/>
  <c r="L57" i="41"/>
  <c r="M57" i="41"/>
  <c r="O57" i="41"/>
  <c r="N57" i="41"/>
  <c r="P57" i="41"/>
  <c r="Q57" i="41"/>
  <c r="R57" i="41"/>
  <c r="S57" i="41"/>
  <c r="T57" i="41"/>
  <c r="K58" i="41"/>
  <c r="L58" i="41"/>
  <c r="M58" i="41"/>
  <c r="O58" i="41"/>
  <c r="N58" i="41"/>
  <c r="P58" i="41"/>
  <c r="Q58" i="41"/>
  <c r="R58" i="41"/>
  <c r="S58" i="41"/>
  <c r="T58" i="41"/>
  <c r="K59" i="41"/>
  <c r="L59" i="41"/>
  <c r="M59" i="41"/>
  <c r="O59" i="41"/>
  <c r="N59" i="41"/>
  <c r="P59" i="41"/>
  <c r="Q59" i="41"/>
  <c r="R59" i="41"/>
  <c r="S59" i="41"/>
  <c r="T59" i="41"/>
  <c r="K60" i="41"/>
  <c r="L60" i="41"/>
  <c r="M60" i="41"/>
  <c r="O60" i="41"/>
  <c r="N60" i="41"/>
  <c r="P60" i="41"/>
  <c r="Q60" i="41"/>
  <c r="R60" i="41"/>
  <c r="S60" i="41"/>
  <c r="T60" i="41"/>
  <c r="J50" i="41"/>
  <c r="J51" i="41"/>
  <c r="J52" i="41"/>
  <c r="J53" i="41"/>
  <c r="J54" i="41"/>
  <c r="J55" i="41"/>
  <c r="J56" i="41"/>
  <c r="J57" i="41"/>
  <c r="J58" i="41"/>
  <c r="J59" i="41"/>
  <c r="J60" i="41"/>
  <c r="J49" i="41"/>
  <c r="D11" i="41"/>
  <c r="D12" i="41"/>
  <c r="D13" i="34" s="1"/>
  <c r="B27" i="35" s="1"/>
  <c r="D13" i="41"/>
  <c r="D14" i="34" s="1"/>
  <c r="B28" i="35" s="1"/>
  <c r="D14" i="41"/>
  <c r="D15" i="34" s="1"/>
  <c r="B29" i="35" s="1"/>
  <c r="D15" i="41"/>
  <c r="D16" i="41"/>
  <c r="D17" i="41"/>
  <c r="D18" i="41"/>
  <c r="D19" i="41"/>
  <c r="D20" i="41"/>
  <c r="D21" i="41"/>
  <c r="D10" i="41"/>
  <c r="F22" i="41" l="1"/>
  <c r="D12" i="34"/>
  <c r="B26" i="35" s="1"/>
  <c r="B37" i="35" s="1"/>
  <c r="J30" i="41"/>
  <c r="G10" i="41"/>
  <c r="Q38" i="41"/>
  <c r="G18" i="41"/>
  <c r="Q33" i="41"/>
  <c r="G13" i="41"/>
  <c r="Q40" i="41"/>
  <c r="G20" i="41"/>
  <c r="Q32" i="41"/>
  <c r="G12" i="41"/>
  <c r="Q34" i="41"/>
  <c r="G14" i="41"/>
  <c r="T37" i="41"/>
  <c r="G17" i="41"/>
  <c r="Q36" i="41"/>
  <c r="G16" i="41"/>
  <c r="Q39" i="41"/>
  <c r="G19" i="41"/>
  <c r="T35" i="41"/>
  <c r="G15" i="41"/>
  <c r="Q31" i="41"/>
  <c r="G11" i="41"/>
  <c r="Q41" i="41"/>
  <c r="G21" i="41"/>
  <c r="D60" i="41"/>
  <c r="D50" i="41"/>
  <c r="D53" i="41"/>
  <c r="D51" i="41"/>
  <c r="D59" i="41"/>
  <c r="D58" i="41"/>
  <c r="D54" i="41"/>
  <c r="D49" i="41"/>
  <c r="D57" i="41"/>
  <c r="D56" i="41"/>
  <c r="D55" i="41"/>
  <c r="J41" i="41"/>
  <c r="O41" i="41"/>
  <c r="R41" i="41"/>
  <c r="J61" i="41"/>
  <c r="K41" i="41"/>
  <c r="N41" i="41"/>
  <c r="S41" i="41"/>
  <c r="L41" i="41"/>
  <c r="P41" i="41"/>
  <c r="T41" i="41"/>
  <c r="M41" i="41"/>
  <c r="R61" i="41"/>
  <c r="O61" i="41"/>
  <c r="D52" i="41"/>
  <c r="O40" i="41"/>
  <c r="R40" i="41"/>
  <c r="L40" i="41"/>
  <c r="J40" i="41"/>
  <c r="K40" i="41"/>
  <c r="N40" i="41"/>
  <c r="S40" i="41"/>
  <c r="P40" i="41"/>
  <c r="T40" i="41"/>
  <c r="M40" i="41"/>
  <c r="J39" i="41"/>
  <c r="O39" i="41"/>
  <c r="R39" i="41"/>
  <c r="K39" i="41"/>
  <c r="N39" i="41"/>
  <c r="S39" i="41"/>
  <c r="L39" i="41"/>
  <c r="P39" i="41"/>
  <c r="T39" i="41"/>
  <c r="M39" i="41"/>
  <c r="J38" i="41"/>
  <c r="O38" i="41"/>
  <c r="R38" i="41"/>
  <c r="K38" i="41"/>
  <c r="N38" i="41"/>
  <c r="S38" i="41"/>
  <c r="L38" i="41"/>
  <c r="T38" i="41"/>
  <c r="P38" i="41"/>
  <c r="M38" i="41"/>
  <c r="M37" i="41"/>
  <c r="Q37" i="41"/>
  <c r="J37" i="41"/>
  <c r="O37" i="41"/>
  <c r="R37" i="41"/>
  <c r="K37" i="41"/>
  <c r="N37" i="41"/>
  <c r="S37" i="41"/>
  <c r="L37" i="41"/>
  <c r="P37" i="41"/>
  <c r="J36" i="41"/>
  <c r="O36" i="41"/>
  <c r="R36" i="41"/>
  <c r="K36" i="41"/>
  <c r="N36" i="41"/>
  <c r="S36" i="41"/>
  <c r="L36" i="41"/>
  <c r="P36" i="41"/>
  <c r="T36" i="41"/>
  <c r="M36" i="41"/>
  <c r="M35" i="41"/>
  <c r="Q35" i="41"/>
  <c r="J35" i="41"/>
  <c r="O35" i="41"/>
  <c r="R35" i="41"/>
  <c r="K35" i="41"/>
  <c r="N35" i="41"/>
  <c r="S35" i="41"/>
  <c r="L35" i="41"/>
  <c r="P35" i="41"/>
  <c r="J34" i="41"/>
  <c r="O34" i="41"/>
  <c r="R34" i="41"/>
  <c r="K34" i="41"/>
  <c r="N34" i="41"/>
  <c r="S34" i="41"/>
  <c r="P34" i="41"/>
  <c r="T34" i="41"/>
  <c r="L34" i="41"/>
  <c r="M34" i="41"/>
  <c r="J33" i="41"/>
  <c r="O33" i="41"/>
  <c r="R33" i="41"/>
  <c r="K33" i="41"/>
  <c r="N33" i="41"/>
  <c r="S33" i="41"/>
  <c r="L33" i="41"/>
  <c r="P33" i="41"/>
  <c r="T33" i="41"/>
  <c r="M33" i="41"/>
  <c r="J32" i="41"/>
  <c r="O32" i="41"/>
  <c r="R32" i="41"/>
  <c r="K32" i="41"/>
  <c r="N32" i="41"/>
  <c r="S32" i="41"/>
  <c r="L32" i="41"/>
  <c r="P32" i="41"/>
  <c r="T32" i="41"/>
  <c r="M32" i="41"/>
  <c r="J31" i="41"/>
  <c r="O31" i="41"/>
  <c r="R31" i="41"/>
  <c r="K31" i="41"/>
  <c r="N31" i="41"/>
  <c r="S31" i="41"/>
  <c r="L31" i="41"/>
  <c r="P31" i="41"/>
  <c r="T31" i="41"/>
  <c r="M31" i="41"/>
  <c r="R30" i="41"/>
  <c r="K30" i="41"/>
  <c r="N30" i="41"/>
  <c r="S30" i="41"/>
  <c r="O30" i="41"/>
  <c r="L30" i="41"/>
  <c r="P30" i="41"/>
  <c r="T30" i="41"/>
  <c r="D22" i="41"/>
  <c r="M30" i="41"/>
  <c r="Q30" i="41"/>
  <c r="K61" i="41"/>
  <c r="S61" i="41"/>
  <c r="L61" i="41"/>
  <c r="P61" i="41"/>
  <c r="T61" i="41"/>
  <c r="N61" i="41"/>
  <c r="M61" i="41"/>
  <c r="Q61" i="41"/>
  <c r="G22" i="41" l="1"/>
  <c r="D61" i="41"/>
  <c r="D36" i="41"/>
  <c r="C55" i="41" s="1"/>
  <c r="D37" i="41"/>
  <c r="C56" i="41" s="1"/>
  <c r="D40" i="41"/>
  <c r="D41" i="41"/>
  <c r="D30" i="41"/>
  <c r="C49" i="41" s="1"/>
  <c r="D38" i="41"/>
  <c r="D39" i="41"/>
  <c r="D35" i="41"/>
  <c r="C54" i="41" s="1"/>
  <c r="D34" i="41"/>
  <c r="C53" i="41" s="1"/>
  <c r="D33" i="41"/>
  <c r="C52" i="41" s="1"/>
  <c r="D32" i="41"/>
  <c r="C51" i="41" s="1"/>
  <c r="D31" i="41"/>
  <c r="C50" i="41" s="1"/>
  <c r="C34" i="34"/>
  <c r="C35" i="34"/>
  <c r="C36" i="34"/>
  <c r="C37" i="34"/>
  <c r="C38" i="34"/>
  <c r="C39" i="34"/>
  <c r="C40" i="34"/>
  <c r="C41" i="34"/>
  <c r="C42" i="34"/>
  <c r="C43" i="34"/>
  <c r="C44" i="34"/>
  <c r="C33" i="34"/>
  <c r="C12" i="34"/>
  <c r="C13" i="34"/>
  <c r="C14" i="34"/>
  <c r="C15" i="34"/>
  <c r="C16" i="34"/>
  <c r="C17" i="34"/>
  <c r="C18" i="34"/>
  <c r="C19" i="34"/>
  <c r="C20" i="34"/>
  <c r="C21" i="34"/>
  <c r="C22" i="34"/>
  <c r="C11" i="34"/>
  <c r="C41" i="35"/>
  <c r="D41" i="35"/>
  <c r="E41" i="35"/>
  <c r="F41" i="35"/>
  <c r="G41" i="35"/>
  <c r="H41" i="35"/>
  <c r="I41" i="35"/>
  <c r="J41" i="35"/>
  <c r="K41" i="35"/>
  <c r="L41" i="35"/>
  <c r="C22" i="41"/>
  <c r="C25" i="34" l="1"/>
  <c r="I22" i="41"/>
  <c r="Y22" i="41"/>
  <c r="C59" i="41"/>
  <c r="C60" i="41"/>
  <c r="C58" i="41"/>
  <c r="C57" i="41"/>
  <c r="D42" i="41"/>
  <c r="D19" i="35"/>
  <c r="D19" i="36" s="1"/>
  <c r="D20" i="35"/>
  <c r="D20" i="36" s="1"/>
  <c r="D21" i="35"/>
  <c r="D21" i="36" s="1"/>
  <c r="E19" i="35"/>
  <c r="E19" i="36" s="1"/>
  <c r="E20" i="35"/>
  <c r="E20" i="36" s="1"/>
  <c r="E21" i="35"/>
  <c r="E21" i="36" s="1"/>
  <c r="F19" i="35"/>
  <c r="F19" i="36" s="1"/>
  <c r="F20" i="35"/>
  <c r="F20" i="36" s="1"/>
  <c r="F21" i="35"/>
  <c r="F21" i="36" s="1"/>
  <c r="H19" i="35"/>
  <c r="G19" i="36" s="1"/>
  <c r="H20" i="35"/>
  <c r="G20" i="36" s="1"/>
  <c r="H21" i="35"/>
  <c r="G21" i="36" s="1"/>
  <c r="I19" i="35"/>
  <c r="I19" i="36" s="1"/>
  <c r="I20" i="35"/>
  <c r="I20" i="36" s="1"/>
  <c r="I21" i="35"/>
  <c r="I21" i="36" s="1"/>
  <c r="J19" i="35"/>
  <c r="J19" i="36" s="1"/>
  <c r="J20" i="35"/>
  <c r="J20" i="36" s="1"/>
  <c r="J21" i="35"/>
  <c r="J21" i="36" s="1"/>
  <c r="K19" i="35"/>
  <c r="K19" i="36" s="1"/>
  <c r="K20" i="35"/>
  <c r="K20" i="36" s="1"/>
  <c r="K21" i="35"/>
  <c r="K21" i="36" s="1"/>
  <c r="L19" i="35"/>
  <c r="L19" i="36" s="1"/>
  <c r="L20" i="35"/>
  <c r="L20" i="36" s="1"/>
  <c r="L21" i="35"/>
  <c r="L21" i="36" s="1"/>
  <c r="G19" i="35"/>
  <c r="H19" i="36" s="1"/>
  <c r="G20" i="35"/>
  <c r="H20" i="36" s="1"/>
  <c r="G21" i="35"/>
  <c r="H21" i="36" s="1"/>
  <c r="C21" i="35"/>
  <c r="C21" i="36" s="1"/>
  <c r="C20" i="35"/>
  <c r="C20" i="36" s="1"/>
  <c r="C19" i="35"/>
  <c r="C19" i="36" s="1"/>
  <c r="J36" i="35" l="1"/>
  <c r="D36" i="35"/>
  <c r="I36" i="35"/>
  <c r="G36" i="35"/>
  <c r="L36" i="35"/>
  <c r="F36" i="35"/>
  <c r="K36" i="35"/>
  <c r="C36" i="35"/>
  <c r="H36" i="35"/>
  <c r="E36" i="35"/>
  <c r="K22" i="34"/>
  <c r="C35" i="35"/>
  <c r="H35" i="35"/>
  <c r="G35" i="35"/>
  <c r="L35" i="35"/>
  <c r="E35" i="35"/>
  <c r="F35" i="35"/>
  <c r="K35" i="35"/>
  <c r="I35" i="35"/>
  <c r="J35" i="35"/>
  <c r="D35" i="35"/>
  <c r="K21" i="34"/>
  <c r="C34" i="35"/>
  <c r="F34" i="35"/>
  <c r="J34" i="35"/>
  <c r="K20" i="34"/>
  <c r="I34" i="35"/>
  <c r="L34" i="35"/>
  <c r="H34" i="35"/>
  <c r="D34" i="35"/>
  <c r="G34" i="35"/>
  <c r="E34" i="35"/>
  <c r="K34" i="35"/>
  <c r="K19" i="34"/>
  <c r="D17" i="35"/>
  <c r="D18" i="35"/>
  <c r="D33" i="35" s="1"/>
  <c r="E17" i="35"/>
  <c r="E18" i="35"/>
  <c r="E33" i="35" s="1"/>
  <c r="F17" i="35"/>
  <c r="F18" i="35"/>
  <c r="F33" i="35" s="1"/>
  <c r="H17" i="35"/>
  <c r="H18" i="35"/>
  <c r="H33" i="35" s="1"/>
  <c r="I17" i="35"/>
  <c r="I18" i="35"/>
  <c r="I33" i="35" s="1"/>
  <c r="J17" i="35"/>
  <c r="J18" i="35"/>
  <c r="J33" i="35" s="1"/>
  <c r="K17" i="35"/>
  <c r="K18" i="35"/>
  <c r="K33" i="35" s="1"/>
  <c r="L18" i="35"/>
  <c r="L33" i="35" s="1"/>
  <c r="G17" i="35"/>
  <c r="G18" i="35"/>
  <c r="G33" i="35" s="1"/>
  <c r="C18" i="35"/>
  <c r="C33" i="35" s="1"/>
  <c r="C17" i="35"/>
  <c r="L18" i="36" l="1"/>
  <c r="G18" i="36"/>
  <c r="C18" i="36"/>
  <c r="J17" i="36"/>
  <c r="E17" i="36"/>
  <c r="H18" i="36"/>
  <c r="I18" i="36"/>
  <c r="F18" i="36"/>
  <c r="D18" i="36"/>
  <c r="C17" i="36"/>
  <c r="E18" i="36"/>
  <c r="L17" i="36"/>
  <c r="G17" i="36"/>
  <c r="K18" i="36"/>
  <c r="H17" i="36"/>
  <c r="K17" i="36"/>
  <c r="I17" i="36"/>
  <c r="F17" i="36"/>
  <c r="D17" i="36"/>
  <c r="J18" i="36"/>
  <c r="D16" i="35"/>
  <c r="E16" i="35"/>
  <c r="F16" i="35"/>
  <c r="H16" i="35"/>
  <c r="I16" i="35"/>
  <c r="J16" i="35"/>
  <c r="K16" i="35"/>
  <c r="L16" i="35"/>
  <c r="G16" i="35"/>
  <c r="C16" i="35"/>
  <c r="D15" i="35"/>
  <c r="E15" i="35"/>
  <c r="F15" i="35"/>
  <c r="H15" i="35"/>
  <c r="I15" i="35"/>
  <c r="J15" i="35"/>
  <c r="K15" i="35"/>
  <c r="L15" i="35"/>
  <c r="G15" i="35"/>
  <c r="C15" i="35"/>
  <c r="H16" i="36" l="1"/>
  <c r="J15" i="36"/>
  <c r="E15" i="36"/>
  <c r="L16" i="36"/>
  <c r="G16" i="36"/>
  <c r="K15" i="36"/>
  <c r="D16" i="36"/>
  <c r="H15" i="36"/>
  <c r="I15" i="36"/>
  <c r="D15" i="36"/>
  <c r="K16" i="36"/>
  <c r="F16" i="36"/>
  <c r="F15" i="36"/>
  <c r="I16" i="36"/>
  <c r="C15" i="36"/>
  <c r="L15" i="36"/>
  <c r="G15" i="36"/>
  <c r="C16" i="36"/>
  <c r="J16" i="36"/>
  <c r="E16" i="36"/>
  <c r="D14" i="35"/>
  <c r="E14" i="35"/>
  <c r="F14" i="35"/>
  <c r="G14" i="35"/>
  <c r="H14" i="35"/>
  <c r="I14" i="35"/>
  <c r="J14" i="35"/>
  <c r="K14" i="35"/>
  <c r="L14" i="35"/>
  <c r="C14" i="35"/>
  <c r="K14" i="36" l="1"/>
  <c r="J14" i="36"/>
  <c r="F14" i="36"/>
  <c r="C14" i="36"/>
  <c r="I14" i="36"/>
  <c r="E14" i="36"/>
  <c r="H14" i="36"/>
  <c r="L14" i="36"/>
  <c r="G14" i="36"/>
  <c r="D14" i="36"/>
  <c r="D13" i="35"/>
  <c r="E13" i="35"/>
  <c r="F13" i="35"/>
  <c r="G13" i="35"/>
  <c r="H13" i="35"/>
  <c r="I13" i="35"/>
  <c r="J13" i="35"/>
  <c r="K13" i="35"/>
  <c r="L13" i="35"/>
  <c r="C13" i="35"/>
  <c r="D12" i="35"/>
  <c r="E12" i="35"/>
  <c r="F12" i="35"/>
  <c r="G12" i="35"/>
  <c r="H12" i="35"/>
  <c r="I12" i="35"/>
  <c r="J12" i="35"/>
  <c r="K12" i="35"/>
  <c r="L12" i="35"/>
  <c r="C12" i="35"/>
  <c r="E13" i="36" l="1"/>
  <c r="J12" i="36"/>
  <c r="F12" i="36"/>
  <c r="L13" i="36"/>
  <c r="G13" i="36"/>
  <c r="D13" i="36"/>
  <c r="H12" i="36"/>
  <c r="C13" i="36"/>
  <c r="I12" i="36"/>
  <c r="E12" i="36"/>
  <c r="K13" i="36"/>
  <c r="H13" i="36"/>
  <c r="K12" i="36"/>
  <c r="I13" i="36"/>
  <c r="C12" i="36"/>
  <c r="L12" i="36"/>
  <c r="G12" i="36"/>
  <c r="D12" i="36"/>
  <c r="J13" i="36"/>
  <c r="F13" i="36"/>
  <c r="D11" i="35"/>
  <c r="E11" i="35"/>
  <c r="F11" i="35"/>
  <c r="G11" i="35"/>
  <c r="H11" i="35"/>
  <c r="I11" i="35"/>
  <c r="J11" i="35"/>
  <c r="K11" i="35"/>
  <c r="L11" i="35"/>
  <c r="C11" i="35"/>
  <c r="H11" i="36" l="1"/>
  <c r="J11" i="36"/>
  <c r="F11" i="36"/>
  <c r="C11" i="36"/>
  <c r="I11" i="36"/>
  <c r="E11" i="36"/>
  <c r="K11" i="36"/>
  <c r="L11" i="36"/>
  <c r="G11" i="36"/>
  <c r="D11" i="36"/>
  <c r="D10" i="35"/>
  <c r="D10" i="36" s="1"/>
  <c r="E10" i="35"/>
  <c r="E10" i="36" s="1"/>
  <c r="F10" i="35"/>
  <c r="F10" i="36" s="1"/>
  <c r="G10" i="35"/>
  <c r="H10" i="36" s="1"/>
  <c r="H10" i="35"/>
  <c r="G10" i="36" s="1"/>
  <c r="I10" i="35"/>
  <c r="I10" i="36" s="1"/>
  <c r="J10" i="35"/>
  <c r="J10" i="36" s="1"/>
  <c r="K10" i="35"/>
  <c r="K10" i="36" s="1"/>
  <c r="L10" i="35"/>
  <c r="L10" i="36" s="1"/>
  <c r="C10" i="35"/>
  <c r="C10" i="36" l="1"/>
  <c r="B22" i="41"/>
  <c r="K42" i="41"/>
  <c r="K22" i="41" s="1"/>
  <c r="N42" i="41"/>
  <c r="N22" i="41" s="1"/>
  <c r="S42" i="41"/>
  <c r="S22" i="41" s="1"/>
  <c r="L42" i="41"/>
  <c r="L22" i="41" s="1"/>
  <c r="P42" i="41"/>
  <c r="P22" i="41" s="1"/>
  <c r="M42" i="41"/>
  <c r="M22" i="41" s="1"/>
  <c r="Q42" i="41"/>
  <c r="Q22" i="41" s="1"/>
  <c r="J42" i="41"/>
  <c r="J22" i="41" s="1"/>
  <c r="O42" i="41"/>
  <c r="O22" i="41" s="1"/>
  <c r="R42" i="41"/>
  <c r="R22" i="41" s="1"/>
  <c r="T42" i="41"/>
  <c r="T22" i="41" s="1"/>
  <c r="B21" i="38"/>
  <c r="I21" i="38"/>
  <c r="G12" i="38"/>
  <c r="G11" i="38"/>
  <c r="G10" i="38"/>
  <c r="B23" i="38" l="1"/>
  <c r="I23" i="38"/>
  <c r="F21" i="38"/>
  <c r="G21" i="38" s="1"/>
  <c r="G9" i="38"/>
  <c r="F27" i="36" l="1"/>
  <c r="C27" i="36"/>
  <c r="H27" i="36"/>
  <c r="L27" i="36"/>
  <c r="J27" i="36"/>
  <c r="E27" i="36"/>
  <c r="G27" i="36"/>
  <c r="I27" i="36"/>
  <c r="D27" i="36"/>
  <c r="K27" i="36"/>
  <c r="E29" i="36"/>
  <c r="F29" i="36"/>
  <c r="L29" i="36"/>
  <c r="H29" i="36"/>
  <c r="D29" i="36"/>
  <c r="C29" i="36"/>
  <c r="G29" i="36"/>
  <c r="I29" i="36"/>
  <c r="K29" i="36"/>
  <c r="J29" i="36"/>
  <c r="J33" i="36"/>
  <c r="C33" i="36"/>
  <c r="L33" i="36"/>
  <c r="I33" i="36"/>
  <c r="E33" i="36"/>
  <c r="G33" i="36"/>
  <c r="F33" i="36"/>
  <c r="K33" i="36"/>
  <c r="D33" i="36"/>
  <c r="H33" i="36"/>
  <c r="E31" i="36"/>
  <c r="K31" i="36"/>
  <c r="J31" i="36"/>
  <c r="F31" i="36"/>
  <c r="L31" i="36"/>
  <c r="G31" i="36"/>
  <c r="H31" i="36"/>
  <c r="C31" i="36"/>
  <c r="D31" i="36"/>
  <c r="I31" i="36"/>
  <c r="C32" i="36"/>
  <c r="G32" i="36"/>
  <c r="J32" i="36"/>
  <c r="F32" i="36"/>
  <c r="L32" i="36"/>
  <c r="I32" i="36"/>
  <c r="H32" i="36"/>
  <c r="K32" i="36"/>
  <c r="D32" i="36"/>
  <c r="E32" i="36"/>
  <c r="I26" i="35"/>
  <c r="L26" i="35"/>
  <c r="D26" i="35"/>
  <c r="E26" i="35"/>
  <c r="H26" i="35"/>
  <c r="G26" i="35"/>
  <c r="J26" i="35"/>
  <c r="K26" i="35"/>
  <c r="C26" i="35"/>
  <c r="F26" i="35"/>
  <c r="J35" i="36"/>
  <c r="K35" i="36"/>
  <c r="D35" i="36"/>
  <c r="C35" i="36"/>
  <c r="L35" i="36"/>
  <c r="E35" i="36"/>
  <c r="H35" i="36"/>
  <c r="G35" i="36"/>
  <c r="I35" i="36"/>
  <c r="F35" i="36"/>
  <c r="J30" i="35"/>
  <c r="K30" i="35"/>
  <c r="G30" i="35"/>
  <c r="D30" i="35"/>
  <c r="F30" i="35"/>
  <c r="C30" i="35"/>
  <c r="H30" i="35"/>
  <c r="E30" i="35"/>
  <c r="I30" i="35"/>
  <c r="L30" i="35"/>
  <c r="D28" i="35"/>
  <c r="I28" i="35"/>
  <c r="E28" i="35"/>
  <c r="H28" i="35"/>
  <c r="K28" i="35"/>
  <c r="J28" i="35"/>
  <c r="L28" i="35"/>
  <c r="C28" i="35"/>
  <c r="G28" i="35"/>
  <c r="F28" i="35"/>
  <c r="G31" i="35"/>
  <c r="D31" i="35"/>
  <c r="E31" i="35"/>
  <c r="L31" i="35"/>
  <c r="F31" i="35"/>
  <c r="J31" i="35"/>
  <c r="H31" i="35"/>
  <c r="K31" i="35"/>
  <c r="I31" i="35"/>
  <c r="C31" i="35"/>
  <c r="C32" i="35"/>
  <c r="J32" i="35"/>
  <c r="H32" i="35"/>
  <c r="G32" i="35"/>
  <c r="I32" i="35"/>
  <c r="D32" i="35"/>
  <c r="E32" i="35"/>
  <c r="L32" i="35"/>
  <c r="K32" i="35"/>
  <c r="F32" i="35"/>
  <c r="L30" i="36"/>
  <c r="C30" i="36"/>
  <c r="K30" i="36"/>
  <c r="G30" i="36"/>
  <c r="D30" i="36"/>
  <c r="J30" i="36"/>
  <c r="I30" i="36"/>
  <c r="E30" i="36"/>
  <c r="H30" i="36"/>
  <c r="F30" i="36"/>
  <c r="H28" i="36"/>
  <c r="I28" i="36"/>
  <c r="J28" i="36"/>
  <c r="K28" i="36"/>
  <c r="F28" i="36"/>
  <c r="L28" i="36"/>
  <c r="G28" i="36"/>
  <c r="C28" i="36"/>
  <c r="E28" i="36"/>
  <c r="D28" i="36"/>
  <c r="J27" i="35"/>
  <c r="E27" i="35"/>
  <c r="D27" i="35"/>
  <c r="F27" i="35"/>
  <c r="G27" i="35"/>
  <c r="I27" i="35"/>
  <c r="K27" i="35"/>
  <c r="C27" i="35"/>
  <c r="H27" i="35"/>
  <c r="L27" i="35"/>
  <c r="I29" i="35"/>
  <c r="E29" i="35"/>
  <c r="F29" i="35"/>
  <c r="L29" i="35"/>
  <c r="D29" i="35"/>
  <c r="J29" i="35"/>
  <c r="G29" i="35"/>
  <c r="H29" i="35"/>
  <c r="C29" i="35"/>
  <c r="K29" i="35"/>
  <c r="E34" i="36"/>
  <c r="D34" i="36"/>
  <c r="F34" i="36"/>
  <c r="G34" i="36"/>
  <c r="H34" i="36"/>
  <c r="K34" i="36"/>
  <c r="L34" i="36"/>
  <c r="I34" i="36"/>
  <c r="J34" i="36"/>
  <c r="C34" i="36"/>
  <c r="E26" i="36"/>
  <c r="I26" i="36"/>
  <c r="L26" i="36"/>
  <c r="C26" i="36"/>
  <c r="F26" i="36"/>
  <c r="H26" i="36"/>
  <c r="D26" i="36"/>
  <c r="K26" i="36"/>
  <c r="G26" i="36"/>
  <c r="J26" i="36"/>
  <c r="I36" i="36"/>
  <c r="K36" i="36"/>
  <c r="J36" i="36"/>
  <c r="G36" i="36"/>
  <c r="C36" i="36"/>
  <c r="F36" i="36"/>
  <c r="H36" i="36"/>
  <c r="L36" i="36"/>
  <c r="D36" i="36"/>
  <c r="E36" i="36"/>
  <c r="C25" i="35" l="1"/>
  <c r="D42" i="35" l="1"/>
  <c r="E42" i="35"/>
  <c r="F42" i="35"/>
  <c r="G42" i="35"/>
  <c r="H42" i="35"/>
  <c r="I42" i="35"/>
  <c r="J42" i="35"/>
  <c r="K42" i="35"/>
  <c r="L42" i="35"/>
  <c r="D43" i="35"/>
  <c r="E43" i="35"/>
  <c r="F43" i="35"/>
  <c r="G43" i="35"/>
  <c r="H43" i="35"/>
  <c r="I43" i="35"/>
  <c r="J43" i="35"/>
  <c r="K43" i="35"/>
  <c r="L43" i="35"/>
  <c r="D44" i="35"/>
  <c r="E44" i="35"/>
  <c r="F44" i="35"/>
  <c r="G44" i="35"/>
  <c r="H44" i="35"/>
  <c r="I44" i="35"/>
  <c r="J44" i="35"/>
  <c r="K44" i="35"/>
  <c r="L44" i="35"/>
  <c r="D45" i="35"/>
  <c r="E45" i="35"/>
  <c r="F45" i="35"/>
  <c r="G45" i="35"/>
  <c r="H45" i="35"/>
  <c r="I45" i="35"/>
  <c r="J45" i="35"/>
  <c r="K45" i="35"/>
  <c r="L45" i="35"/>
  <c r="D46" i="35"/>
  <c r="E46" i="35"/>
  <c r="F46" i="35"/>
  <c r="G46" i="35"/>
  <c r="H46" i="35"/>
  <c r="I46" i="35"/>
  <c r="J46" i="35"/>
  <c r="K46" i="35"/>
  <c r="L46" i="35"/>
  <c r="D47" i="35"/>
  <c r="E47" i="35"/>
  <c r="F47" i="35"/>
  <c r="G47" i="35"/>
  <c r="H47" i="35"/>
  <c r="I47" i="35"/>
  <c r="J47" i="35"/>
  <c r="K47" i="35"/>
  <c r="L47" i="35"/>
  <c r="D48" i="35"/>
  <c r="E48" i="35"/>
  <c r="F48" i="35"/>
  <c r="G48" i="35"/>
  <c r="H48" i="35"/>
  <c r="I48" i="35"/>
  <c r="J48" i="35"/>
  <c r="K48" i="35"/>
  <c r="L48" i="35"/>
  <c r="D49" i="35"/>
  <c r="E49" i="35"/>
  <c r="F49" i="35"/>
  <c r="G49" i="35"/>
  <c r="H49" i="35"/>
  <c r="I49" i="35"/>
  <c r="J49" i="35"/>
  <c r="K49" i="35"/>
  <c r="L49" i="35"/>
  <c r="D50" i="35"/>
  <c r="E50" i="35"/>
  <c r="F50" i="35"/>
  <c r="G50" i="35"/>
  <c r="H50" i="35"/>
  <c r="I50" i="35"/>
  <c r="J50" i="35"/>
  <c r="K50" i="35"/>
  <c r="L50" i="35"/>
  <c r="D51" i="35"/>
  <c r="E51" i="35"/>
  <c r="F51" i="35"/>
  <c r="G51" i="35"/>
  <c r="H51" i="35"/>
  <c r="I51" i="35"/>
  <c r="J51" i="35"/>
  <c r="K51" i="35"/>
  <c r="L51" i="35"/>
  <c r="D52" i="35"/>
  <c r="E52" i="35"/>
  <c r="F52" i="35"/>
  <c r="G52" i="35"/>
  <c r="H52" i="35"/>
  <c r="I52" i="35"/>
  <c r="J52" i="35"/>
  <c r="K52" i="35"/>
  <c r="L52" i="35"/>
  <c r="C43" i="35"/>
  <c r="C44" i="35"/>
  <c r="C45" i="35"/>
  <c r="C46" i="35"/>
  <c r="C47" i="35"/>
  <c r="C48" i="35"/>
  <c r="C49" i="35"/>
  <c r="C50" i="35"/>
  <c r="C51" i="35"/>
  <c r="C52" i="35"/>
  <c r="C42" i="35"/>
  <c r="M11" i="35" l="1"/>
  <c r="M11" i="36" l="1"/>
  <c r="M26" i="36" s="1"/>
  <c r="M26" i="35"/>
  <c r="C56" i="35"/>
  <c r="C57" i="35"/>
  <c r="C60" i="35"/>
  <c r="C58" i="35"/>
  <c r="C59" i="35"/>
  <c r="C61" i="35"/>
  <c r="C62" i="35"/>
  <c r="C63" i="35"/>
  <c r="C41" i="36"/>
  <c r="C42" i="36"/>
  <c r="C57" i="36" s="1"/>
  <c r="C43" i="36"/>
  <c r="C58" i="36" s="1"/>
  <c r="C44" i="36"/>
  <c r="C59" i="36" s="1"/>
  <c r="C45" i="36"/>
  <c r="C60" i="36" s="1"/>
  <c r="C46" i="36"/>
  <c r="C61" i="36" s="1"/>
  <c r="C47" i="36"/>
  <c r="C62" i="36" s="1"/>
  <c r="C48" i="36"/>
  <c r="C63" i="36" s="1"/>
  <c r="C49" i="36"/>
  <c r="C64" i="36" s="1"/>
  <c r="C50" i="36"/>
  <c r="C51" i="36"/>
  <c r="C52" i="36"/>
  <c r="C67" i="35"/>
  <c r="C65" i="36" l="1"/>
  <c r="C66" i="36"/>
  <c r="C66" i="35"/>
  <c r="C64" i="35"/>
  <c r="C67" i="36"/>
  <c r="C37" i="35" l="1"/>
  <c r="C65" i="35"/>
  <c r="C68" i="35" s="1"/>
  <c r="C70" i="35" l="1"/>
  <c r="M21" i="35" l="1"/>
  <c r="M36" i="35" s="1"/>
  <c r="M21" i="36" l="1"/>
  <c r="M36" i="36" s="1"/>
  <c r="K49" i="36" l="1"/>
  <c r="E51" i="36"/>
  <c r="D52" i="36"/>
  <c r="E52" i="36"/>
  <c r="F52" i="36"/>
  <c r="H52" i="36"/>
  <c r="I52" i="36"/>
  <c r="J52" i="36"/>
  <c r="K52" i="36"/>
  <c r="L52" i="36"/>
  <c r="D42" i="36"/>
  <c r="E42" i="36"/>
  <c r="F42" i="36"/>
  <c r="H42" i="36"/>
  <c r="G42" i="36"/>
  <c r="I42" i="36"/>
  <c r="J42" i="36"/>
  <c r="K42" i="36"/>
  <c r="L42" i="36"/>
  <c r="D43" i="36"/>
  <c r="E43" i="36"/>
  <c r="F43" i="36"/>
  <c r="H43" i="36"/>
  <c r="I43" i="36"/>
  <c r="J43" i="36"/>
  <c r="K43" i="36"/>
  <c r="L43" i="36"/>
  <c r="D44" i="36"/>
  <c r="E44" i="36"/>
  <c r="F44" i="36"/>
  <c r="H44" i="36"/>
  <c r="I44" i="36"/>
  <c r="J44" i="36"/>
  <c r="K44" i="36"/>
  <c r="L44" i="36"/>
  <c r="D45" i="36"/>
  <c r="E45" i="36"/>
  <c r="F45" i="36"/>
  <c r="H45" i="36"/>
  <c r="I45" i="36"/>
  <c r="J45" i="36"/>
  <c r="K45" i="36"/>
  <c r="L45" i="36"/>
  <c r="D46" i="36"/>
  <c r="E46" i="36"/>
  <c r="F46" i="36"/>
  <c r="H46" i="36"/>
  <c r="I46" i="36"/>
  <c r="J46" i="36"/>
  <c r="K46" i="36"/>
  <c r="L46" i="36"/>
  <c r="D47" i="36"/>
  <c r="E47" i="36"/>
  <c r="F47" i="36"/>
  <c r="H47" i="36"/>
  <c r="I47" i="36"/>
  <c r="J47" i="36"/>
  <c r="K47" i="36"/>
  <c r="L47" i="36"/>
  <c r="D48" i="36"/>
  <c r="E48" i="36"/>
  <c r="F48" i="36"/>
  <c r="H48" i="36"/>
  <c r="I48" i="36"/>
  <c r="J48" i="36"/>
  <c r="K48" i="36"/>
  <c r="L48" i="36"/>
  <c r="D49" i="36"/>
  <c r="E49" i="36"/>
  <c r="F49" i="36"/>
  <c r="H49" i="36"/>
  <c r="I49" i="36"/>
  <c r="J49" i="36"/>
  <c r="L49" i="36"/>
  <c r="D50" i="36"/>
  <c r="E50" i="36"/>
  <c r="F50" i="36"/>
  <c r="H50" i="36"/>
  <c r="I50" i="36"/>
  <c r="J50" i="36"/>
  <c r="K50" i="36"/>
  <c r="L50" i="36"/>
  <c r="D51" i="36"/>
  <c r="F51" i="36"/>
  <c r="H51" i="36"/>
  <c r="I51" i="36"/>
  <c r="J51" i="36"/>
  <c r="K51" i="36"/>
  <c r="L51" i="36"/>
  <c r="D41" i="36"/>
  <c r="E41" i="36"/>
  <c r="F41" i="36"/>
  <c r="H41" i="36"/>
  <c r="G41" i="36"/>
  <c r="I41" i="36"/>
  <c r="J41" i="36"/>
  <c r="K41" i="36"/>
  <c r="L41" i="36"/>
  <c r="M10" i="35"/>
  <c r="M10" i="36" s="1"/>
  <c r="G43" i="36" l="1"/>
  <c r="G44" i="36" l="1"/>
  <c r="B11" i="35"/>
  <c r="B10" i="35"/>
  <c r="M20" i="35"/>
  <c r="M35" i="35" s="1"/>
  <c r="B21" i="35"/>
  <c r="M20" i="36" l="1"/>
  <c r="M35" i="36" s="1"/>
  <c r="G45" i="36"/>
  <c r="B20" i="35"/>
  <c r="G46" i="36" l="1"/>
  <c r="G47" i="36" l="1"/>
  <c r="G48" i="36" l="1"/>
  <c r="M15" i="35"/>
  <c r="M19" i="35"/>
  <c r="M34" i="35" s="1"/>
  <c r="M16" i="35"/>
  <c r="M17" i="35"/>
  <c r="M18" i="35"/>
  <c r="M33" i="35" s="1"/>
  <c r="B16" i="35" l="1"/>
  <c r="M16" i="36"/>
  <c r="M31" i="36" s="1"/>
  <c r="M31" i="35"/>
  <c r="B17" i="35"/>
  <c r="M17" i="36"/>
  <c r="M32" i="36" s="1"/>
  <c r="M32" i="35"/>
  <c r="B19" i="35"/>
  <c r="M19" i="36"/>
  <c r="M34" i="36" s="1"/>
  <c r="B18" i="35"/>
  <c r="M18" i="36"/>
  <c r="M33" i="36" s="1"/>
  <c r="B15" i="35"/>
  <c r="M15" i="36"/>
  <c r="M30" i="36" s="1"/>
  <c r="M30" i="35"/>
  <c r="G49" i="36"/>
  <c r="M12" i="35"/>
  <c r="M14" i="35"/>
  <c r="B12" i="35" l="1"/>
  <c r="M12" i="36"/>
  <c r="M27" i="36" s="1"/>
  <c r="M27" i="35"/>
  <c r="B14" i="35"/>
  <c r="M14" i="36"/>
  <c r="M29" i="36" s="1"/>
  <c r="M29" i="35"/>
  <c r="G50" i="36"/>
  <c r="M13" i="35"/>
  <c r="B13" i="35" l="1"/>
  <c r="M13" i="36"/>
  <c r="M28" i="36" s="1"/>
  <c r="M28" i="35"/>
  <c r="G52" i="36"/>
  <c r="G51" i="36"/>
  <c r="B20" i="36" l="1"/>
  <c r="B21" i="36"/>
  <c r="B18" i="36"/>
  <c r="B19" i="36"/>
  <c r="L64" i="36" l="1"/>
  <c r="L65" i="36"/>
  <c r="L67" i="36"/>
  <c r="K66" i="36"/>
  <c r="H65" i="36" l="1"/>
  <c r="K65" i="36"/>
  <c r="J65" i="36"/>
  <c r="E65" i="36"/>
  <c r="J64" i="36"/>
  <c r="E64" i="36"/>
  <c r="K64" i="36"/>
  <c r="H66" i="36"/>
  <c r="H64" i="36"/>
  <c r="E66" i="36"/>
  <c r="D64" i="36"/>
  <c r="F64" i="36"/>
  <c r="G64" i="36"/>
  <c r="I64" i="36"/>
  <c r="D65" i="36"/>
  <c r="F65" i="36"/>
  <c r="G65" i="36"/>
  <c r="I65" i="36"/>
  <c r="L66" i="36"/>
  <c r="J66" i="36"/>
  <c r="D66" i="36"/>
  <c r="F66" i="36"/>
  <c r="G66" i="36"/>
  <c r="I66" i="36"/>
  <c r="F67" i="36"/>
  <c r="G67" i="36"/>
  <c r="I67" i="36"/>
  <c r="K67" i="36"/>
  <c r="E67" i="36"/>
  <c r="H67" i="36"/>
  <c r="J67" i="36"/>
  <c r="D67" i="36" l="1"/>
  <c r="B64" i="36"/>
  <c r="F41" i="34" s="1"/>
  <c r="B65" i="36"/>
  <c r="F42" i="34" s="1"/>
  <c r="B66" i="36"/>
  <c r="F43" i="34" s="1"/>
  <c r="I62" i="35"/>
  <c r="H62" i="35"/>
  <c r="F62" i="35"/>
  <c r="D62" i="35"/>
  <c r="K63" i="35"/>
  <c r="I63" i="35"/>
  <c r="H63" i="35"/>
  <c r="F63" i="35"/>
  <c r="D63" i="35"/>
  <c r="L61" i="35"/>
  <c r="J61" i="35"/>
  <c r="G61" i="35"/>
  <c r="E61" i="35"/>
  <c r="L62" i="35"/>
  <c r="J62" i="35"/>
  <c r="G62" i="35"/>
  <c r="E62" i="35"/>
  <c r="L63" i="35"/>
  <c r="J63" i="35"/>
  <c r="G63" i="35"/>
  <c r="E63" i="35"/>
  <c r="K61" i="35"/>
  <c r="I61" i="35"/>
  <c r="H61" i="35"/>
  <c r="F61" i="35"/>
  <c r="D61" i="35"/>
  <c r="K62" i="35"/>
  <c r="G61" i="36" l="1"/>
  <c r="K61" i="36"/>
  <c r="H63" i="36"/>
  <c r="L63" i="36"/>
  <c r="H62" i="36"/>
  <c r="L62" i="36"/>
  <c r="H61" i="36"/>
  <c r="L61" i="36"/>
  <c r="F63" i="36"/>
  <c r="I63" i="36"/>
  <c r="G62" i="36"/>
  <c r="K62" i="36"/>
  <c r="F61" i="36"/>
  <c r="I61" i="36"/>
  <c r="E63" i="36"/>
  <c r="J63" i="36"/>
  <c r="E62" i="36"/>
  <c r="J62" i="36"/>
  <c r="E61" i="36"/>
  <c r="J61" i="36"/>
  <c r="G63" i="36"/>
  <c r="K63" i="36"/>
  <c r="F62" i="36"/>
  <c r="I62" i="36"/>
  <c r="D60" i="36"/>
  <c r="D61" i="36"/>
  <c r="D62" i="36"/>
  <c r="D63" i="36"/>
  <c r="B61" i="35"/>
  <c r="B62" i="35"/>
  <c r="B63" i="35"/>
  <c r="F18" i="34" s="1"/>
  <c r="L60" i="36"/>
  <c r="E60" i="36"/>
  <c r="K60" i="36"/>
  <c r="I60" i="36"/>
  <c r="G60" i="36"/>
  <c r="F60" i="36"/>
  <c r="J60" i="36"/>
  <c r="H60" i="36"/>
  <c r="K60" i="35"/>
  <c r="K66" i="35"/>
  <c r="K65" i="35"/>
  <c r="K64" i="35"/>
  <c r="K67" i="35"/>
  <c r="I60" i="35"/>
  <c r="I66" i="35"/>
  <c r="I65" i="35"/>
  <c r="I64" i="35"/>
  <c r="I67" i="35"/>
  <c r="H60" i="35"/>
  <c r="H67" i="35"/>
  <c r="H66" i="35"/>
  <c r="H65" i="35"/>
  <c r="H64" i="35"/>
  <c r="F60" i="35"/>
  <c r="F67" i="35"/>
  <c r="F66" i="35"/>
  <c r="F65" i="35"/>
  <c r="F64" i="35"/>
  <c r="D60" i="35"/>
  <c r="D67" i="35"/>
  <c r="D66" i="35"/>
  <c r="D65" i="35"/>
  <c r="D64" i="35"/>
  <c r="L60" i="35"/>
  <c r="L67" i="35"/>
  <c r="L66" i="35"/>
  <c r="L65" i="35"/>
  <c r="L64" i="35"/>
  <c r="J60" i="35"/>
  <c r="J67" i="35"/>
  <c r="J66" i="35"/>
  <c r="J65" i="35"/>
  <c r="J64" i="35"/>
  <c r="G60" i="35"/>
  <c r="G67" i="35"/>
  <c r="G66" i="35"/>
  <c r="G65" i="35"/>
  <c r="G64" i="35"/>
  <c r="E60" i="35"/>
  <c r="E67" i="35"/>
  <c r="E66" i="35"/>
  <c r="E65" i="35"/>
  <c r="E64" i="35"/>
  <c r="E18" i="34" l="1"/>
  <c r="B63" i="36"/>
  <c r="F40" i="34" s="1"/>
  <c r="E40" i="34" s="1"/>
  <c r="B62" i="36"/>
  <c r="F39" i="34" s="1"/>
  <c r="B61" i="36"/>
  <c r="F38" i="34" s="1"/>
  <c r="E38" i="34" s="1"/>
  <c r="F17" i="34"/>
  <c r="F16" i="34"/>
  <c r="B15" i="36"/>
  <c r="B16" i="36"/>
  <c r="B17" i="36"/>
  <c r="B67" i="35"/>
  <c r="F22" i="34" s="1"/>
  <c r="B60" i="35"/>
  <c r="B66" i="35"/>
  <c r="F21" i="34" s="1"/>
  <c r="B64" i="35"/>
  <c r="F19" i="34" s="1"/>
  <c r="B65" i="35"/>
  <c r="F20" i="34" s="1"/>
  <c r="B60" i="36"/>
  <c r="F37" i="34" s="1"/>
  <c r="E37" i="34" s="1"/>
  <c r="E59" i="35"/>
  <c r="E57" i="35"/>
  <c r="G58" i="35"/>
  <c r="G25" i="35"/>
  <c r="G56" i="35" s="1"/>
  <c r="J58" i="35"/>
  <c r="J25" i="35"/>
  <c r="J56" i="35" s="1"/>
  <c r="L59" i="35"/>
  <c r="L57" i="35"/>
  <c r="D59" i="35"/>
  <c r="D57" i="35"/>
  <c r="F25" i="35"/>
  <c r="F56" i="35" s="1"/>
  <c r="F58" i="35"/>
  <c r="H59" i="35"/>
  <c r="H57" i="35"/>
  <c r="I58" i="35"/>
  <c r="K25" i="35"/>
  <c r="K56" i="35" s="1"/>
  <c r="K59" i="35"/>
  <c r="K57" i="35"/>
  <c r="E58" i="35"/>
  <c r="E25" i="35"/>
  <c r="E56" i="35" s="1"/>
  <c r="G59" i="35"/>
  <c r="G57" i="35"/>
  <c r="J59" i="35"/>
  <c r="J57" i="35"/>
  <c r="L58" i="35"/>
  <c r="L25" i="35"/>
  <c r="L56" i="35" s="1"/>
  <c r="D25" i="35"/>
  <c r="D58" i="35"/>
  <c r="F59" i="35"/>
  <c r="F57" i="35"/>
  <c r="H25" i="35"/>
  <c r="H56" i="35" s="1"/>
  <c r="H58" i="35"/>
  <c r="I25" i="35"/>
  <c r="I56" i="35" s="1"/>
  <c r="I57" i="35"/>
  <c r="K58" i="35"/>
  <c r="K35" i="34"/>
  <c r="K34" i="34"/>
  <c r="K13" i="34"/>
  <c r="K14" i="34"/>
  <c r="K36" i="34"/>
  <c r="K15" i="34"/>
  <c r="C23" i="34"/>
  <c r="C45" i="34"/>
  <c r="K37" i="34"/>
  <c r="K38" i="34"/>
  <c r="K39" i="34"/>
  <c r="G18" i="34"/>
  <c r="K40" i="34"/>
  <c r="K41" i="34"/>
  <c r="K42" i="34"/>
  <c r="K43" i="34"/>
  <c r="K44" i="34"/>
  <c r="K12" i="34"/>
  <c r="K16" i="34"/>
  <c r="K17" i="34"/>
  <c r="K18" i="34"/>
  <c r="E16" i="34" l="1"/>
  <c r="G22" i="34"/>
  <c r="E22" i="34"/>
  <c r="E21" i="34"/>
  <c r="G21" i="34"/>
  <c r="E19" i="34"/>
  <c r="G19" i="34"/>
  <c r="G20" i="34"/>
  <c r="E20" i="34"/>
  <c r="E39" i="34"/>
  <c r="E17" i="34"/>
  <c r="D56" i="35"/>
  <c r="G39" i="34"/>
  <c r="F57" i="36"/>
  <c r="J57" i="36"/>
  <c r="H57" i="36"/>
  <c r="K57" i="36"/>
  <c r="G57" i="36"/>
  <c r="L57" i="36"/>
  <c r="E57" i="36"/>
  <c r="I57" i="36"/>
  <c r="G38" i="34"/>
  <c r="G40" i="34"/>
  <c r="G16" i="34"/>
  <c r="K58" i="36"/>
  <c r="I59" i="36"/>
  <c r="G58" i="36"/>
  <c r="F59" i="36"/>
  <c r="J59" i="36"/>
  <c r="E58" i="36"/>
  <c r="K59" i="36"/>
  <c r="I58" i="36"/>
  <c r="L59" i="36"/>
  <c r="J58" i="36"/>
  <c r="H58" i="36"/>
  <c r="E59" i="36"/>
  <c r="G17" i="34"/>
  <c r="F15" i="34"/>
  <c r="D58" i="36"/>
  <c r="D59" i="36"/>
  <c r="B14" i="36"/>
  <c r="B58" i="35"/>
  <c r="F13" i="34" s="1"/>
  <c r="B57" i="35"/>
  <c r="F12" i="34" s="1"/>
  <c r="I59" i="35"/>
  <c r="B59" i="35" s="1"/>
  <c r="F14" i="34" s="1"/>
  <c r="E68" i="35"/>
  <c r="E37" i="35"/>
  <c r="G37" i="34"/>
  <c r="D57" i="36"/>
  <c r="M25" i="35"/>
  <c r="I37" i="35"/>
  <c r="H68" i="35"/>
  <c r="H37" i="35"/>
  <c r="D37" i="35"/>
  <c r="L68" i="35"/>
  <c r="L37" i="35"/>
  <c r="K68" i="35"/>
  <c r="K37" i="35"/>
  <c r="F68" i="35"/>
  <c r="F37" i="35"/>
  <c r="J68" i="35"/>
  <c r="J37" i="35"/>
  <c r="G68" i="35"/>
  <c r="G37" i="35"/>
  <c r="E15" i="34" l="1"/>
  <c r="J70" i="35"/>
  <c r="I21" i="39" s="1"/>
  <c r="K70" i="35"/>
  <c r="J21" i="39" s="1"/>
  <c r="E70" i="35"/>
  <c r="D21" i="39" s="1"/>
  <c r="G70" i="35"/>
  <c r="G21" i="39" s="1"/>
  <c r="F70" i="35"/>
  <c r="E21" i="39" s="1"/>
  <c r="H70" i="35"/>
  <c r="F21" i="39" s="1"/>
  <c r="L70" i="35"/>
  <c r="K21" i="39" s="1"/>
  <c r="K11" i="34"/>
  <c r="D23" i="34"/>
  <c r="K23" i="34" s="1"/>
  <c r="B57" i="36"/>
  <c r="F34" i="34" s="1"/>
  <c r="E34" i="34" s="1"/>
  <c r="E12" i="34"/>
  <c r="G12" i="34"/>
  <c r="G59" i="36"/>
  <c r="H59" i="36"/>
  <c r="L58" i="36"/>
  <c r="F58" i="36"/>
  <c r="G15" i="34"/>
  <c r="B10" i="36"/>
  <c r="B11" i="36"/>
  <c r="B12" i="36"/>
  <c r="I68" i="35"/>
  <c r="B13" i="36"/>
  <c r="E14" i="34"/>
  <c r="G14" i="34"/>
  <c r="D68" i="35"/>
  <c r="D70" i="35" s="1"/>
  <c r="C21" i="39" s="1"/>
  <c r="M37" i="35"/>
  <c r="E13" i="34"/>
  <c r="G13" i="34"/>
  <c r="B56" i="35"/>
  <c r="F11" i="34" s="1"/>
  <c r="E11" i="34" l="1"/>
  <c r="I70" i="35"/>
  <c r="H21" i="39" s="1"/>
  <c r="G34" i="34"/>
  <c r="B59" i="36"/>
  <c r="F36" i="34" s="1"/>
  <c r="E36" i="34" s="1"/>
  <c r="B58" i="36"/>
  <c r="F35" i="34" s="1"/>
  <c r="G35" i="34" s="1"/>
  <c r="G11" i="34"/>
  <c r="G36" i="34" l="1"/>
  <c r="E35" i="34"/>
  <c r="B68" i="35" l="1"/>
  <c r="B67" i="36" l="1"/>
  <c r="F44" i="34" s="1"/>
  <c r="E44" i="34" l="1"/>
  <c r="G44" i="34"/>
  <c r="E43" i="34" l="1"/>
  <c r="E42" i="34"/>
  <c r="E41" i="34"/>
  <c r="G42" i="34" l="1"/>
  <c r="F23" i="34"/>
  <c r="G41" i="34"/>
  <c r="G43" i="34"/>
  <c r="F25" i="34" l="1"/>
  <c r="M25" i="34" s="1"/>
  <c r="H13" i="34"/>
  <c r="H14" i="34" s="1"/>
  <c r="H15" i="34" s="1"/>
  <c r="H16" i="34" s="1"/>
  <c r="H17" i="34" s="1"/>
  <c r="H18" i="34" s="1"/>
  <c r="H19" i="34" s="1"/>
  <c r="H20" i="34" s="1"/>
  <c r="H21" i="34" s="1"/>
  <c r="H22" i="34" s="1"/>
  <c r="E23" i="34"/>
  <c r="G23" i="34"/>
  <c r="H11" i="34" l="1"/>
  <c r="H12" i="34" s="1"/>
  <c r="I13" i="34" l="1"/>
  <c r="I12" i="34"/>
  <c r="I11" i="34"/>
  <c r="H33" i="34"/>
  <c r="H34" i="34" s="1"/>
  <c r="D25" i="36"/>
  <c r="D56" i="36" s="1"/>
  <c r="D68" i="36" s="1"/>
  <c r="B37" i="36"/>
  <c r="G25" i="36"/>
  <c r="G56" i="36" s="1"/>
  <c r="G68" i="36" s="1"/>
  <c r="L25" i="36"/>
  <c r="L37" i="36" s="1"/>
  <c r="H25" i="36"/>
  <c r="H37" i="36" s="1"/>
  <c r="E25" i="36"/>
  <c r="E56" i="36" s="1"/>
  <c r="E68" i="36" s="1"/>
  <c r="K25" i="36"/>
  <c r="K37" i="36" s="1"/>
  <c r="M25" i="36"/>
  <c r="M37" i="36" s="1"/>
  <c r="F25" i="36"/>
  <c r="F56" i="36" s="1"/>
  <c r="F68" i="36" s="1"/>
  <c r="J25" i="36"/>
  <c r="J37" i="36" s="1"/>
  <c r="I25" i="36"/>
  <c r="I37" i="36" s="1"/>
  <c r="D45" i="34"/>
  <c r="K45" i="34" s="1"/>
  <c r="C25" i="36"/>
  <c r="C37" i="36" s="1"/>
  <c r="H56" i="36" l="1"/>
  <c r="H68" i="36" s="1"/>
  <c r="K56" i="36"/>
  <c r="K68" i="36" s="1"/>
  <c r="E37" i="36"/>
  <c r="I34" i="34"/>
  <c r="I33" i="34"/>
  <c r="I14" i="34"/>
  <c r="C56" i="36"/>
  <c r="C68" i="36" s="1"/>
  <c r="I56" i="36"/>
  <c r="I68" i="36" s="1"/>
  <c r="K33" i="34"/>
  <c r="J56" i="36"/>
  <c r="J68" i="36" s="1"/>
  <c r="F37" i="36"/>
  <c r="L56" i="36"/>
  <c r="L68" i="36" s="1"/>
  <c r="G37" i="36"/>
  <c r="D37" i="36"/>
  <c r="I15" i="34" l="1"/>
  <c r="B56" i="36"/>
  <c r="I16" i="34" l="1"/>
  <c r="B68" i="36"/>
  <c r="F33" i="34"/>
  <c r="I17" i="34" l="1"/>
  <c r="E33" i="34"/>
  <c r="E45" i="34" s="1"/>
  <c r="G33" i="34"/>
  <c r="F45" i="34"/>
  <c r="I18" i="34" l="1"/>
  <c r="G45" i="34"/>
  <c r="H35" i="34"/>
  <c r="I35" i="34" l="1"/>
  <c r="H36" i="34"/>
  <c r="I19" i="34"/>
  <c r="H37" i="34" l="1"/>
  <c r="I36" i="34"/>
  <c r="I20" i="34"/>
  <c r="I37" i="34" l="1"/>
  <c r="H38" i="34"/>
  <c r="I22" i="34"/>
  <c r="I21" i="34"/>
  <c r="H39" i="34" l="1"/>
  <c r="I38" i="34"/>
  <c r="I23" i="34"/>
  <c r="H23" i="34" s="1"/>
  <c r="H40" i="34" l="1"/>
  <c r="I39" i="34"/>
  <c r="I40" i="34" l="1"/>
  <c r="H41" i="34"/>
  <c r="I41" i="34" l="1"/>
  <c r="H42" i="34"/>
  <c r="H43" i="34" l="1"/>
  <c r="I42" i="34"/>
  <c r="H44" i="34" l="1"/>
  <c r="I44" i="34" s="1"/>
  <c r="I43" i="34"/>
  <c r="I45" i="34" l="1"/>
  <c r="H45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WMI-USER</author>
  </authors>
  <commentList>
    <comment ref="K7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$0/ton….value pays for outbound freight.
</t>
        </r>
      </text>
    </comment>
  </commentList>
</comments>
</file>

<file path=xl/sharedStrings.xml><?xml version="1.0" encoding="utf-8"?>
<sst xmlns="http://schemas.openxmlformats.org/spreadsheetml/2006/main" count="861" uniqueCount="177">
  <si>
    <t>Tons</t>
  </si>
  <si>
    <t>UBC</t>
  </si>
  <si>
    <t>HDPE</t>
  </si>
  <si>
    <t>PET</t>
  </si>
  <si>
    <t>Glass</t>
  </si>
  <si>
    <t>January</t>
  </si>
  <si>
    <t>February</t>
  </si>
  <si>
    <t>Revenue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</si>
  <si>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</si>
  <si>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</si>
  <si>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</si>
  <si>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</si>
  <si>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</si>
  <si>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</si>
  <si>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</si>
  <si>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</si>
  <si>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</si>
  <si>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</si>
  <si>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WM - Brem-Air</t>
  </si>
  <si>
    <t>Residential</t>
  </si>
  <si>
    <t>Multi-family</t>
  </si>
  <si>
    <t>Weighted</t>
  </si>
  <si>
    <t>Total</t>
  </si>
  <si>
    <t>Res'l</t>
  </si>
  <si>
    <t>MF</t>
  </si>
  <si>
    <t>Average</t>
  </si>
  <si>
    <t>Revenue/</t>
  </si>
  <si>
    <t>Credit/</t>
  </si>
  <si>
    <t>Credits</t>
  </si>
  <si>
    <t>lbs./</t>
  </si>
  <si>
    <t>Customers</t>
  </si>
  <si>
    <t>Rate/ton</t>
  </si>
  <si>
    <t>Customer</t>
  </si>
  <si>
    <t>Billed</t>
  </si>
  <si>
    <t>Unit</t>
  </si>
  <si>
    <t>Oct</t>
  </si>
  <si>
    <t>Nov</t>
  </si>
  <si>
    <t>Dec</t>
  </si>
  <si>
    <t>Feb</t>
  </si>
  <si>
    <t>Mar</t>
  </si>
  <si>
    <t>Apr</t>
  </si>
  <si>
    <t>Jun</t>
  </si>
  <si>
    <t>Jul</t>
  </si>
  <si>
    <t>Aug</t>
  </si>
  <si>
    <t>Prior 12 Months</t>
  </si>
  <si>
    <t>Jan</t>
  </si>
  <si>
    <t>Baled</t>
  </si>
  <si>
    <t>Steel Cans</t>
  </si>
  <si>
    <t>Mixed</t>
  </si>
  <si>
    <t>MP</t>
  </si>
  <si>
    <t>OCC</t>
  </si>
  <si>
    <t>Aluminum</t>
  </si>
  <si>
    <t>Tin</t>
  </si>
  <si>
    <t>Natural</t>
  </si>
  <si>
    <t>Colored</t>
  </si>
  <si>
    <t>Plastics</t>
  </si>
  <si>
    <t>SS Mix:</t>
  </si>
  <si>
    <t>Price/ton:</t>
  </si>
  <si>
    <t>Sep</t>
  </si>
  <si>
    <t>SS Tons</t>
  </si>
  <si>
    <t>Revenue:</t>
  </si>
  <si>
    <t>Brem-Air commodity adjustment</t>
  </si>
  <si>
    <t>Based on previous UTC Staff analyses</t>
  </si>
  <si>
    <t>Commodity</t>
  </si>
  <si>
    <t>Credit</t>
  </si>
  <si>
    <t>Sep - Oct projected value without adjustment factor</t>
  </si>
  <si>
    <t>Nov - Aug projected value without adjustment factor</t>
  </si>
  <si>
    <t>Actual Commodity Revenue (gross revenue from affiliated processor)</t>
  </si>
  <si>
    <t>Owe Customer (company)</t>
  </si>
  <si>
    <t>Total Customers</t>
  </si>
  <si>
    <t>Commodity Adjustment</t>
  </si>
  <si>
    <t>Projected Value</t>
  </si>
  <si>
    <t>Residential Commodity Adjustment</t>
  </si>
  <si>
    <t>Multi-family Commodity Adjustment</t>
  </si>
  <si>
    <t>Brem-Air Disposal</t>
  </si>
  <si>
    <t>M/F</t>
  </si>
  <si>
    <t>Counts</t>
  </si>
  <si>
    <t>Units</t>
  </si>
  <si>
    <t>Average Count</t>
  </si>
  <si>
    <t>Projected Revenue Sep 2013-Aug 2014</t>
  </si>
  <si>
    <t>Month</t>
  </si>
  <si>
    <t>Passback Price/ton schedule</t>
  </si>
  <si>
    <t>ONP 6</t>
  </si>
  <si>
    <t>Mixed Paper</t>
  </si>
  <si>
    <t>Alum.</t>
  </si>
  <si>
    <t>Plastics 3-7</t>
  </si>
  <si>
    <t>Residue</t>
  </si>
  <si>
    <t>Summary of Single Stream Commodity Mix and Prices</t>
  </si>
  <si>
    <t>Residential Tonnage</t>
  </si>
  <si>
    <t>MF Tonnage</t>
  </si>
  <si>
    <t>WUTC</t>
  </si>
  <si>
    <t>Non -reg</t>
  </si>
  <si>
    <t>ONP</t>
  </si>
  <si>
    <t>%</t>
  </si>
  <si>
    <t>Reg.</t>
  </si>
  <si>
    <t>2014-2015</t>
  </si>
  <si>
    <t>Projected Revenue Sep 2014-Aug 2015</t>
  </si>
  <si>
    <t>2015-2016</t>
  </si>
  <si>
    <t>Newspaper</t>
  </si>
  <si>
    <t>Delivered</t>
  </si>
  <si>
    <t>Projected Revenue Sep 2015-Aug 2016</t>
  </si>
  <si>
    <t>Single</t>
  </si>
  <si>
    <t>Family</t>
  </si>
  <si>
    <t>Single Family</t>
  </si>
  <si>
    <t>Multi-Family</t>
  </si>
  <si>
    <t>Tonnage Delivered to JMK Recycling</t>
  </si>
  <si>
    <t>2016-2017</t>
  </si>
  <si>
    <t>Projected Revenue Sep 2016-Aug 2017</t>
  </si>
  <si>
    <t>2017-2018</t>
  </si>
  <si>
    <t>Projected Revenue Sep 2017-Aug 2018</t>
  </si>
  <si>
    <t>Weighted Average</t>
  </si>
  <si>
    <t>2018-2019</t>
  </si>
  <si>
    <t>Row Labels</t>
  </si>
  <si>
    <t>Rate</t>
  </si>
  <si>
    <t># of</t>
  </si>
  <si>
    <t>MF units</t>
  </si>
  <si>
    <t>Amounts</t>
  </si>
  <si>
    <t>45R</t>
  </si>
  <si>
    <t>BW1</t>
  </si>
  <si>
    <t>BW4</t>
  </si>
  <si>
    <t>BWM</t>
  </si>
  <si>
    <t>Projected Revenue Sep 2018-Aug 2019 (annualization of most recent six months)</t>
  </si>
  <si>
    <t>Billed Revenue</t>
  </si>
  <si>
    <t>Commodity Prices at JMK</t>
  </si>
  <si>
    <t>Calculation of the Number of MF Units</t>
  </si>
  <si>
    <t>Projected Revenue Sep 2018-Aug 2019</t>
  </si>
  <si>
    <t>Projected Revenue Sep 2019-Aug 2020 (annualization of most recent six months)</t>
  </si>
  <si>
    <t>Total Company</t>
  </si>
  <si>
    <t>Sold</t>
  </si>
  <si>
    <t>Sep; 2019</t>
  </si>
  <si>
    <t>Jan; 2020</t>
  </si>
  <si>
    <t>Bremerton</t>
  </si>
  <si>
    <t>Port</t>
  </si>
  <si>
    <t>Orchard</t>
  </si>
  <si>
    <t>Mix Paper</t>
  </si>
  <si>
    <t>HDPE Natl</t>
  </si>
  <si>
    <t>HDPE Col</t>
  </si>
  <si>
    <t>#3 - 7</t>
  </si>
  <si>
    <t>Tin Cans</t>
  </si>
  <si>
    <t>E</t>
  </si>
  <si>
    <t>G</t>
  </si>
  <si>
    <t>I</t>
  </si>
  <si>
    <t>K</t>
  </si>
  <si>
    <t>M</t>
  </si>
  <si>
    <t>O</t>
  </si>
  <si>
    <t>Q</t>
  </si>
  <si>
    <t>S</t>
  </si>
  <si>
    <t>U</t>
  </si>
  <si>
    <t>W</t>
  </si>
  <si>
    <t>Y</t>
  </si>
  <si>
    <t>2020-2021</t>
  </si>
  <si>
    <t>Residential Commodity Adjustment credit (charge)</t>
  </si>
  <si>
    <t>Multi-Family Commodity Adjustment credit (charge)</t>
  </si>
  <si>
    <t>Composition - CRC</t>
  </si>
  <si>
    <t>BW2</t>
  </si>
  <si>
    <t xml:space="preserve">Projected Revenue Sep 2021-Aug 2022 </t>
  </si>
  <si>
    <t>2021-2022</t>
  </si>
  <si>
    <t>Projected Revenue Sep 2020-Aug 2021</t>
  </si>
  <si>
    <t xml:space="preserve">Projected Revenue Sep 2020-Aug 2021 </t>
  </si>
  <si>
    <t>Estimated cost of customer notice letters</t>
  </si>
  <si>
    <t>Residential Commodity Adjustment - as including cost of customer notices</t>
  </si>
  <si>
    <t>Projected Revenue Sep 2019-Aug 2020</t>
  </si>
  <si>
    <t>2022-2023</t>
  </si>
  <si>
    <t>Projected Revenue Sep 2021-Aug 2022</t>
  </si>
  <si>
    <t xml:space="preserve">September 2021 - August 2022 </t>
  </si>
  <si>
    <t>Tonnage Delivered to JMK Recycling - per Enspire</t>
  </si>
  <si>
    <t>WUTC Recycling Counts - per Enspire</t>
  </si>
  <si>
    <t xml:space="preserve">Projected Revenue Sep 2022-Aug 2023 </t>
  </si>
  <si>
    <t>2023-2024</t>
  </si>
  <si>
    <t>*Due to the closure of CRC from Nov 2022-Aug 2023, we are utilizing the composition from the previously approved commodity rebate filing from last year. This figures impact only the composition of recycling material.</t>
  </si>
  <si>
    <t>Projected Revenue Sep 2022-Aug 2023</t>
  </si>
  <si>
    <t>Projected Revenue Sep 2023-Aug 2024</t>
  </si>
  <si>
    <t>Sep; 2023</t>
  </si>
  <si>
    <t>Jan; 2024</t>
  </si>
  <si>
    <t>Sep., 2023</t>
  </si>
  <si>
    <t>Jan., 2024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</si>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</sst>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.0000_);_(&quot;$&quot;* \(#,##0.0000\);_(&quot;$&quot;* &quot;-&quot;??_);_(@_)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i/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u val="doubleAccounting"/>
      <sz val="10"/>
      <name val="Arial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sz val="9"/>
      <name val="Arial"/>
      <family val="2"/>
    </font>
    <font>
      <b/>
      <sz val="11"/>
      <name val="Comic Sans MS"/>
      <family val="4"/>
    </font>
    <font>
      <sz val="12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 val="double"/>
      <sz val="12"/>
      <name val="Arial"/>
      <family val="2"/>
    </font>
    <font>
      <u/>
      <sz val="10"/>
      <name val="Arial"/>
      <family val="2"/>
    </font>
    <font>
      <b/>
      <sz val="9"/>
      <color theme="1"/>
      <name val="Arial"/>
      <family val="2"/>
    </font>
    <font>
      <b/>
      <u val="double"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u val="doubleAccounting"/>
      <sz val="11"/>
      <name val="Comic Sans MS"/>
      <family val="4"/>
    </font>
    <font>
      <b/>
      <u val="doubleAccounting"/>
      <sz val="10"/>
      <color theme="1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u val="singleAccounting"/>
      <sz val="9"/>
      <color rgb="FFFF0000"/>
      <name val="Arial"/>
      <family val="2"/>
    </font>
    <font>
      <sz val="12"/>
      <color rgb="FFFF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0"/>
      <color rgb="FF006100"/>
      <name val="Times New Roman"/>
      <family val="2"/>
    </font>
    <font>
      <sz val="10"/>
      <color rgb="FF9C0006"/>
      <name val="Times New Roman"/>
      <family val="2"/>
    </font>
    <font>
      <sz val="10"/>
      <color rgb="FF9C6500"/>
      <name val="Times New Roman"/>
      <family val="2"/>
    </font>
    <font>
      <sz val="10"/>
      <color rgb="FF3F3F76"/>
      <name val="Times New Roman"/>
      <family val="2"/>
    </font>
    <font>
      <b/>
      <sz val="10"/>
      <color rgb="FF3F3F3F"/>
      <name val="Times New Roman"/>
      <family val="2"/>
    </font>
    <font>
      <b/>
      <sz val="10"/>
      <color rgb="FFFA7D00"/>
      <name val="Times New Roman"/>
      <family val="2"/>
    </font>
    <font>
      <sz val="10"/>
      <color rgb="FFFA7D00"/>
      <name val="Times New Roman"/>
      <family val="2"/>
    </font>
    <font>
      <b/>
      <sz val="10"/>
      <color theme="0"/>
      <name val="Times New Roman"/>
      <family val="2"/>
    </font>
    <font>
      <sz val="10"/>
      <color rgb="FFFF0000"/>
      <name val="Times New Roman"/>
      <family val="2"/>
    </font>
    <font>
      <i/>
      <sz val="10"/>
      <color rgb="FF7F7F7F"/>
      <name val="Times New Roman"/>
      <family val="2"/>
    </font>
    <font>
      <b/>
      <sz val="10"/>
      <color theme="1"/>
      <name val="Times New Roman"/>
      <family val="2"/>
    </font>
    <font>
      <sz val="10"/>
      <color theme="0"/>
      <name val="Times New Roman"/>
      <family val="2"/>
    </font>
    <font>
      <sz val="11"/>
      <color rgb="FF0000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4">
    <xf numFmtId="0" fontId="0" fillId="0" borderId="0"/>
    <xf numFmtId="0" fontId="2" fillId="0" borderId="1" applyNumberFormat="0" applyFill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9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7" fillId="0" borderId="16" applyNumberFormat="0" applyFill="0" applyAlignment="0" applyProtection="0"/>
    <xf numFmtId="0" fontId="48" fillId="0" borderId="17" applyNumberFormat="0" applyFill="0" applyAlignment="0" applyProtection="0"/>
    <xf numFmtId="0" fontId="49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50" fillId="12" borderId="0" applyNumberFormat="0" applyBorder="0" applyAlignment="0" applyProtection="0"/>
    <xf numFmtId="0" fontId="51" fillId="13" borderId="0" applyNumberFormat="0" applyBorder="0" applyAlignment="0" applyProtection="0"/>
    <xf numFmtId="0" fontId="53" fillId="15" borderId="19" applyNumberFormat="0" applyAlignment="0" applyProtection="0"/>
    <xf numFmtId="0" fontId="54" fillId="16" borderId="20" applyNumberFormat="0" applyAlignment="0" applyProtection="0"/>
    <xf numFmtId="0" fontId="55" fillId="16" borderId="19" applyNumberFormat="0" applyAlignment="0" applyProtection="0"/>
    <xf numFmtId="0" fontId="56" fillId="0" borderId="21" applyNumberFormat="0" applyFill="0" applyAlignment="0" applyProtection="0"/>
    <xf numFmtId="0" fontId="57" fillId="17" borderId="22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6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61" fillId="0" borderId="0" applyNumberFormat="0" applyFill="0" applyBorder="0" applyAlignment="0" applyProtection="0"/>
    <xf numFmtId="0" fontId="62" fillId="14" borderId="0" applyNumberFormat="0" applyBorder="0" applyAlignment="0" applyProtection="0"/>
    <xf numFmtId="0" fontId="1" fillId="18" borderId="23" applyNumberFormat="0" applyFont="0" applyAlignment="0" applyProtection="0"/>
    <xf numFmtId="0" fontId="63" fillId="0" borderId="24" applyNumberFormat="0" applyFill="0" applyAlignment="0" applyProtection="0"/>
    <xf numFmtId="0" fontId="60" fillId="22" borderId="0" applyNumberFormat="0" applyBorder="0" applyAlignment="0" applyProtection="0"/>
    <xf numFmtId="0" fontId="60" fillId="26" borderId="0" applyNumberFormat="0" applyBorder="0" applyAlignment="0" applyProtection="0"/>
    <xf numFmtId="0" fontId="60" fillId="30" borderId="0" applyNumberFormat="0" applyBorder="0" applyAlignment="0" applyProtection="0"/>
    <xf numFmtId="0" fontId="60" fillId="34" borderId="0" applyNumberFormat="0" applyBorder="0" applyAlignment="0" applyProtection="0"/>
    <xf numFmtId="0" fontId="60" fillId="38" borderId="0" applyNumberFormat="0" applyBorder="0" applyAlignment="0" applyProtection="0"/>
    <xf numFmtId="0" fontId="60" fillId="4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4" fillId="0" borderId="0" applyFont="0" applyFill="0" applyBorder="0" applyAlignment="0" applyProtection="0"/>
    <xf numFmtId="0" fontId="41" fillId="43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65" fillId="0" borderId="0" applyNumberFormat="0" applyFont="0" applyFill="0" applyBorder="0">
      <alignment horizontal="left" indent="4"/>
      <protection locked="0"/>
    </xf>
    <xf numFmtId="0" fontId="66" fillId="0" borderId="0" applyNumberFormat="0" applyFont="0" applyFill="0" applyBorder="0" applyAlignment="0" applyProtection="0">
      <alignment horizontal="left"/>
    </xf>
    <xf numFmtId="15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67" fillId="0" borderId="12">
      <alignment horizontal="center"/>
    </xf>
    <xf numFmtId="3" fontId="66" fillId="0" borderId="0" applyFont="0" applyFill="0" applyBorder="0" applyAlignment="0" applyProtection="0"/>
    <xf numFmtId="0" fontId="66" fillId="44" borderId="0" applyNumberFormat="0" applyFont="0" applyBorder="0" applyAlignment="0" applyProtection="0"/>
    <xf numFmtId="164" fontId="24" fillId="45" borderId="0" applyFont="0" applyFill="0" applyBorder="0" applyAlignment="0" applyProtection="0">
      <alignment wrapText="1"/>
    </xf>
    <xf numFmtId="0" fontId="68" fillId="0" borderId="0"/>
    <xf numFmtId="43" fontId="68" fillId="0" borderId="0" applyFont="0" applyFill="0" applyBorder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0" applyNumberFormat="0" applyFill="0" applyBorder="0" applyAlignment="0" applyProtection="0"/>
    <xf numFmtId="0" fontId="72" fillId="12" borderId="0" applyNumberFormat="0" applyBorder="0" applyAlignment="0" applyProtection="0"/>
    <xf numFmtId="0" fontId="73" fillId="13" borderId="0" applyNumberFormat="0" applyBorder="0" applyAlignment="0" applyProtection="0"/>
    <xf numFmtId="0" fontId="74" fillId="14" borderId="0" applyNumberFormat="0" applyBorder="0" applyAlignment="0" applyProtection="0"/>
    <xf numFmtId="0" fontId="75" fillId="15" borderId="19" applyNumberFormat="0" applyAlignment="0" applyProtection="0"/>
    <xf numFmtId="0" fontId="76" fillId="16" borderId="20" applyNumberFormat="0" applyAlignment="0" applyProtection="0"/>
    <xf numFmtId="0" fontId="77" fillId="16" borderId="19" applyNumberFormat="0" applyAlignment="0" applyProtection="0"/>
    <xf numFmtId="0" fontId="78" fillId="0" borderId="21" applyNumberFormat="0" applyFill="0" applyAlignment="0" applyProtection="0"/>
    <xf numFmtId="0" fontId="79" fillId="17" borderId="22" applyNumberFormat="0" applyAlignment="0" applyProtection="0"/>
    <xf numFmtId="0" fontId="80" fillId="0" borderId="0" applyNumberFormat="0" applyFill="0" applyBorder="0" applyAlignment="0" applyProtection="0"/>
    <xf numFmtId="0" fontId="68" fillId="18" borderId="23" applyNumberFormat="0" applyFont="0" applyAlignment="0" applyProtection="0"/>
    <xf numFmtId="0" fontId="81" fillId="0" borderId="0" applyNumberFormat="0" applyFill="0" applyBorder="0" applyAlignment="0" applyProtection="0"/>
    <xf numFmtId="0" fontId="82" fillId="0" borderId="24" applyNumberFormat="0" applyFill="0" applyAlignment="0" applyProtection="0"/>
    <xf numFmtId="0" fontId="8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83" fillId="22" borderId="0" applyNumberFormat="0" applyBorder="0" applyAlignment="0" applyProtection="0"/>
    <xf numFmtId="0" fontId="8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83" fillId="26" borderId="0" applyNumberFormat="0" applyBorder="0" applyAlignment="0" applyProtection="0"/>
    <xf numFmtId="0" fontId="8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83" fillId="30" borderId="0" applyNumberFormat="0" applyBorder="0" applyAlignment="0" applyProtection="0"/>
    <xf numFmtId="0" fontId="83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83" fillId="38" borderId="0" applyNumberFormat="0" applyBorder="0" applyAlignment="0" applyProtection="0"/>
    <xf numFmtId="0" fontId="83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83" fillId="42" borderId="0" applyNumberFormat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52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52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84" fillId="0" borderId="0"/>
    <xf numFmtId="9" fontId="2" fillId="0" borderId="0" applyFont="0" applyFill="0" applyBorder="0" applyAlignment="0" applyProtection="0"/>
  </cellStyleXfs>
  <cellXfs count="649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8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/>
    <xf numFmtId="0" fontId="7" fillId="0" borderId="0" xfId="0" applyFont="1" applyAlignment="1" applyProtection="1">
      <alignment horizontal="center"/>
    </xf>
    <xf numFmtId="0" fontId="12" fillId="0" borderId="0" xfId="0" applyFont="1" applyProtection="1"/>
    <xf numFmtId="0" fontId="2" fillId="0" borderId="0" xfId="0" applyFont="1" applyProtection="1"/>
    <xf numFmtId="164" fontId="2" fillId="0" borderId="0" xfId="2" applyNumberFormat="1" applyFont="1"/>
    <xf numFmtId="43" fontId="0" fillId="0" borderId="0" xfId="0" applyNumberFormat="1"/>
    <xf numFmtId="44" fontId="0" fillId="0" borderId="0" xfId="3" applyFont="1"/>
    <xf numFmtId="165" fontId="2" fillId="0" borderId="0" xfId="3" applyNumberFormat="1" applyFont="1" applyBorder="1" applyAlignment="1" applyProtection="1">
      <alignment horizontal="center"/>
    </xf>
    <xf numFmtId="165" fontId="0" fillId="0" borderId="0" xfId="3" applyNumberFormat="1" applyFont="1"/>
    <xf numFmtId="43" fontId="0" fillId="0" borderId="0" xfId="2" applyFont="1"/>
    <xf numFmtId="44" fontId="2" fillId="0" borderId="0" xfId="3" applyFont="1"/>
    <xf numFmtId="164" fontId="13" fillId="0" borderId="0" xfId="2" applyNumberFormat="1" applyFont="1"/>
    <xf numFmtId="43" fontId="13" fillId="0" borderId="0" xfId="0" applyNumberFormat="1" applyFont="1"/>
    <xf numFmtId="44" fontId="13" fillId="0" borderId="0" xfId="3" applyFont="1"/>
    <xf numFmtId="165" fontId="13" fillId="0" borderId="0" xfId="3" applyNumberFormat="1" applyFont="1" applyBorder="1" applyAlignment="1" applyProtection="1">
      <alignment horizontal="center"/>
    </xf>
    <xf numFmtId="165" fontId="13" fillId="0" borderId="0" xfId="3" applyNumberFormat="1" applyFont="1"/>
    <xf numFmtId="43" fontId="13" fillId="0" borderId="0" xfId="2" applyFont="1"/>
    <xf numFmtId="0" fontId="13" fillId="0" borderId="0" xfId="0" applyFont="1"/>
    <xf numFmtId="164" fontId="14" fillId="0" borderId="0" xfId="0" applyNumberFormat="1" applyFont="1"/>
    <xf numFmtId="43" fontId="14" fillId="0" borderId="0" xfId="0" applyNumberFormat="1" applyFont="1"/>
    <xf numFmtId="44" fontId="14" fillId="0" borderId="0" xfId="0" applyNumberFormat="1" applyFont="1" applyProtection="1"/>
    <xf numFmtId="165" fontId="14" fillId="0" borderId="0" xfId="3" applyNumberFormat="1" applyFont="1" applyProtection="1"/>
    <xf numFmtId="44" fontId="14" fillId="0" borderId="0" xfId="3" applyFont="1"/>
    <xf numFmtId="0" fontId="15" fillId="0" borderId="0" xfId="0" applyFont="1"/>
    <xf numFmtId="43" fontId="14" fillId="0" borderId="0" xfId="2" applyFont="1"/>
    <xf numFmtId="0" fontId="14" fillId="0" borderId="0" xfId="0" applyFont="1"/>
    <xf numFmtId="44" fontId="0" fillId="0" borderId="0" xfId="0" applyNumberFormat="1"/>
    <xf numFmtId="165" fontId="14" fillId="0" borderId="0" xfId="0" applyNumberFormat="1" applyFont="1"/>
    <xf numFmtId="0" fontId="2" fillId="0" borderId="0" xfId="4"/>
    <xf numFmtId="0" fontId="6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10" fontId="0" fillId="0" borderId="0" xfId="0" applyNumberFormat="1"/>
    <xf numFmtId="0" fontId="24" fillId="0" borderId="0" xfId="0" applyFont="1"/>
    <xf numFmtId="0" fontId="24" fillId="0" borderId="0" xfId="0" applyFont="1" applyAlignment="1">
      <alignment horizontal="center"/>
    </xf>
    <xf numFmtId="164" fontId="24" fillId="0" borderId="0" xfId="2" applyNumberFormat="1" applyFont="1"/>
    <xf numFmtId="164" fontId="25" fillId="0" borderId="0" xfId="2" applyNumberFormat="1" applyFont="1"/>
    <xf numFmtId="164" fontId="26" fillId="0" borderId="0" xfId="0" applyNumberFormat="1" applyFont="1"/>
    <xf numFmtId="0" fontId="26" fillId="0" borderId="0" xfId="0" applyFont="1"/>
    <xf numFmtId="0" fontId="27" fillId="0" borderId="0" xfId="0" applyFont="1" applyAlignment="1">
      <alignment horizontal="center"/>
    </xf>
    <xf numFmtId="0" fontId="6" fillId="2" borderId="14" xfId="0" applyFont="1" applyFill="1" applyBorder="1"/>
    <xf numFmtId="0" fontId="0" fillId="2" borderId="14" xfId="0" applyFill="1" applyBorder="1"/>
    <xf numFmtId="0" fontId="6" fillId="2" borderId="14" xfId="0" applyFont="1" applyFill="1" applyBorder="1" applyAlignment="1">
      <alignment horizontal="center"/>
    </xf>
    <xf numFmtId="0" fontId="0" fillId="0" borderId="14" xfId="0" applyBorder="1"/>
    <xf numFmtId="0" fontId="6" fillId="2" borderId="14" xfId="0" applyFont="1" applyFill="1" applyBorder="1" applyAlignment="1" applyProtection="1">
      <alignment horizontal="center"/>
    </xf>
    <xf numFmtId="0" fontId="0" fillId="0" borderId="14" xfId="0" applyFill="1" applyBorder="1"/>
    <xf numFmtId="0" fontId="4" fillId="0" borderId="14" xfId="0" applyFont="1" applyFill="1" applyBorder="1"/>
    <xf numFmtId="10" fontId="0" fillId="0" borderId="0" xfId="5" applyNumberFormat="1" applyFont="1"/>
    <xf numFmtId="0" fontId="7" fillId="0" borderId="0" xfId="4" applyFont="1" applyFill="1" applyAlignment="1">
      <alignment horizontal="center"/>
    </xf>
    <xf numFmtId="0" fontId="12" fillId="0" borderId="0" xfId="0" applyFont="1" applyAlignment="1">
      <alignment horizontal="center"/>
    </xf>
    <xf numFmtId="10" fontId="2" fillId="0" borderId="0" xfId="5" applyNumberFormat="1" applyFont="1" applyAlignment="1">
      <alignment horizontal="right"/>
    </xf>
    <xf numFmtId="10" fontId="2" fillId="0" borderId="0" xfId="4" applyNumberFormat="1" applyFont="1" applyAlignment="1">
      <alignment horizontal="right"/>
    </xf>
    <xf numFmtId="10" fontId="2" fillId="0" borderId="0" xfId="5" applyNumberFormat="1" applyFont="1"/>
    <xf numFmtId="44" fontId="6" fillId="0" borderId="14" xfId="0" applyNumberFormat="1" applyFont="1" applyBorder="1"/>
    <xf numFmtId="0" fontId="12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44" fontId="2" fillId="0" borderId="0" xfId="0" applyNumberFormat="1" applyFont="1"/>
    <xf numFmtId="2" fontId="0" fillId="0" borderId="0" xfId="0" applyNumberFormat="1"/>
    <xf numFmtId="9" fontId="0" fillId="0" borderId="0" xfId="5" applyFont="1"/>
    <xf numFmtId="10" fontId="2" fillId="0" borderId="0" xfId="0" applyNumberFormat="1" applyFont="1"/>
    <xf numFmtId="2" fontId="31" fillId="0" borderId="0" xfId="0" applyNumberFormat="1" applyFont="1"/>
    <xf numFmtId="0" fontId="16" fillId="3" borderId="4" xfId="0" applyFont="1" applyFill="1" applyBorder="1"/>
    <xf numFmtId="0" fontId="16" fillId="3" borderId="5" xfId="0" applyFont="1" applyFill="1" applyBorder="1"/>
    <xf numFmtId="0" fontId="0" fillId="3" borderId="5" xfId="0" applyFill="1" applyBorder="1"/>
    <xf numFmtId="0" fontId="6" fillId="3" borderId="7" xfId="0" applyFont="1" applyFill="1" applyBorder="1"/>
    <xf numFmtId="0" fontId="6" fillId="3" borderId="0" xfId="0" applyFont="1" applyFill="1" applyBorder="1"/>
    <xf numFmtId="0" fontId="17" fillId="3" borderId="0" xfId="0" applyFont="1" applyFill="1" applyBorder="1"/>
    <xf numFmtId="0" fontId="0" fillId="3" borderId="0" xfId="0" applyFill="1" applyBorder="1"/>
    <xf numFmtId="15" fontId="6" fillId="3" borderId="7" xfId="0" applyNumberFormat="1" applyFont="1" applyFill="1" applyBorder="1"/>
    <xf numFmtId="15" fontId="6" fillId="3" borderId="0" xfId="0" applyNumberFormat="1" applyFont="1" applyFill="1" applyBorder="1"/>
    <xf numFmtId="0" fontId="0" fillId="3" borderId="7" xfId="0" applyFill="1" applyBorder="1"/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20" fillId="3" borderId="9" xfId="0" applyFont="1" applyFill="1" applyBorder="1"/>
    <xf numFmtId="0" fontId="20" fillId="3" borderId="0" xfId="0" applyFont="1" applyFill="1" applyBorder="1"/>
    <xf numFmtId="0" fontId="0" fillId="3" borderId="0" xfId="0" applyFill="1" applyBorder="1" applyAlignment="1">
      <alignment horizontal="center"/>
    </xf>
    <xf numFmtId="0" fontId="2" fillId="3" borderId="7" xfId="0" applyFont="1" applyFill="1" applyBorder="1"/>
    <xf numFmtId="41" fontId="0" fillId="3" borderId="0" xfId="0" applyNumberFormat="1" applyFill="1" applyBorder="1"/>
    <xf numFmtId="44" fontId="21" fillId="3" borderId="0" xfId="3" applyFont="1" applyFill="1" applyBorder="1"/>
    <xf numFmtId="0" fontId="22" fillId="3" borderId="0" xfId="0" applyFont="1" applyFill="1" applyBorder="1"/>
    <xf numFmtId="41" fontId="13" fillId="3" borderId="0" xfId="0" applyNumberFormat="1" applyFont="1" applyFill="1" applyBorder="1"/>
    <xf numFmtId="41" fontId="6" fillId="3" borderId="0" xfId="0" applyNumberFormat="1" applyFont="1" applyFill="1" applyBorder="1"/>
    <xf numFmtId="164" fontId="0" fillId="3" borderId="0" xfId="0" applyNumberFormat="1" applyFill="1" applyBorder="1"/>
    <xf numFmtId="0" fontId="2" fillId="3" borderId="7" xfId="0" applyFont="1" applyFill="1" applyBorder="1" applyAlignment="1">
      <alignment horizontal="right"/>
    </xf>
    <xf numFmtId="44" fontId="2" fillId="3" borderId="0" xfId="3" applyFont="1" applyFill="1" applyBorder="1"/>
    <xf numFmtId="44" fontId="13" fillId="3" borderId="0" xfId="3" applyNumberFormat="1" applyFont="1" applyFill="1" applyBorder="1"/>
    <xf numFmtId="44" fontId="23" fillId="3" borderId="3" xfId="3" applyNumberFormat="1" applyFont="1" applyFill="1" applyBorder="1"/>
    <xf numFmtId="44" fontId="23" fillId="3" borderId="0" xfId="3" applyNumberFormat="1" applyFont="1" applyFill="1" applyBorder="1"/>
    <xf numFmtId="0" fontId="6" fillId="3" borderId="2" xfId="0" applyFont="1" applyFill="1" applyBorder="1" applyAlignment="1">
      <alignment horizontal="center"/>
    </xf>
    <xf numFmtId="44" fontId="2" fillId="3" borderId="0" xfId="3" applyNumberFormat="1" applyFont="1" applyFill="1" applyBorder="1"/>
    <xf numFmtId="165" fontId="2" fillId="3" borderId="0" xfId="3" applyNumberFormat="1" applyFont="1" applyFill="1" applyBorder="1"/>
    <xf numFmtId="43" fontId="13" fillId="3" borderId="0" xfId="0" applyNumberFormat="1" applyFont="1" applyFill="1" applyBorder="1"/>
    <xf numFmtId="44" fontId="23" fillId="3" borderId="3" xfId="3" applyFont="1" applyFill="1" applyBorder="1"/>
    <xf numFmtId="44" fontId="23" fillId="3" borderId="0" xfId="3" applyFont="1" applyFill="1" applyBorder="1"/>
    <xf numFmtId="164" fontId="24" fillId="0" borderId="0" xfId="10" applyNumberFormat="1" applyFont="1"/>
    <xf numFmtId="0" fontId="3" fillId="0" borderId="0" xfId="0" applyFont="1" applyAlignment="1">
      <alignment horizontal="center"/>
    </xf>
    <xf numFmtId="0" fontId="16" fillId="4" borderId="4" xfId="0" applyFont="1" applyFill="1" applyBorder="1"/>
    <xf numFmtId="0" fontId="16" fillId="4" borderId="5" xfId="0" applyFont="1" applyFill="1" applyBorder="1"/>
    <xf numFmtId="0" fontId="0" fillId="4" borderId="5" xfId="0" applyFill="1" applyBorder="1"/>
    <xf numFmtId="0" fontId="6" fillId="4" borderId="7" xfId="0" applyFont="1" applyFill="1" applyBorder="1"/>
    <xf numFmtId="0" fontId="6" fillId="4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15" fontId="6" fillId="4" borderId="7" xfId="0" applyNumberFormat="1" applyFont="1" applyFill="1" applyBorder="1"/>
    <xf numFmtId="15" fontId="6" fillId="4" borderId="0" xfId="0" applyNumberFormat="1" applyFont="1" applyFill="1" applyBorder="1"/>
    <xf numFmtId="0" fontId="0" fillId="4" borderId="7" xfId="0" applyFill="1" applyBorder="1"/>
    <xf numFmtId="0" fontId="6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20" fillId="4" borderId="9" xfId="0" applyFont="1" applyFill="1" applyBorder="1"/>
    <xf numFmtId="0" fontId="20" fillId="4" borderId="0" xfId="0" applyFont="1" applyFill="1" applyBorder="1"/>
    <xf numFmtId="0" fontId="0" fillId="4" borderId="0" xfId="0" applyFill="1" applyBorder="1" applyAlignment="1">
      <alignment horizontal="center"/>
    </xf>
    <xf numFmtId="0" fontId="2" fillId="4" borderId="7" xfId="0" applyFont="1" applyFill="1" applyBorder="1"/>
    <xf numFmtId="41" fontId="0" fillId="4" borderId="0" xfId="0" applyNumberFormat="1" applyFill="1" applyBorder="1"/>
    <xf numFmtId="44" fontId="21" fillId="4" borderId="0" xfId="3" applyFont="1" applyFill="1" applyBorder="1"/>
    <xf numFmtId="0" fontId="22" fillId="4" borderId="0" xfId="0" applyFont="1" applyFill="1" applyBorder="1"/>
    <xf numFmtId="41" fontId="13" fillId="4" borderId="0" xfId="0" applyNumberFormat="1" applyFont="1" applyFill="1" applyBorder="1"/>
    <xf numFmtId="41" fontId="6" fillId="4" borderId="0" xfId="0" applyNumberFormat="1" applyFont="1" applyFill="1" applyBorder="1"/>
    <xf numFmtId="164" fontId="0" fillId="4" borderId="0" xfId="0" applyNumberFormat="1" applyFill="1" applyBorder="1"/>
    <xf numFmtId="0" fontId="2" fillId="4" borderId="7" xfId="0" applyFont="1" applyFill="1" applyBorder="1" applyAlignment="1">
      <alignment horizontal="right"/>
    </xf>
    <xf numFmtId="44" fontId="2" fillId="4" borderId="0" xfId="3" applyFont="1" applyFill="1" applyBorder="1"/>
    <xf numFmtId="44" fontId="13" fillId="4" borderId="0" xfId="3" applyNumberFormat="1" applyFont="1" applyFill="1" applyBorder="1"/>
    <xf numFmtId="44" fontId="23" fillId="4" borderId="3" xfId="3" applyNumberFormat="1" applyFont="1" applyFill="1" applyBorder="1"/>
    <xf numFmtId="44" fontId="23" fillId="4" borderId="0" xfId="3" applyNumberFormat="1" applyFont="1" applyFill="1" applyBorder="1"/>
    <xf numFmtId="0" fontId="6" fillId="4" borderId="2" xfId="0" applyFont="1" applyFill="1" applyBorder="1" applyAlignment="1">
      <alignment horizontal="center"/>
    </xf>
    <xf numFmtId="44" fontId="2" fillId="4" borderId="0" xfId="3" applyNumberFormat="1" applyFont="1" applyFill="1" applyBorder="1"/>
    <xf numFmtId="165" fontId="2" fillId="4" borderId="0" xfId="3" applyNumberFormat="1" applyFont="1" applyFill="1" applyBorder="1"/>
    <xf numFmtId="43" fontId="13" fillId="4" borderId="0" xfId="0" applyNumberFormat="1" applyFont="1" applyFill="1" applyBorder="1"/>
    <xf numFmtId="44" fontId="23" fillId="4" borderId="3" xfId="3" applyFont="1" applyFill="1" applyBorder="1"/>
    <xf numFmtId="44" fontId="23" fillId="4" borderId="0" xfId="3" applyFont="1" applyFill="1" applyBorder="1"/>
    <xf numFmtId="10" fontId="2" fillId="0" borderId="0" xfId="5" applyNumberFormat="1" applyFont="1" applyFill="1" applyAlignment="1"/>
    <xf numFmtId="166" fontId="24" fillId="0" borderId="0" xfId="5" applyNumberFormat="1" applyFont="1"/>
    <xf numFmtId="166" fontId="30" fillId="0" borderId="0" xfId="5" applyNumberFormat="1" applyFont="1"/>
    <xf numFmtId="167" fontId="21" fillId="4" borderId="0" xfId="3" applyNumberFormat="1" applyFont="1" applyFill="1" applyBorder="1"/>
    <xf numFmtId="44" fontId="21" fillId="4" borderId="0" xfId="3" applyNumberFormat="1" applyFont="1" applyFill="1" applyBorder="1"/>
    <xf numFmtId="166" fontId="25" fillId="0" borderId="0" xfId="5" applyNumberFormat="1" applyFont="1"/>
    <xf numFmtId="0" fontId="10" fillId="0" borderId="0" xfId="0" applyFont="1" applyAlignment="1"/>
    <xf numFmtId="0" fontId="0" fillId="0" borderId="0" xfId="0" applyAlignment="1"/>
    <xf numFmtId="0" fontId="11" fillId="0" borderId="0" xfId="0" applyFont="1" applyAlignment="1"/>
    <xf numFmtId="0" fontId="2" fillId="0" borderId="0" xfId="0" quotePrefix="1" applyFont="1" applyAlignment="1"/>
    <xf numFmtId="43" fontId="0" fillId="0" borderId="0" xfId="0" applyNumberFormat="1" applyAlignment="1"/>
    <xf numFmtId="2" fontId="0" fillId="0" borderId="0" xfId="0" applyNumberFormat="1" applyAlignment="1"/>
    <xf numFmtId="2" fontId="31" fillId="0" borderId="0" xfId="0" applyNumberFormat="1" applyFont="1" applyAlignment="1"/>
    <xf numFmtId="43" fontId="14" fillId="0" borderId="0" xfId="0" applyNumberFormat="1" applyFont="1" applyAlignment="1"/>
    <xf numFmtId="2" fontId="33" fillId="0" borderId="0" xfId="0" applyNumberFormat="1" applyFont="1" applyAlignment="1"/>
    <xf numFmtId="10" fontId="33" fillId="0" borderId="0" xfId="5" applyNumberFormat="1" applyFont="1" applyAlignment="1"/>
    <xf numFmtId="0" fontId="32" fillId="0" borderId="0" xfId="0" applyFont="1" applyBorder="1" applyAlignment="1"/>
    <xf numFmtId="10" fontId="0" fillId="0" borderId="0" xfId="0" applyNumberFormat="1" applyAlignment="1"/>
    <xf numFmtId="43" fontId="0" fillId="0" borderId="0" xfId="2" applyFont="1" applyAlignment="1"/>
    <xf numFmtId="43" fontId="13" fillId="0" borderId="0" xfId="2" applyFont="1" applyAlignment="1"/>
    <xf numFmtId="0" fontId="16" fillId="5" borderId="4" xfId="0" applyFont="1" applyFill="1" applyBorder="1"/>
    <xf numFmtId="0" fontId="16" fillId="5" borderId="5" xfId="0" applyFont="1" applyFill="1" applyBorder="1"/>
    <xf numFmtId="0" fontId="0" fillId="5" borderId="5" xfId="0" applyFill="1" applyBorder="1"/>
    <xf numFmtId="0" fontId="6" fillId="5" borderId="7" xfId="0" applyFont="1" applyFill="1" applyBorder="1"/>
    <xf numFmtId="0" fontId="6" fillId="5" borderId="0" xfId="0" applyFont="1" applyFill="1" applyBorder="1"/>
    <xf numFmtId="0" fontId="17" fillId="5" borderId="0" xfId="0" applyFont="1" applyFill="1" applyBorder="1"/>
    <xf numFmtId="0" fontId="0" fillId="5" borderId="0" xfId="0" applyFill="1" applyBorder="1"/>
    <xf numFmtId="15" fontId="6" fillId="5" borderId="7" xfId="0" applyNumberFormat="1" applyFont="1" applyFill="1" applyBorder="1"/>
    <xf numFmtId="15" fontId="6" fillId="5" borderId="0" xfId="0" applyNumberFormat="1" applyFont="1" applyFill="1" applyBorder="1"/>
    <xf numFmtId="0" fontId="0" fillId="5" borderId="7" xfId="0" applyFill="1" applyBorder="1"/>
    <xf numFmtId="0" fontId="6" fillId="5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0" fillId="5" borderId="9" xfId="0" applyFont="1" applyFill="1" applyBorder="1"/>
    <xf numFmtId="0" fontId="20" fillId="5" borderId="0" xfId="0" applyFont="1" applyFill="1" applyBorder="1"/>
    <xf numFmtId="0" fontId="0" fillId="5" borderId="0" xfId="0" applyFill="1" applyBorder="1" applyAlignment="1">
      <alignment horizontal="center"/>
    </xf>
    <xf numFmtId="0" fontId="2" fillId="5" borderId="7" xfId="0" applyFont="1" applyFill="1" applyBorder="1"/>
    <xf numFmtId="41" fontId="0" fillId="5" borderId="0" xfId="0" applyNumberFormat="1" applyFill="1" applyBorder="1"/>
    <xf numFmtId="44" fontId="21" fillId="5" borderId="0" xfId="3" applyNumberFormat="1" applyFont="1" applyFill="1" applyBorder="1"/>
    <xf numFmtId="167" fontId="21" fillId="5" borderId="0" xfId="3" applyNumberFormat="1" applyFont="1" applyFill="1" applyBorder="1"/>
    <xf numFmtId="0" fontId="22" fillId="5" borderId="0" xfId="0" applyFont="1" applyFill="1" applyBorder="1"/>
    <xf numFmtId="41" fontId="13" fillId="5" borderId="0" xfId="0" applyNumberFormat="1" applyFont="1" applyFill="1" applyBorder="1"/>
    <xf numFmtId="41" fontId="6" fillId="5" borderId="0" xfId="0" applyNumberFormat="1" applyFont="1" applyFill="1" applyBorder="1"/>
    <xf numFmtId="164" fontId="0" fillId="5" borderId="0" xfId="0" applyNumberFormat="1" applyFill="1" applyBorder="1"/>
    <xf numFmtId="0" fontId="2" fillId="5" borderId="7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center"/>
    </xf>
    <xf numFmtId="44" fontId="21" fillId="5" borderId="0" xfId="3" applyFont="1" applyFill="1" applyBorder="1"/>
    <xf numFmtId="165" fontId="2" fillId="5" borderId="0" xfId="3" applyNumberFormat="1" applyFont="1" applyFill="1" applyBorder="1"/>
    <xf numFmtId="0" fontId="0" fillId="5" borderId="12" xfId="0" applyFill="1" applyBorder="1"/>
    <xf numFmtId="2" fontId="0" fillId="0" borderId="0" xfId="0" applyNumberFormat="1" applyFill="1" applyAlignment="1"/>
    <xf numFmtId="2" fontId="31" fillId="0" borderId="0" xfId="0" applyNumberFormat="1" applyFont="1" applyFill="1" applyAlignment="1"/>
    <xf numFmtId="10" fontId="31" fillId="0" borderId="0" xfId="5" applyNumberFormat="1" applyFont="1" applyFill="1" applyAlignment="1"/>
    <xf numFmtId="0" fontId="16" fillId="6" borderId="4" xfId="0" applyFont="1" applyFill="1" applyBorder="1"/>
    <xf numFmtId="0" fontId="16" fillId="6" borderId="5" xfId="0" applyFont="1" applyFill="1" applyBorder="1"/>
    <xf numFmtId="0" fontId="0" fillId="6" borderId="5" xfId="0" applyFill="1" applyBorder="1"/>
    <xf numFmtId="0" fontId="6" fillId="6" borderId="7" xfId="0" applyFont="1" applyFill="1" applyBorder="1"/>
    <xf numFmtId="0" fontId="6" fillId="6" borderId="0" xfId="0" applyFont="1" applyFill="1" applyBorder="1"/>
    <xf numFmtId="0" fontId="17" fillId="6" borderId="0" xfId="0" applyFont="1" applyFill="1" applyBorder="1"/>
    <xf numFmtId="0" fontId="0" fillId="6" borderId="0" xfId="0" applyFill="1" applyBorder="1"/>
    <xf numFmtId="15" fontId="6" fillId="6" borderId="7" xfId="0" applyNumberFormat="1" applyFont="1" applyFill="1" applyBorder="1"/>
    <xf numFmtId="15" fontId="6" fillId="6" borderId="0" xfId="0" applyNumberFormat="1" applyFont="1" applyFill="1" applyBorder="1"/>
    <xf numFmtId="0" fontId="0" fillId="6" borderId="7" xfId="0" applyFill="1" applyBorder="1"/>
    <xf numFmtId="0" fontId="6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20" fillId="6" borderId="9" xfId="0" applyFont="1" applyFill="1" applyBorder="1"/>
    <xf numFmtId="0" fontId="20" fillId="6" borderId="0" xfId="0" applyFont="1" applyFill="1" applyBorder="1"/>
    <xf numFmtId="0" fontId="0" fillId="6" borderId="0" xfId="0" applyFill="1" applyBorder="1" applyAlignment="1">
      <alignment horizontal="center"/>
    </xf>
    <xf numFmtId="0" fontId="2" fillId="6" borderId="7" xfId="0" applyFont="1" applyFill="1" applyBorder="1"/>
    <xf numFmtId="41" fontId="0" fillId="6" borderId="0" xfId="0" applyNumberFormat="1" applyFill="1" applyBorder="1"/>
    <xf numFmtId="44" fontId="21" fillId="6" borderId="0" xfId="3" applyNumberFormat="1" applyFont="1" applyFill="1" applyBorder="1"/>
    <xf numFmtId="167" fontId="21" fillId="6" borderId="0" xfId="3" applyNumberFormat="1" applyFont="1" applyFill="1" applyBorder="1"/>
    <xf numFmtId="0" fontId="22" fillId="6" borderId="0" xfId="0" applyFont="1" applyFill="1" applyBorder="1"/>
    <xf numFmtId="41" fontId="13" fillId="6" borderId="0" xfId="0" applyNumberFormat="1" applyFont="1" applyFill="1" applyBorder="1"/>
    <xf numFmtId="41" fontId="6" fillId="6" borderId="0" xfId="0" applyNumberFormat="1" applyFont="1" applyFill="1" applyBorder="1"/>
    <xf numFmtId="164" fontId="0" fillId="6" borderId="0" xfId="0" applyNumberFormat="1" applyFill="1" applyBorder="1"/>
    <xf numFmtId="0" fontId="2" fillId="6" borderId="7" xfId="0" applyFont="1" applyFill="1" applyBorder="1" applyAlignment="1">
      <alignment horizontal="right"/>
    </xf>
    <xf numFmtId="0" fontId="6" fillId="6" borderId="2" xfId="0" applyFont="1" applyFill="1" applyBorder="1" applyAlignment="1">
      <alignment horizontal="center"/>
    </xf>
    <xf numFmtId="44" fontId="21" fillId="6" borderId="0" xfId="3" applyFont="1" applyFill="1" applyBorder="1"/>
    <xf numFmtId="165" fontId="2" fillId="6" borderId="0" xfId="3" applyNumberFormat="1" applyFont="1" applyFill="1" applyBorder="1"/>
    <xf numFmtId="0" fontId="0" fillId="6" borderId="12" xfId="0" applyFill="1" applyBorder="1"/>
    <xf numFmtId="10" fontId="0" fillId="0" borderId="0" xfId="5" applyNumberFormat="1" applyFont="1" applyAlignment="1"/>
    <xf numFmtId="165" fontId="0" fillId="0" borderId="0" xfId="0" applyNumberFormat="1"/>
    <xf numFmtId="44" fontId="22" fillId="0" borderId="0" xfId="3" applyFont="1" applyFill="1" applyBorder="1" applyProtection="1">
      <protection locked="0"/>
    </xf>
    <xf numFmtId="44" fontId="22" fillId="0" borderId="0" xfId="3" applyFont="1" applyBorder="1"/>
    <xf numFmtId="43" fontId="2" fillId="0" borderId="0" xfId="0" applyNumberFormat="1" applyFont="1" applyAlignment="1"/>
    <xf numFmtId="43" fontId="13" fillId="0" borderId="0" xfId="0" applyNumberFormat="1" applyFont="1" applyAlignment="1"/>
    <xf numFmtId="17" fontId="34" fillId="0" borderId="1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6" borderId="6" xfId="0" applyFill="1" applyBorder="1"/>
    <xf numFmtId="0" fontId="0" fillId="6" borderId="8" xfId="0" applyFill="1" applyBorder="1"/>
    <xf numFmtId="0" fontId="6" fillId="6" borderId="8" xfId="0" applyFont="1" applyFill="1" applyBorder="1"/>
    <xf numFmtId="44" fontId="2" fillId="6" borderId="8" xfId="3" applyFont="1" applyFill="1" applyBorder="1"/>
    <xf numFmtId="44" fontId="13" fillId="6" borderId="8" xfId="3" applyNumberFormat="1" applyFont="1" applyFill="1" applyBorder="1"/>
    <xf numFmtId="44" fontId="23" fillId="6" borderId="10" xfId="3" applyNumberFormat="1" applyFont="1" applyFill="1" applyBorder="1"/>
    <xf numFmtId="44" fontId="23" fillId="6" borderId="8" xfId="3" applyNumberFormat="1" applyFont="1" applyFill="1" applyBorder="1"/>
    <xf numFmtId="44" fontId="2" fillId="6" borderId="8" xfId="3" applyNumberFormat="1" applyFont="1" applyFill="1" applyBorder="1"/>
    <xf numFmtId="44" fontId="23" fillId="6" borderId="10" xfId="3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44" fontId="23" fillId="6" borderId="13" xfId="3" applyFont="1" applyFill="1" applyBorder="1"/>
    <xf numFmtId="0" fontId="0" fillId="5" borderId="6" xfId="0" applyFill="1" applyBorder="1"/>
    <xf numFmtId="0" fontId="0" fillId="5" borderId="8" xfId="0" applyFill="1" applyBorder="1"/>
    <xf numFmtId="0" fontId="6" fillId="5" borderId="8" xfId="0" applyFont="1" applyFill="1" applyBorder="1"/>
    <xf numFmtId="44" fontId="2" fillId="5" borderId="8" xfId="3" applyFont="1" applyFill="1" applyBorder="1"/>
    <xf numFmtId="44" fontId="13" fillId="5" borderId="8" xfId="3" applyNumberFormat="1" applyFont="1" applyFill="1" applyBorder="1"/>
    <xf numFmtId="44" fontId="23" fillId="5" borderId="10" xfId="3" applyNumberFormat="1" applyFont="1" applyFill="1" applyBorder="1"/>
    <xf numFmtId="44" fontId="23" fillId="5" borderId="8" xfId="3" applyNumberFormat="1" applyFont="1" applyFill="1" applyBorder="1"/>
    <xf numFmtId="44" fontId="2" fillId="5" borderId="8" xfId="3" applyNumberFormat="1" applyFont="1" applyFill="1" applyBorder="1"/>
    <xf numFmtId="43" fontId="13" fillId="5" borderId="8" xfId="0" applyNumberFormat="1" applyFont="1" applyFill="1" applyBorder="1"/>
    <xf numFmtId="44" fontId="23" fillId="5" borderId="10" xfId="3" applyFont="1" applyFill="1" applyBorder="1"/>
    <xf numFmtId="0" fontId="6" fillId="5" borderId="11" xfId="0" applyFont="1" applyFill="1" applyBorder="1"/>
    <xf numFmtId="0" fontId="6" fillId="5" borderId="12" xfId="0" applyFont="1" applyFill="1" applyBorder="1"/>
    <xf numFmtId="44" fontId="23" fillId="5" borderId="13" xfId="3" applyFont="1" applyFill="1" applyBorder="1"/>
    <xf numFmtId="44" fontId="6" fillId="0" borderId="0" xfId="3" applyFont="1"/>
    <xf numFmtId="164" fontId="0" fillId="0" borderId="0" xfId="2" applyNumberFormat="1" applyFont="1"/>
    <xf numFmtId="44" fontId="7" fillId="0" borderId="0" xfId="3" applyFont="1" applyAlignment="1">
      <alignment horizontal="center"/>
    </xf>
    <xf numFmtId="44" fontId="13" fillId="6" borderId="8" xfId="3" applyFont="1" applyFill="1" applyBorder="1"/>
    <xf numFmtId="10" fontId="35" fillId="0" borderId="0" xfId="5" applyNumberFormat="1" applyFont="1" applyFill="1" applyAlignment="1"/>
    <xf numFmtId="0" fontId="6" fillId="0" borderId="0" xfId="4" applyFont="1" applyFill="1" applyAlignment="1">
      <alignment horizontal="center"/>
    </xf>
    <xf numFmtId="164" fontId="25" fillId="0" borderId="0" xfId="10" applyNumberFormat="1" applyFont="1"/>
    <xf numFmtId="165" fontId="14" fillId="0" borderId="0" xfId="3" applyNumberFormat="1" applyFont="1"/>
    <xf numFmtId="0" fontId="16" fillId="7" borderId="4" xfId="0" applyFont="1" applyFill="1" applyBorder="1"/>
    <xf numFmtId="0" fontId="16" fillId="7" borderId="5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6" fillId="7" borderId="7" xfId="0" applyFont="1" applyFill="1" applyBorder="1"/>
    <xf numFmtId="0" fontId="6" fillId="7" borderId="0" xfId="0" applyFont="1" applyFill="1" applyBorder="1"/>
    <xf numFmtId="0" fontId="17" fillId="7" borderId="0" xfId="0" applyFont="1" applyFill="1" applyBorder="1"/>
    <xf numFmtId="0" fontId="0" fillId="7" borderId="0" xfId="0" applyFill="1" applyBorder="1"/>
    <xf numFmtId="0" fontId="0" fillId="7" borderId="8" xfId="0" applyFill="1" applyBorder="1"/>
    <xf numFmtId="15" fontId="6" fillId="7" borderId="7" xfId="0" applyNumberFormat="1" applyFont="1" applyFill="1" applyBorder="1"/>
    <xf numFmtId="15" fontId="6" fillId="7" borderId="0" xfId="0" applyNumberFormat="1" applyFont="1" applyFill="1" applyBorder="1"/>
    <xf numFmtId="0" fontId="0" fillId="7" borderId="7" xfId="0" applyFill="1" applyBorder="1"/>
    <xf numFmtId="0" fontId="6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20" fillId="7" borderId="9" xfId="0" applyFont="1" applyFill="1" applyBorder="1"/>
    <xf numFmtId="0" fontId="20" fillId="7" borderId="0" xfId="0" applyFont="1" applyFill="1" applyBorder="1"/>
    <xf numFmtId="0" fontId="0" fillId="7" borderId="0" xfId="0" applyFill="1" applyBorder="1" applyAlignment="1">
      <alignment horizontal="center"/>
    </xf>
    <xf numFmtId="0" fontId="2" fillId="7" borderId="7" xfId="0" applyFont="1" applyFill="1" applyBorder="1"/>
    <xf numFmtId="41" fontId="0" fillId="7" borderId="0" xfId="0" applyNumberFormat="1" applyFill="1" applyBorder="1"/>
    <xf numFmtId="44" fontId="21" fillId="7" borderId="0" xfId="3" applyNumberFormat="1" applyFont="1" applyFill="1" applyBorder="1"/>
    <xf numFmtId="167" fontId="21" fillId="7" borderId="0" xfId="3" applyNumberFormat="1" applyFont="1" applyFill="1" applyBorder="1"/>
    <xf numFmtId="0" fontId="22" fillId="7" borderId="0" xfId="0" applyFont="1" applyFill="1" applyBorder="1"/>
    <xf numFmtId="41" fontId="13" fillId="7" borderId="0" xfId="0" applyNumberFormat="1" applyFont="1" applyFill="1" applyBorder="1"/>
    <xf numFmtId="41" fontId="6" fillId="7" borderId="0" xfId="0" applyNumberFormat="1" applyFont="1" applyFill="1" applyBorder="1"/>
    <xf numFmtId="0" fontId="6" fillId="7" borderId="8" xfId="0" applyFont="1" applyFill="1" applyBorder="1"/>
    <xf numFmtId="164" fontId="0" fillId="7" borderId="0" xfId="0" applyNumberFormat="1" applyFill="1" applyBorder="1"/>
    <xf numFmtId="0" fontId="2" fillId="7" borderId="7" xfId="0" applyFont="1" applyFill="1" applyBorder="1" applyAlignment="1">
      <alignment horizontal="right"/>
    </xf>
    <xf numFmtId="44" fontId="2" fillId="7" borderId="8" xfId="3" applyFont="1" applyFill="1" applyBorder="1"/>
    <xf numFmtId="44" fontId="13" fillId="7" borderId="8" xfId="3" applyNumberFormat="1" applyFont="1" applyFill="1" applyBorder="1"/>
    <xf numFmtId="44" fontId="23" fillId="7" borderId="10" xfId="3" applyNumberFormat="1" applyFont="1" applyFill="1" applyBorder="1"/>
    <xf numFmtId="44" fontId="23" fillId="7" borderId="8" xfId="3" applyNumberFormat="1" applyFont="1" applyFill="1" applyBorder="1"/>
    <xf numFmtId="0" fontId="6" fillId="7" borderId="2" xfId="0" applyFont="1" applyFill="1" applyBorder="1" applyAlignment="1">
      <alignment horizontal="center"/>
    </xf>
    <xf numFmtId="44" fontId="21" fillId="7" borderId="0" xfId="3" applyFont="1" applyFill="1" applyBorder="1"/>
    <xf numFmtId="44" fontId="2" fillId="7" borderId="8" xfId="3" applyNumberFormat="1" applyFont="1" applyFill="1" applyBorder="1"/>
    <xf numFmtId="165" fontId="2" fillId="7" borderId="0" xfId="3" applyNumberFormat="1" applyFont="1" applyFill="1" applyBorder="1"/>
    <xf numFmtId="43" fontId="13" fillId="7" borderId="8" xfId="0" applyNumberFormat="1" applyFont="1" applyFill="1" applyBorder="1"/>
    <xf numFmtId="44" fontId="23" fillId="7" borderId="10" xfId="3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0" fillId="7" borderId="12" xfId="0" applyFill="1" applyBorder="1"/>
    <xf numFmtId="44" fontId="23" fillId="7" borderId="13" xfId="3" applyFont="1" applyFill="1" applyBorder="1"/>
    <xf numFmtId="0" fontId="16" fillId="8" borderId="5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6" fillId="8" borderId="7" xfId="0" applyFont="1" applyFill="1" applyBorder="1"/>
    <xf numFmtId="0" fontId="6" fillId="8" borderId="0" xfId="0" applyFont="1" applyFill="1" applyBorder="1"/>
    <xf numFmtId="0" fontId="17" fillId="8" borderId="0" xfId="0" applyFont="1" applyFill="1" applyBorder="1"/>
    <xf numFmtId="0" fontId="0" fillId="8" borderId="0" xfId="0" applyFill="1" applyBorder="1"/>
    <xf numFmtId="0" fontId="0" fillId="8" borderId="8" xfId="0" applyFill="1" applyBorder="1"/>
    <xf numFmtId="15" fontId="6" fillId="8" borderId="0" xfId="0" applyNumberFormat="1" applyFont="1" applyFill="1" applyBorder="1"/>
    <xf numFmtId="0" fontId="0" fillId="8" borderId="7" xfId="0" applyFill="1" applyBorder="1"/>
    <xf numFmtId="0" fontId="6" fillId="8" borderId="0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20" fillId="8" borderId="9" xfId="0" applyFont="1" applyFill="1" applyBorder="1"/>
    <xf numFmtId="0" fontId="20" fillId="8" borderId="0" xfId="0" applyFont="1" applyFill="1" applyBorder="1"/>
    <xf numFmtId="0" fontId="0" fillId="8" borderId="0" xfId="0" applyFill="1" applyBorder="1" applyAlignment="1">
      <alignment horizontal="center"/>
    </xf>
    <xf numFmtId="0" fontId="2" fillId="8" borderId="7" xfId="0" applyFont="1" applyFill="1" applyBorder="1"/>
    <xf numFmtId="41" fontId="0" fillId="8" borderId="0" xfId="0" applyNumberFormat="1" applyFill="1" applyBorder="1"/>
    <xf numFmtId="44" fontId="21" fillId="8" borderId="0" xfId="3" applyNumberFormat="1" applyFont="1" applyFill="1" applyBorder="1"/>
    <xf numFmtId="167" fontId="21" fillId="8" borderId="0" xfId="3" applyNumberFormat="1" applyFont="1" applyFill="1" applyBorder="1"/>
    <xf numFmtId="0" fontId="22" fillId="8" borderId="0" xfId="0" applyFont="1" applyFill="1" applyBorder="1"/>
    <xf numFmtId="41" fontId="13" fillId="8" borderId="0" xfId="0" applyNumberFormat="1" applyFont="1" applyFill="1" applyBorder="1"/>
    <xf numFmtId="41" fontId="6" fillId="8" borderId="0" xfId="0" applyNumberFormat="1" applyFont="1" applyFill="1" applyBorder="1"/>
    <xf numFmtId="0" fontId="6" fillId="8" borderId="8" xfId="0" applyFont="1" applyFill="1" applyBorder="1"/>
    <xf numFmtId="164" fontId="0" fillId="8" borderId="0" xfId="0" applyNumberFormat="1" applyFill="1" applyBorder="1"/>
    <xf numFmtId="0" fontId="2" fillId="8" borderId="7" xfId="0" applyFont="1" applyFill="1" applyBorder="1" applyAlignment="1">
      <alignment horizontal="right"/>
    </xf>
    <xf numFmtId="44" fontId="2" fillId="8" borderId="8" xfId="3" applyFont="1" applyFill="1" applyBorder="1"/>
    <xf numFmtId="44" fontId="13" fillId="8" borderId="8" xfId="3" applyNumberFormat="1" applyFont="1" applyFill="1" applyBorder="1"/>
    <xf numFmtId="44" fontId="23" fillId="8" borderId="10" xfId="3" applyNumberFormat="1" applyFont="1" applyFill="1" applyBorder="1"/>
    <xf numFmtId="44" fontId="23" fillId="8" borderId="8" xfId="3" applyNumberFormat="1" applyFont="1" applyFill="1" applyBorder="1"/>
    <xf numFmtId="0" fontId="19" fillId="8" borderId="7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44" fontId="21" fillId="8" borderId="0" xfId="3" applyFont="1" applyFill="1" applyBorder="1"/>
    <xf numFmtId="44" fontId="2" fillId="8" borderId="8" xfId="3" applyNumberFormat="1" applyFont="1" applyFill="1" applyBorder="1"/>
    <xf numFmtId="165" fontId="2" fillId="8" borderId="0" xfId="3" applyNumberFormat="1" applyFont="1" applyFill="1" applyBorder="1"/>
    <xf numFmtId="44" fontId="13" fillId="8" borderId="8" xfId="3" applyFont="1" applyFill="1" applyBorder="1"/>
    <xf numFmtId="44" fontId="23" fillId="8" borderId="10" xfId="3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0" fillId="8" borderId="12" xfId="0" applyFill="1" applyBorder="1"/>
    <xf numFmtId="44" fontId="23" fillId="8" borderId="13" xfId="3" applyFont="1" applyFill="1" applyBorder="1"/>
    <xf numFmtId="166" fontId="0" fillId="0" borderId="0" xfId="5" applyNumberFormat="1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2" fillId="0" borderId="0" xfId="2" applyFont="1"/>
    <xf numFmtId="10" fontId="2" fillId="0" borderId="0" xfId="5" applyNumberFormat="1" applyFont="1" applyAlignment="1"/>
    <xf numFmtId="10" fontId="31" fillId="0" borderId="0" xfId="5" applyNumberFormat="1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3" fillId="0" borderId="0" xfId="2" applyFont="1" applyAlignment="1"/>
    <xf numFmtId="0" fontId="36" fillId="0" borderId="0" xfId="0" applyFont="1" applyBorder="1"/>
    <xf numFmtId="0" fontId="2" fillId="0" borderId="0" xfId="0" applyFont="1" applyAlignment="1"/>
    <xf numFmtId="0" fontId="16" fillId="10" borderId="4" xfId="0" applyFont="1" applyFill="1" applyBorder="1"/>
    <xf numFmtId="0" fontId="16" fillId="10" borderId="5" xfId="0" applyFont="1" applyFill="1" applyBorder="1"/>
    <xf numFmtId="0" fontId="0" fillId="10" borderId="5" xfId="0" applyFill="1" applyBorder="1"/>
    <xf numFmtId="0" fontId="0" fillId="10" borderId="6" xfId="0" applyFill="1" applyBorder="1"/>
    <xf numFmtId="0" fontId="6" fillId="10" borderId="7" xfId="0" applyFont="1" applyFill="1" applyBorder="1"/>
    <xf numFmtId="0" fontId="6" fillId="10" borderId="0" xfId="0" applyFont="1" applyFill="1" applyBorder="1"/>
    <xf numFmtId="0" fontId="17" fillId="10" borderId="0" xfId="0" applyFont="1" applyFill="1" applyBorder="1"/>
    <xf numFmtId="0" fontId="0" fillId="10" borderId="0" xfId="0" applyFill="1" applyBorder="1"/>
    <xf numFmtId="0" fontId="0" fillId="10" borderId="8" xfId="0" applyFill="1" applyBorder="1"/>
    <xf numFmtId="15" fontId="6" fillId="10" borderId="7" xfId="0" applyNumberFormat="1" applyFont="1" applyFill="1" applyBorder="1"/>
    <xf numFmtId="15" fontId="6" fillId="10" borderId="0" xfId="0" applyNumberFormat="1" applyFont="1" applyFill="1" applyBorder="1"/>
    <xf numFmtId="0" fontId="0" fillId="10" borderId="7" xfId="0" applyFill="1" applyBorder="1"/>
    <xf numFmtId="0" fontId="6" fillId="10" borderId="0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center"/>
    </xf>
    <xf numFmtId="0" fontId="20" fillId="10" borderId="9" xfId="0" applyFont="1" applyFill="1" applyBorder="1"/>
    <xf numFmtId="0" fontId="20" fillId="10" borderId="0" xfId="0" applyFont="1" applyFill="1" applyBorder="1"/>
    <xf numFmtId="0" fontId="0" fillId="10" borderId="0" xfId="0" applyFill="1" applyBorder="1" applyAlignment="1">
      <alignment horizontal="center"/>
    </xf>
    <xf numFmtId="0" fontId="2" fillId="10" borderId="7" xfId="0" applyFont="1" applyFill="1" applyBorder="1"/>
    <xf numFmtId="41" fontId="0" fillId="10" borderId="0" xfId="0" applyNumberFormat="1" applyFill="1" applyBorder="1"/>
    <xf numFmtId="44" fontId="21" fillId="10" borderId="0" xfId="3" applyNumberFormat="1" applyFont="1" applyFill="1" applyBorder="1"/>
    <xf numFmtId="167" fontId="21" fillId="10" borderId="0" xfId="3" applyNumberFormat="1" applyFont="1" applyFill="1" applyBorder="1"/>
    <xf numFmtId="0" fontId="22" fillId="10" borderId="0" xfId="0" applyFont="1" applyFill="1" applyBorder="1"/>
    <xf numFmtId="41" fontId="13" fillId="10" borderId="0" xfId="0" applyNumberFormat="1" applyFont="1" applyFill="1" applyBorder="1"/>
    <xf numFmtId="41" fontId="6" fillId="10" borderId="0" xfId="0" applyNumberFormat="1" applyFont="1" applyFill="1" applyBorder="1"/>
    <xf numFmtId="0" fontId="6" fillId="10" borderId="8" xfId="0" applyFont="1" applyFill="1" applyBorder="1"/>
    <xf numFmtId="164" fontId="0" fillId="10" borderId="0" xfId="0" applyNumberFormat="1" applyFill="1" applyBorder="1"/>
    <xf numFmtId="0" fontId="2" fillId="10" borderId="7" xfId="0" applyFont="1" applyFill="1" applyBorder="1" applyAlignment="1">
      <alignment horizontal="right"/>
    </xf>
    <xf numFmtId="44" fontId="2" fillId="10" borderId="8" xfId="3" applyFont="1" applyFill="1" applyBorder="1"/>
    <xf numFmtId="44" fontId="13" fillId="10" borderId="8" xfId="3" applyNumberFormat="1" applyFont="1" applyFill="1" applyBorder="1"/>
    <xf numFmtId="44" fontId="23" fillId="10" borderId="10" xfId="3" applyNumberFormat="1" applyFont="1" applyFill="1" applyBorder="1"/>
    <xf numFmtId="44" fontId="23" fillId="10" borderId="8" xfId="3" applyNumberFormat="1" applyFont="1" applyFill="1" applyBorder="1"/>
    <xf numFmtId="0" fontId="6" fillId="10" borderId="2" xfId="0" applyFont="1" applyFill="1" applyBorder="1" applyAlignment="1">
      <alignment horizontal="center"/>
    </xf>
    <xf numFmtId="44" fontId="2" fillId="10" borderId="8" xfId="3" applyNumberFormat="1" applyFont="1" applyFill="1" applyBorder="1"/>
    <xf numFmtId="165" fontId="2" fillId="10" borderId="0" xfId="3" applyNumberFormat="1" applyFont="1" applyFill="1" applyBorder="1"/>
    <xf numFmtId="44" fontId="13" fillId="10" borderId="8" xfId="3" applyFont="1" applyFill="1" applyBorder="1"/>
    <xf numFmtId="44" fontId="23" fillId="10" borderId="10" xfId="3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0" fillId="10" borderId="12" xfId="0" applyFill="1" applyBorder="1"/>
    <xf numFmtId="44" fontId="23" fillId="10" borderId="13" xfId="3" applyFont="1" applyFill="1" applyBorder="1"/>
    <xf numFmtId="8" fontId="0" fillId="10" borderId="0" xfId="0" applyNumberFormat="1" applyFill="1" applyBorder="1"/>
    <xf numFmtId="44" fontId="38" fillId="10" borderId="8" xfId="3" applyNumberFormat="1" applyFont="1" applyFill="1" applyBorder="1"/>
    <xf numFmtId="0" fontId="3" fillId="10" borderId="7" xfId="0" applyFont="1" applyFill="1" applyBorder="1"/>
    <xf numFmtId="44" fontId="23" fillId="8" borderId="13" xfId="3" applyNumberFormat="1" applyFont="1" applyFill="1" applyBorder="1"/>
    <xf numFmtId="44" fontId="23" fillId="6" borderId="13" xfId="3" applyNumberFormat="1" applyFont="1" applyFill="1" applyBorder="1"/>
    <xf numFmtId="44" fontId="23" fillId="7" borderId="13" xfId="3" applyNumberFormat="1" applyFont="1" applyFill="1" applyBorder="1"/>
    <xf numFmtId="44" fontId="23" fillId="5" borderId="13" xfId="3" applyNumberFormat="1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0" fillId="4" borderId="12" xfId="0" applyFill="1" applyBorder="1"/>
    <xf numFmtId="44" fontId="23" fillId="4" borderId="12" xfId="3" applyNumberFormat="1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0" fillId="3" borderId="12" xfId="0" applyFill="1" applyBorder="1"/>
    <xf numFmtId="44" fontId="23" fillId="3" borderId="12" xfId="3" applyNumberFormat="1" applyFont="1" applyFill="1" applyBorder="1"/>
    <xf numFmtId="0" fontId="0" fillId="10" borderId="13" xfId="0" applyFill="1" applyBorder="1"/>
    <xf numFmtId="0" fontId="20" fillId="8" borderId="2" xfId="0" applyFont="1" applyFill="1" applyBorder="1"/>
    <xf numFmtId="0" fontId="2" fillId="8" borderId="0" xfId="0" applyFont="1" applyFill="1" applyBorder="1"/>
    <xf numFmtId="0" fontId="2" fillId="8" borderId="0" xfId="0" applyFont="1" applyFill="1" applyBorder="1" applyAlignment="1">
      <alignment horizontal="right"/>
    </xf>
    <xf numFmtId="0" fontId="0" fillId="10" borderId="11" xfId="0" applyFill="1" applyBorder="1"/>
    <xf numFmtId="0" fontId="35" fillId="0" borderId="0" xfId="0" applyFont="1" applyBorder="1"/>
    <xf numFmtId="10" fontId="2" fillId="0" borderId="0" xfId="5" applyNumberFormat="1" applyFont="1" applyBorder="1" applyAlignment="1">
      <alignment horizontal="right"/>
    </xf>
    <xf numFmtId="0" fontId="34" fillId="0" borderId="0" xfId="0" applyFont="1" applyBorder="1" applyAlignment="1">
      <alignment horizontal="center"/>
    </xf>
    <xf numFmtId="43" fontId="2" fillId="0" borderId="0" xfId="2" applyFont="1" applyBorder="1" applyAlignment="1" applyProtection="1">
      <alignment horizontal="right"/>
      <protection locked="0"/>
    </xf>
    <xf numFmtId="0" fontId="0" fillId="0" borderId="0" xfId="0" applyBorder="1"/>
    <xf numFmtId="43" fontId="13" fillId="0" borderId="0" xfId="2" applyFont="1" applyBorder="1" applyAlignment="1" applyProtection="1">
      <alignment horizontal="right"/>
      <protection locked="0"/>
    </xf>
    <xf numFmtId="0" fontId="6" fillId="0" borderId="0" xfId="0" applyFont="1" applyBorder="1"/>
    <xf numFmtId="10" fontId="13" fillId="0" borderId="0" xfId="5" applyNumberFormat="1" applyFont="1" applyBorder="1" applyAlignment="1">
      <alignment horizontal="right"/>
    </xf>
    <xf numFmtId="43" fontId="39" fillId="0" borderId="0" xfId="2" applyFont="1" applyBorder="1"/>
    <xf numFmtId="166" fontId="14" fillId="0" borderId="0" xfId="5" applyNumberFormat="1" applyFont="1" applyBorder="1" applyAlignment="1">
      <alignment horizontal="right"/>
    </xf>
    <xf numFmtId="43" fontId="14" fillId="0" borderId="0" xfId="10" applyFont="1" applyBorder="1"/>
    <xf numFmtId="43" fontId="14" fillId="0" borderId="0" xfId="2" applyFont="1" applyBorder="1" applyAlignment="1">
      <alignment horizontal="right"/>
    </xf>
    <xf numFmtId="0" fontId="40" fillId="0" borderId="0" xfId="0" applyFont="1" applyFill="1"/>
    <xf numFmtId="0" fontId="7" fillId="0" borderId="0" xfId="0" applyFont="1" applyAlignment="1">
      <alignment horizontal="center"/>
    </xf>
    <xf numFmtId="44" fontId="42" fillId="0" borderId="14" xfId="3" applyFont="1" applyFill="1" applyBorder="1" applyProtection="1">
      <protection locked="0"/>
    </xf>
    <xf numFmtId="0" fontId="6" fillId="10" borderId="0" xfId="0" applyFont="1" applyFill="1"/>
    <xf numFmtId="0" fontId="0" fillId="10" borderId="0" xfId="0" applyFill="1"/>
    <xf numFmtId="165" fontId="0" fillId="10" borderId="0" xfId="6" applyNumberFormat="1" applyFont="1" applyFill="1" applyBorder="1"/>
    <xf numFmtId="44" fontId="37" fillId="10" borderId="8" xfId="6" applyFont="1" applyFill="1" applyBorder="1"/>
    <xf numFmtId="8" fontId="0" fillId="10" borderId="0" xfId="0" applyNumberFormat="1" applyFill="1"/>
    <xf numFmtId="44" fontId="23" fillId="10" borderId="8" xfId="6" applyFont="1" applyFill="1" applyBorder="1"/>
    <xf numFmtId="44" fontId="38" fillId="10" borderId="8" xfId="6" applyFont="1" applyFill="1" applyBorder="1"/>
    <xf numFmtId="0" fontId="16" fillId="11" borderId="4" xfId="0" applyFont="1" applyFill="1" applyBorder="1"/>
    <xf numFmtId="0" fontId="16" fillId="11" borderId="5" xfId="0" applyFont="1" applyFill="1" applyBorder="1"/>
    <xf numFmtId="0" fontId="0" fillId="11" borderId="5" xfId="0" applyFill="1" applyBorder="1"/>
    <xf numFmtId="0" fontId="0" fillId="11" borderId="6" xfId="0" applyFill="1" applyBorder="1"/>
    <xf numFmtId="0" fontId="6" fillId="11" borderId="7" xfId="0" applyFont="1" applyFill="1" applyBorder="1"/>
    <xf numFmtId="0" fontId="6" fillId="11" borderId="0" xfId="0" applyFont="1" applyFill="1" applyBorder="1"/>
    <xf numFmtId="0" fontId="17" fillId="11" borderId="0" xfId="0" applyFont="1" applyFill="1" applyBorder="1"/>
    <xf numFmtId="0" fontId="0" fillId="11" borderId="0" xfId="0" applyFill="1" applyBorder="1"/>
    <xf numFmtId="0" fontId="0" fillId="11" borderId="8" xfId="0" applyFill="1" applyBorder="1"/>
    <xf numFmtId="15" fontId="6" fillId="11" borderId="7" xfId="0" applyNumberFormat="1" applyFont="1" applyFill="1" applyBorder="1"/>
    <xf numFmtId="15" fontId="6" fillId="11" borderId="0" xfId="0" applyNumberFormat="1" applyFont="1" applyFill="1" applyBorder="1"/>
    <xf numFmtId="0" fontId="0" fillId="11" borderId="7" xfId="0" applyFill="1" applyBorder="1"/>
    <xf numFmtId="0" fontId="6" fillId="11" borderId="0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20" fillId="11" borderId="9" xfId="0" applyFont="1" applyFill="1" applyBorder="1"/>
    <xf numFmtId="0" fontId="20" fillId="11" borderId="0" xfId="0" applyFont="1" applyFill="1" applyBorder="1"/>
    <xf numFmtId="0" fontId="0" fillId="11" borderId="0" xfId="0" applyFill="1" applyBorder="1" applyAlignment="1">
      <alignment horizontal="center"/>
    </xf>
    <xf numFmtId="0" fontId="2" fillId="11" borderId="7" xfId="0" applyFont="1" applyFill="1" applyBorder="1"/>
    <xf numFmtId="41" fontId="0" fillId="11" borderId="0" xfId="0" applyNumberFormat="1" applyFill="1" applyBorder="1"/>
    <xf numFmtId="44" fontId="21" fillId="11" borderId="0" xfId="3" applyNumberFormat="1" applyFont="1" applyFill="1" applyBorder="1"/>
    <xf numFmtId="167" fontId="21" fillId="11" borderId="0" xfId="3" applyNumberFormat="1" applyFont="1" applyFill="1" applyBorder="1"/>
    <xf numFmtId="0" fontId="22" fillId="11" borderId="0" xfId="0" applyFont="1" applyFill="1" applyBorder="1"/>
    <xf numFmtId="41" fontId="13" fillId="11" borderId="0" xfId="0" applyNumberFormat="1" applyFont="1" applyFill="1" applyBorder="1"/>
    <xf numFmtId="41" fontId="6" fillId="11" borderId="0" xfId="0" applyNumberFormat="1" applyFont="1" applyFill="1" applyBorder="1"/>
    <xf numFmtId="0" fontId="6" fillId="11" borderId="8" xfId="0" applyFont="1" applyFill="1" applyBorder="1"/>
    <xf numFmtId="164" fontId="0" fillId="11" borderId="0" xfId="0" applyNumberFormat="1" applyFill="1" applyBorder="1"/>
    <xf numFmtId="0" fontId="2" fillId="11" borderId="7" xfId="0" applyFont="1" applyFill="1" applyBorder="1" applyAlignment="1">
      <alignment horizontal="right"/>
    </xf>
    <xf numFmtId="44" fontId="2" fillId="11" borderId="8" xfId="3" applyFont="1" applyFill="1" applyBorder="1"/>
    <xf numFmtId="44" fontId="13" fillId="11" borderId="8" xfId="3" applyNumberFormat="1" applyFont="1" applyFill="1" applyBorder="1"/>
    <xf numFmtId="44" fontId="23" fillId="11" borderId="10" xfId="3" applyNumberFormat="1" applyFont="1" applyFill="1" applyBorder="1"/>
    <xf numFmtId="44" fontId="23" fillId="11" borderId="8" xfId="3" applyNumberFormat="1" applyFont="1" applyFill="1" applyBorder="1"/>
    <xf numFmtId="165" fontId="0" fillId="11" borderId="0" xfId="3" applyNumberFormat="1" applyFont="1" applyFill="1" applyBorder="1"/>
    <xf numFmtId="44" fontId="37" fillId="11" borderId="8" xfId="3" applyFont="1" applyFill="1" applyBorder="1"/>
    <xf numFmtId="8" fontId="0" fillId="11" borderId="0" xfId="0" applyNumberFormat="1" applyFill="1" applyBorder="1"/>
    <xf numFmtId="0" fontId="3" fillId="11" borderId="7" xfId="0" applyFont="1" applyFill="1" applyBorder="1"/>
    <xf numFmtId="44" fontId="38" fillId="11" borderId="8" xfId="3" applyNumberFormat="1" applyFont="1" applyFill="1" applyBorder="1"/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  <xf numFmtId="0" fontId="6" fillId="11" borderId="2" xfId="0" applyFont="1" applyFill="1" applyBorder="1" applyAlignment="1">
      <alignment horizontal="center"/>
    </xf>
    <xf numFmtId="44" fontId="2" fillId="11" borderId="8" xfId="3" applyNumberFormat="1" applyFont="1" applyFill="1" applyBorder="1"/>
    <xf numFmtId="165" fontId="2" fillId="11" borderId="0" xfId="3" applyNumberFormat="1" applyFont="1" applyFill="1" applyBorder="1"/>
    <xf numFmtId="44" fontId="13" fillId="11" borderId="8" xfId="3" applyFont="1" applyFill="1" applyBorder="1"/>
    <xf numFmtId="44" fontId="23" fillId="11" borderId="10" xfId="3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44" fontId="23" fillId="11" borderId="13" xfId="3" applyFont="1" applyFill="1" applyBorder="1"/>
    <xf numFmtId="44" fontId="43" fillId="0" borderId="14" xfId="6" applyFont="1" applyFill="1" applyBorder="1" applyProtection="1">
      <protection locked="0"/>
    </xf>
    <xf numFmtId="44" fontId="43" fillId="0" borderId="14" xfId="3" applyFont="1" applyFill="1" applyBorder="1" applyProtection="1">
      <protection locked="0"/>
    </xf>
    <xf numFmtId="0" fontId="0" fillId="3" borderId="6" xfId="0" applyFill="1" applyBorder="1"/>
    <xf numFmtId="0" fontId="0" fillId="3" borderId="8" xfId="0" applyFill="1" applyBorder="1"/>
    <xf numFmtId="44" fontId="21" fillId="3" borderId="0" xfId="3" applyNumberFormat="1" applyFont="1" applyFill="1" applyBorder="1"/>
    <xf numFmtId="167" fontId="21" fillId="3" borderId="0" xfId="3" applyNumberFormat="1" applyFont="1" applyFill="1" applyBorder="1"/>
    <xf numFmtId="0" fontId="6" fillId="3" borderId="8" xfId="0" applyFont="1" applyFill="1" applyBorder="1"/>
    <xf numFmtId="44" fontId="2" fillId="3" borderId="8" xfId="3" applyFont="1" applyFill="1" applyBorder="1"/>
    <xf numFmtId="44" fontId="13" fillId="3" borderId="8" xfId="3" applyNumberFormat="1" applyFont="1" applyFill="1" applyBorder="1"/>
    <xf numFmtId="44" fontId="23" fillId="3" borderId="10" xfId="3" applyNumberFormat="1" applyFont="1" applyFill="1" applyBorder="1"/>
    <xf numFmtId="44" fontId="23" fillId="3" borderId="8" xfId="3" applyNumberFormat="1" applyFont="1" applyFill="1" applyBorder="1"/>
    <xf numFmtId="165" fontId="0" fillId="3" borderId="0" xfId="3" applyNumberFormat="1" applyFont="1" applyFill="1" applyBorder="1"/>
    <xf numFmtId="44" fontId="37" fillId="3" borderId="8" xfId="3" applyFont="1" applyFill="1" applyBorder="1"/>
    <xf numFmtId="8" fontId="0" fillId="3" borderId="0" xfId="0" applyNumberFormat="1" applyFill="1" applyBorder="1"/>
    <xf numFmtId="0" fontId="3" fillId="3" borderId="7" xfId="0" applyFont="1" applyFill="1" applyBorder="1"/>
    <xf numFmtId="44" fontId="38" fillId="3" borderId="8" xfId="3" applyNumberFormat="1" applyFont="1" applyFill="1" applyBorder="1"/>
    <xf numFmtId="0" fontId="0" fillId="3" borderId="11" xfId="0" applyFill="1" applyBorder="1"/>
    <xf numFmtId="0" fontId="0" fillId="3" borderId="13" xfId="0" applyFill="1" applyBorder="1"/>
    <xf numFmtId="44" fontId="2" fillId="3" borderId="8" xfId="3" applyNumberFormat="1" applyFont="1" applyFill="1" applyBorder="1"/>
    <xf numFmtId="44" fontId="13" fillId="3" borderId="8" xfId="3" applyFont="1" applyFill="1" applyBorder="1"/>
    <xf numFmtId="44" fontId="23" fillId="3" borderId="10" xfId="3" applyFont="1" applyFill="1" applyBorder="1"/>
    <xf numFmtId="44" fontId="23" fillId="3" borderId="13" xfId="3" applyFont="1" applyFill="1" applyBorder="1"/>
    <xf numFmtId="43" fontId="42" fillId="0" borderId="0" xfId="2" applyFont="1" applyFill="1" applyBorder="1" applyAlignment="1" applyProtection="1">
      <alignment horizontal="right"/>
      <protection locked="0"/>
    </xf>
    <xf numFmtId="43" fontId="44" fillId="0" borderId="0" xfId="2" applyFont="1" applyFill="1" applyBorder="1" applyAlignment="1" applyProtection="1">
      <alignment horizontal="right"/>
      <protection locked="0"/>
    </xf>
    <xf numFmtId="43" fontId="42" fillId="0" borderId="15" xfId="10" applyFont="1" applyBorder="1" applyAlignment="1" applyProtection="1">
      <alignment horizontal="right"/>
      <protection locked="0"/>
    </xf>
    <xf numFmtId="43" fontId="42" fillId="0" borderId="15" xfId="10" applyFont="1" applyBorder="1" applyProtection="1">
      <protection locked="0"/>
    </xf>
    <xf numFmtId="43" fontId="44" fillId="0" borderId="15" xfId="10" applyFont="1" applyBorder="1" applyProtection="1">
      <protection locked="0"/>
    </xf>
    <xf numFmtId="43" fontId="42" fillId="0" borderId="0" xfId="10" applyFont="1" applyBorder="1" applyAlignment="1" applyProtection="1">
      <alignment horizontal="right"/>
      <protection locked="0"/>
    </xf>
    <xf numFmtId="43" fontId="44" fillId="0" borderId="0" xfId="10" applyFont="1" applyBorder="1" applyAlignment="1" applyProtection="1">
      <alignment horizontal="right"/>
      <protection locked="0"/>
    </xf>
    <xf numFmtId="43" fontId="42" fillId="0" borderId="0" xfId="10" applyFont="1" applyBorder="1" applyProtection="1">
      <protection locked="0"/>
    </xf>
    <xf numFmtId="43" fontId="44" fillId="0" borderId="0" xfId="10" applyFont="1" applyBorder="1" applyProtection="1">
      <protection locked="0"/>
    </xf>
    <xf numFmtId="43" fontId="42" fillId="0" borderId="0" xfId="2" applyFont="1" applyBorder="1" applyAlignment="1" applyProtection="1">
      <alignment horizontal="right"/>
      <protection locked="0"/>
    </xf>
    <xf numFmtId="43" fontId="44" fillId="0" borderId="0" xfId="2" applyFont="1" applyBorder="1" applyAlignment="1" applyProtection="1">
      <alignment horizontal="right"/>
      <protection locked="0"/>
    </xf>
    <xf numFmtId="43" fontId="43" fillId="0" borderId="0" xfId="0" applyNumberFormat="1" applyFont="1" applyAlignment="1"/>
    <xf numFmtId="2" fontId="43" fillId="0" borderId="0" xfId="0" applyNumberFormat="1" applyFont="1" applyFill="1" applyAlignment="1"/>
    <xf numFmtId="43" fontId="43" fillId="0" borderId="0" xfId="2" applyFont="1" applyAlignment="1"/>
    <xf numFmtId="2" fontId="43" fillId="0" borderId="0" xfId="0" applyNumberFormat="1" applyFont="1" applyAlignment="1"/>
    <xf numFmtId="44" fontId="43" fillId="0" borderId="0" xfId="3" applyFont="1"/>
    <xf numFmtId="0" fontId="43" fillId="0" borderId="0" xfId="0" applyFont="1"/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19" fillId="7" borderId="7" xfId="0" applyFont="1" applyFill="1" applyBorder="1" applyAlignment="1">
      <alignment horizontal="center"/>
    </xf>
    <xf numFmtId="0" fontId="19" fillId="7" borderId="0" xfId="0" applyFont="1" applyFill="1" applyBorder="1" applyAlignment="1">
      <alignment horizontal="center"/>
    </xf>
    <xf numFmtId="0" fontId="19" fillId="7" borderId="8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10" borderId="7" xfId="0" applyFont="1" applyFill="1" applyBorder="1" applyAlignment="1">
      <alignment horizontal="center"/>
    </xf>
    <xf numFmtId="0" fontId="19" fillId="10" borderId="0" xfId="0" applyFont="1" applyFill="1" applyBorder="1" applyAlignment="1">
      <alignment horizontal="center"/>
    </xf>
    <xf numFmtId="0" fontId="19" fillId="10" borderId="8" xfId="0" applyFont="1" applyFill="1" applyBorder="1" applyAlignment="1">
      <alignment horizontal="center"/>
    </xf>
    <xf numFmtId="0" fontId="19" fillId="8" borderId="0" xfId="0" applyFont="1" applyFill="1" applyBorder="1" applyAlignment="1">
      <alignment horizontal="center"/>
    </xf>
    <xf numFmtId="0" fontId="19" fillId="8" borderId="8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11" borderId="7" xfId="0" applyFont="1" applyFill="1" applyBorder="1" applyAlignment="1">
      <alignment horizontal="center"/>
    </xf>
    <xf numFmtId="0" fontId="19" fillId="11" borderId="0" xfId="0" applyFont="1" applyFill="1" applyBorder="1" applyAlignment="1">
      <alignment horizontal="center"/>
    </xf>
    <xf numFmtId="0" fontId="19" fillId="11" borderId="8" xfId="0" applyFont="1" applyFill="1" applyBorder="1" applyAlignment="1">
      <alignment horizontal="center"/>
    </xf>
    <xf numFmtId="164" fontId="45" fillId="0" borderId="0" xfId="10" applyNumberFormat="1" applyFont="1" applyFill="1"/>
    <xf numFmtId="164" fontId="45" fillId="0" borderId="0" xfId="10" applyNumberFormat="1" applyFont="1"/>
    <xf numFmtId="43" fontId="13" fillId="0" borderId="0" xfId="0" applyNumberFormat="1" applyFont="1" applyFill="1" applyAlignment="1"/>
    <xf numFmtId="44" fontId="37" fillId="3" borderId="0" xfId="3" applyFont="1" applyFill="1" applyBorder="1"/>
    <xf numFmtId="44" fontId="38" fillId="3" borderId="0" xfId="3" applyNumberFormat="1" applyFont="1" applyFill="1" applyBorder="1"/>
    <xf numFmtId="44" fontId="13" fillId="3" borderId="0" xfId="3" applyFont="1" applyFill="1" applyBorder="1"/>
    <xf numFmtId="44" fontId="23" fillId="3" borderId="12" xfId="3" applyFont="1" applyFill="1" applyBorder="1"/>
    <xf numFmtId="0" fontId="3" fillId="5" borderId="7" xfId="0" applyFont="1" applyFill="1" applyBorder="1"/>
    <xf numFmtId="0" fontId="0" fillId="5" borderId="11" xfId="0" applyFill="1" applyBorder="1"/>
    <xf numFmtId="0" fontId="0" fillId="5" borderId="13" xfId="0" applyFill="1" applyBorder="1"/>
    <xf numFmtId="14" fontId="0" fillId="0" borderId="0" xfId="0" applyNumberFormat="1"/>
    <xf numFmtId="44" fontId="22" fillId="0" borderId="0" xfId="54" applyFont="1" applyFill="1" applyBorder="1" applyProtection="1">
      <protection locked="0"/>
    </xf>
    <xf numFmtId="0" fontId="18" fillId="5" borderId="7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7" borderId="7" xfId="0" applyFont="1" applyFill="1" applyBorder="1" applyAlignment="1">
      <alignment horizontal="center"/>
    </xf>
    <xf numFmtId="0" fontId="19" fillId="7" borderId="0" xfId="0" applyFont="1" applyFill="1" applyBorder="1" applyAlignment="1">
      <alignment horizontal="center"/>
    </xf>
    <xf numFmtId="0" fontId="19" fillId="7" borderId="8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19" fillId="7" borderId="7" xfId="0" applyFont="1" applyFill="1" applyBorder="1" applyAlignment="1">
      <alignment horizontal="center"/>
    </xf>
    <xf numFmtId="0" fontId="19" fillId="7" borderId="0" xfId="0" applyFont="1" applyFill="1" applyBorder="1" applyAlignment="1">
      <alignment horizontal="center"/>
    </xf>
    <xf numFmtId="0" fontId="19" fillId="7" borderId="8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/>
    </xf>
    <xf numFmtId="0" fontId="18" fillId="10" borderId="8" xfId="0" applyFont="1" applyFill="1" applyBorder="1" applyAlignment="1">
      <alignment horizontal="center"/>
    </xf>
    <xf numFmtId="0" fontId="19" fillId="10" borderId="7" xfId="0" applyFont="1" applyFill="1" applyBorder="1" applyAlignment="1">
      <alignment horizontal="center"/>
    </xf>
    <xf numFmtId="0" fontId="19" fillId="10" borderId="0" xfId="0" applyFont="1" applyFill="1" applyBorder="1" applyAlignment="1">
      <alignment horizontal="center"/>
    </xf>
    <xf numFmtId="0" fontId="19" fillId="10" borderId="8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19" fillId="8" borderId="7" xfId="0" applyFont="1" applyFill="1" applyBorder="1" applyAlignment="1">
      <alignment horizontal="center"/>
    </xf>
    <xf numFmtId="0" fontId="19" fillId="8" borderId="0" xfId="0" applyFont="1" applyFill="1" applyBorder="1" applyAlignment="1">
      <alignment horizontal="center"/>
    </xf>
    <xf numFmtId="0" fontId="19" fillId="8" borderId="8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0" fontId="18" fillId="11" borderId="0" xfId="0" applyFont="1" applyFill="1" applyBorder="1" applyAlignment="1">
      <alignment horizontal="center"/>
    </xf>
    <xf numFmtId="0" fontId="18" fillId="11" borderId="8" xfId="0" applyFont="1" applyFill="1" applyBorder="1" applyAlignment="1">
      <alignment horizontal="center"/>
    </xf>
    <xf numFmtId="0" fontId="19" fillId="11" borderId="7" xfId="0" applyFont="1" applyFill="1" applyBorder="1" applyAlignment="1">
      <alignment horizontal="center"/>
    </xf>
    <xf numFmtId="0" fontId="19" fillId="11" borderId="0" xfId="0" applyFont="1" applyFill="1" applyBorder="1" applyAlignment="1">
      <alignment horizontal="center"/>
    </xf>
    <xf numFmtId="0" fontId="19" fillId="11" borderId="8" xfId="0" applyFont="1" applyFill="1" applyBorder="1" applyAlignment="1">
      <alignment horizontal="center"/>
    </xf>
    <xf numFmtId="17" fontId="34" fillId="9" borderId="0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7" borderId="0" xfId="3" applyNumberFormat="1" applyFont="1" applyFill="1" applyBorder="1"/>
    <xf numFmtId="44" fontId="37" fillId="7" borderId="8" xfId="3" applyFont="1" applyFill="1" applyBorder="1"/>
    <xf numFmtId="8" fontId="0" fillId="7" borderId="0" xfId="0" applyNumberFormat="1" applyFill="1" applyBorder="1"/>
    <xf numFmtId="0" fontId="3" fillId="7" borderId="7" xfId="0" applyFont="1" applyFill="1" applyBorder="1"/>
    <xf numFmtId="44" fontId="38" fillId="7" borderId="8" xfId="3" applyNumberFormat="1" applyFont="1" applyFill="1" applyBorder="1"/>
    <xf numFmtId="0" fontId="0" fillId="7" borderId="11" xfId="0" applyFill="1" applyBorder="1"/>
    <xf numFmtId="0" fontId="0" fillId="7" borderId="13" xfId="0" applyFill="1" applyBorder="1"/>
    <xf numFmtId="44" fontId="13" fillId="7" borderId="8" xfId="3" applyFont="1" applyFill="1" applyBorder="1"/>
    <xf numFmtId="0" fontId="6" fillId="5" borderId="0" xfId="0" applyFont="1" applyFill="1"/>
    <xf numFmtId="0" fontId="17" fillId="5" borderId="0" xfId="0" applyFont="1" applyFill="1"/>
    <xf numFmtId="0" fontId="0" fillId="5" borderId="0" xfId="0" applyFill="1"/>
    <xf numFmtId="15" fontId="6" fillId="5" borderId="0" xfId="0" applyNumberFormat="1" applyFont="1" applyFill="1"/>
    <xf numFmtId="0" fontId="18" fillId="5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20" fillId="5" borderId="0" xfId="0" applyFont="1" applyFill="1"/>
    <xf numFmtId="0" fontId="0" fillId="5" borderId="0" xfId="0" applyFill="1" applyAlignment="1">
      <alignment horizontal="center"/>
    </xf>
    <xf numFmtId="41" fontId="0" fillId="5" borderId="0" xfId="0" applyNumberFormat="1" applyFill="1"/>
    <xf numFmtId="44" fontId="21" fillId="5" borderId="0" xfId="6" applyFont="1" applyFill="1" applyBorder="1"/>
    <xf numFmtId="167" fontId="21" fillId="5" borderId="0" xfId="6" applyNumberFormat="1" applyFont="1" applyFill="1" applyBorder="1"/>
    <xf numFmtId="0" fontId="22" fillId="5" borderId="0" xfId="0" applyFont="1" applyFill="1"/>
    <xf numFmtId="41" fontId="13" fillId="5" borderId="0" xfId="0" applyNumberFormat="1" applyFont="1" applyFill="1"/>
    <xf numFmtId="41" fontId="6" fillId="5" borderId="0" xfId="0" applyNumberFormat="1" applyFont="1" applyFill="1"/>
    <xf numFmtId="164" fontId="0" fillId="5" borderId="0" xfId="0" applyNumberFormat="1" applyFill="1"/>
    <xf numFmtId="44" fontId="2" fillId="5" borderId="8" xfId="6" applyFont="1" applyFill="1" applyBorder="1"/>
    <xf numFmtId="44" fontId="13" fillId="5" borderId="8" xfId="6" applyFont="1" applyFill="1" applyBorder="1"/>
    <xf numFmtId="44" fontId="23" fillId="5" borderId="10" xfId="6" applyFont="1" applyFill="1" applyBorder="1"/>
    <xf numFmtId="44" fontId="23" fillId="5" borderId="8" xfId="6" applyFont="1" applyFill="1" applyBorder="1"/>
    <xf numFmtId="165" fontId="0" fillId="5" borderId="0" xfId="6" applyNumberFormat="1" applyFont="1" applyFill="1" applyBorder="1"/>
    <xf numFmtId="44" fontId="37" fillId="5" borderId="8" xfId="6" applyFont="1" applyFill="1" applyBorder="1"/>
    <xf numFmtId="8" fontId="0" fillId="5" borderId="0" xfId="0" applyNumberFormat="1" applyFill="1"/>
    <xf numFmtId="44" fontId="38" fillId="5" borderId="8" xfId="6" applyFont="1" applyFill="1" applyBorder="1"/>
    <xf numFmtId="165" fontId="2" fillId="5" borderId="0" xfId="6" applyNumberFormat="1" applyFont="1" applyFill="1" applyBorder="1"/>
    <xf numFmtId="44" fontId="23" fillId="5" borderId="13" xfId="6" applyFont="1" applyFill="1" applyBorder="1"/>
  </cellXfs>
  <cellStyles count="144">
    <cellStyle name="20% - Accent1" xfId="25" builtinId="30" customBuiltin="1"/>
    <cellStyle name="20% - Accent1 2" xfId="102" xr:uid="{CC980577-8C30-4F18-B807-44491E7E7BD5}"/>
    <cellStyle name="20% - Accent2" xfId="28" builtinId="34" customBuiltin="1"/>
    <cellStyle name="20% - Accent2 2" xfId="106" xr:uid="{4A189918-1C7B-485E-90F8-A0DA115BE490}"/>
    <cellStyle name="20% - Accent3" xfId="31" builtinId="38" customBuiltin="1"/>
    <cellStyle name="20% - Accent3 2" xfId="110" xr:uid="{C1418E63-387F-4FD8-826E-C8255E5FAD67}"/>
    <cellStyle name="20% - Accent4" xfId="34" builtinId="42" customBuiltin="1"/>
    <cellStyle name="20% - Accent4 2" xfId="114" xr:uid="{C3FF7213-A5C3-448C-9281-A6A46D73AF13}"/>
    <cellStyle name="20% - Accent5" xfId="37" builtinId="46" customBuiltin="1"/>
    <cellStyle name="20% - Accent5 2" xfId="118" xr:uid="{42001554-06A5-489B-BAE5-1A2201D5C4DA}"/>
    <cellStyle name="20% - Accent6" xfId="40" builtinId="50" customBuiltin="1"/>
    <cellStyle name="20% - Accent6 2" xfId="122" xr:uid="{AB464BFB-5497-4A53-BB8D-246CC4A64C06}"/>
    <cellStyle name="40% - Accent1" xfId="26" builtinId="31" customBuiltin="1"/>
    <cellStyle name="40% - Accent1 2" xfId="103" xr:uid="{1CC3C96D-B89E-44D2-BCB4-A3821B4ED018}"/>
    <cellStyle name="40% - Accent2" xfId="29" builtinId="35" customBuiltin="1"/>
    <cellStyle name="40% - Accent2 2" xfId="107" xr:uid="{449AE550-087B-4D67-A4FD-3BA04FC7B007}"/>
    <cellStyle name="40% - Accent3" xfId="32" builtinId="39" customBuiltin="1"/>
    <cellStyle name="40% - Accent3 2" xfId="111" xr:uid="{C71232C6-7D88-400F-9FAC-E466D914B1D0}"/>
    <cellStyle name="40% - Accent4" xfId="35" builtinId="43" customBuiltin="1"/>
    <cellStyle name="40% - Accent4 2" xfId="115" xr:uid="{D52FFEA3-225C-46EB-BAB6-90026B0D21E0}"/>
    <cellStyle name="40% - Accent5" xfId="38" builtinId="47" customBuiltin="1"/>
    <cellStyle name="40% - Accent5 2" xfId="119" xr:uid="{70EA22AA-AC67-4D2D-BBB1-414F587176DC}"/>
    <cellStyle name="40% - Accent6" xfId="41" builtinId="51" customBuiltin="1"/>
    <cellStyle name="40% - Accent6 2" xfId="123" xr:uid="{D0E52D66-72A4-4A26-B915-5A3015743ABD}"/>
    <cellStyle name="60% - Accent1 2" xfId="104" xr:uid="{94981849-FC34-4038-A579-54184CEEFD7A}"/>
    <cellStyle name="60% - Accent1 2 2" xfId="136" xr:uid="{0A7AC804-76C8-4B40-A997-99ED6369C2BD}"/>
    <cellStyle name="60% - Accent1 3" xfId="129" xr:uid="{061D90B8-441F-485A-8F61-A351AA2C1FDB}"/>
    <cellStyle name="60% - Accent1 4" xfId="47" xr:uid="{695BFD9E-1BFA-4268-B4C2-EFB99EE287A0}"/>
    <cellStyle name="60% - Accent2 2" xfId="108" xr:uid="{323A9138-726A-4604-9E7C-9A85751117A4}"/>
    <cellStyle name="60% - Accent2 2 2" xfId="137" xr:uid="{6967B55E-91DB-4B99-85D1-E23A764FE905}"/>
    <cellStyle name="60% - Accent2 3" xfId="130" xr:uid="{D8CA0308-D44E-460B-8C98-B61751E840C6}"/>
    <cellStyle name="60% - Accent2 4" xfId="48" xr:uid="{865BD817-4EA5-4D41-A56D-EB45750A2884}"/>
    <cellStyle name="60% - Accent3 2" xfId="112" xr:uid="{3510F9EE-BEBE-4A4A-A7B4-7733B9044237}"/>
    <cellStyle name="60% - Accent3 2 2" xfId="138" xr:uid="{E4DC1597-F34B-4EB6-BB8E-EE7663DA78F0}"/>
    <cellStyle name="60% - Accent3 3" xfId="131" xr:uid="{20A83755-6270-4AD4-9F96-62ACF8A5CE19}"/>
    <cellStyle name="60% - Accent3 4" xfId="49" xr:uid="{68F58C16-8EA0-43F1-B2BF-0F047527FA1C}"/>
    <cellStyle name="60% - Accent4 2" xfId="116" xr:uid="{075A25EA-8918-4C04-A990-52CC3DAA5656}"/>
    <cellStyle name="60% - Accent4 2 2" xfId="139" xr:uid="{2C72EE96-60F6-48A1-B42F-856AABEE3994}"/>
    <cellStyle name="60% - Accent4 3" xfId="132" xr:uid="{406AF879-1DD3-4B8E-AB45-025BE791AF6A}"/>
    <cellStyle name="60% - Accent4 4" xfId="50" xr:uid="{4248F565-0563-453D-BB5E-D6E90C64BDBC}"/>
    <cellStyle name="60% - Accent5 2" xfId="120" xr:uid="{A81CD26B-0AAD-489B-B9F1-7DF73CA24DC8}"/>
    <cellStyle name="60% - Accent5 2 2" xfId="140" xr:uid="{867C0709-1B68-42A8-91C5-3FCDB8B6415A}"/>
    <cellStyle name="60% - Accent5 3" xfId="133" xr:uid="{E8F148BD-5EC6-4B6B-86DC-B0C261041EC7}"/>
    <cellStyle name="60% - Accent5 4" xfId="51" xr:uid="{865A468D-8700-4016-A04F-4D0E675C5191}"/>
    <cellStyle name="60% - Accent6 2" xfId="124" xr:uid="{F7A86234-D305-4375-82AE-B91C1FCD6065}"/>
    <cellStyle name="60% - Accent6 2 2" xfId="141" xr:uid="{0EA946BF-0114-4B4D-A7D9-99E8CB7F3A11}"/>
    <cellStyle name="60% - Accent6 3" xfId="134" xr:uid="{6F233BB4-48EA-40C1-81C5-0DC1727DFF72}"/>
    <cellStyle name="60% - Accent6 4" xfId="52" xr:uid="{695A3079-5AD1-473F-959B-22BD88DFE8A0}"/>
    <cellStyle name="Accent1" xfId="24" builtinId="29" customBuiltin="1"/>
    <cellStyle name="Accent1 2" xfId="101" xr:uid="{A691F1A5-9A14-44D7-9FA0-DE6925004ED8}"/>
    <cellStyle name="Accent2" xfId="27" builtinId="33" customBuiltin="1"/>
    <cellStyle name="Accent2 2" xfId="105" xr:uid="{1E0FE47E-8E60-4C4C-869F-92BB27DCF7D0}"/>
    <cellStyle name="Accent3" xfId="30" builtinId="37" customBuiltin="1"/>
    <cellStyle name="Accent3 2" xfId="109" xr:uid="{4952F5CF-A4B9-4BED-86E2-4CA051285475}"/>
    <cellStyle name="Accent4" xfId="33" builtinId="41" customBuiltin="1"/>
    <cellStyle name="Accent4 2" xfId="113" xr:uid="{C8E1F4E6-5BDA-4EFA-BFD1-3AB6B88384CD}"/>
    <cellStyle name="Accent5" xfId="36" builtinId="45" customBuiltin="1"/>
    <cellStyle name="Accent5 2" xfId="117" xr:uid="{E3E1E537-7DD6-4D35-BD11-B68017ED1FC7}"/>
    <cellStyle name="Accent6" xfId="39" builtinId="49" customBuiltin="1"/>
    <cellStyle name="Accent6 2" xfId="121" xr:uid="{57616CC8-1BFD-4529-9A9B-3B5779A903A6}"/>
    <cellStyle name="Bad" xfId="16" builtinId="27" customBuiltin="1"/>
    <cellStyle name="Bad 2" xfId="90" xr:uid="{3A99F7ED-8C33-4119-8EE0-92426835FBA5}"/>
    <cellStyle name="Calculation" xfId="19" builtinId="22" customBuiltin="1"/>
    <cellStyle name="Calculation 2" xfId="94" xr:uid="{9F5E9207-CEB1-43F8-961D-596881E6CABA}"/>
    <cellStyle name="Check Cell" xfId="21" builtinId="23" customBuiltin="1"/>
    <cellStyle name="Check Cell 2" xfId="96" xr:uid="{F1AA0957-294A-4415-8520-8EFF0DD262DA}"/>
    <cellStyle name="Comma" xfId="2" builtinId="3"/>
    <cellStyle name="Comma 2" xfId="10" xr:uid="{00000000-0005-0000-0000-000001000000}"/>
    <cellStyle name="Comma 2 2" xfId="126" xr:uid="{D3FFCDEA-BB01-43B8-88CD-C7394CEF5151}"/>
    <cellStyle name="Comma 2 3" xfId="59" xr:uid="{868F7DE1-E372-46D4-A5B9-67D5F9051B21}"/>
    <cellStyle name="Comma 3" xfId="56" xr:uid="{5B4BDFB0-37A9-4CA1-9FBB-B85F0756512F}"/>
    <cellStyle name="Comma 4" xfId="60" xr:uid="{E8D2CD29-7023-461C-9ED3-B8C5D3E05626}"/>
    <cellStyle name="Comma 5" xfId="84" xr:uid="{F168B6D7-BA72-4924-979B-EAA3CDF37243}"/>
    <cellStyle name="Comma 6" xfId="53" xr:uid="{F9A75608-BB2E-49D7-9CF4-DB9107D1BD84}"/>
    <cellStyle name="Currency" xfId="3" builtinId="4"/>
    <cellStyle name="Currency 2" xfId="6" xr:uid="{00000000-0005-0000-0000-000003000000}"/>
    <cellStyle name="Currency 2 2" xfId="61" xr:uid="{5536AB95-289D-4CD8-BA5C-15F1AC53623E}"/>
    <cellStyle name="Currency 3" xfId="62" xr:uid="{2D333A64-0125-4C94-82C1-C5776E2070F2}"/>
    <cellStyle name="Currency 4" xfId="63" xr:uid="{9DC1E5CF-91CE-4253-856B-C37658D27EAC}"/>
    <cellStyle name="Currency 5" xfId="7" xr:uid="{00000000-0005-0000-0000-000004000000}"/>
    <cellStyle name="Currency 6" xfId="8" xr:uid="{00000000-0005-0000-0000-000005000000}"/>
    <cellStyle name="Currency 7" xfId="54" xr:uid="{254D8FCB-E330-4C4A-905E-25927B04F5AE}"/>
    <cellStyle name="Explanatory Text" xfId="23" builtinId="53" customBuiltin="1"/>
    <cellStyle name="Explanatory Text 2" xfId="99" xr:uid="{A595847A-3113-4935-B22B-3CA98C30DF6D}"/>
    <cellStyle name="Good" xfId="15" builtinId="26" customBuiltin="1"/>
    <cellStyle name="Good 2" xfId="89" xr:uid="{10B3B809-00BA-4E82-AE3F-DB7BB3FB19BC}"/>
    <cellStyle name="Heading 1" xfId="11" builtinId="16" customBuiltin="1"/>
    <cellStyle name="Heading 1 2" xfId="85" xr:uid="{A7E206CF-C9D6-489C-A72D-50CF2DFF569C}"/>
    <cellStyle name="Heading 2" xfId="12" builtinId="17" customBuiltin="1"/>
    <cellStyle name="Heading 2 2" xfId="86" xr:uid="{CB267CBA-4E7F-4F9B-87FA-2619AC555704}"/>
    <cellStyle name="Heading 3" xfId="13" builtinId="18" customBuiltin="1"/>
    <cellStyle name="Heading 3 2" xfId="87" xr:uid="{A76FC550-1611-446F-A8E3-05B9B5347DBA}"/>
    <cellStyle name="Heading 4" xfId="14" builtinId="19" customBuiltin="1"/>
    <cellStyle name="Heading 4 2" xfId="88" xr:uid="{EED7A23F-ADF6-455A-A253-68F0D545CD99}"/>
    <cellStyle name="Input" xfId="17" builtinId="20" customBuiltin="1"/>
    <cellStyle name="Input 2" xfId="92" xr:uid="{78774FA4-9842-4FAB-8FD1-45AEE94F2AB7}"/>
    <cellStyle name="Lines" xfId="64" xr:uid="{A7B86684-C66E-462F-8A38-56A7FC781589}"/>
    <cellStyle name="Linked Cell" xfId="20" builtinId="24" customBuiltin="1"/>
    <cellStyle name="Linked Cell 2" xfId="95" xr:uid="{3C5810F0-5892-4FFF-92F9-04AFD54948EF}"/>
    <cellStyle name="Neutral 2" xfId="91" xr:uid="{3A05FAA9-3385-4678-A9EF-9C2B1FA2FF32}"/>
    <cellStyle name="Neutral 2 2" xfId="135" xr:uid="{EE6E095C-BFCC-417F-9994-24F8AD4513E2}"/>
    <cellStyle name="Neutral 3" xfId="128" xr:uid="{80F914D7-8364-4A79-B89F-46DA5BB7C2C7}"/>
    <cellStyle name="Neutral 4" xfId="44" xr:uid="{00203F79-111D-449C-8310-2138DB34188A}"/>
    <cellStyle name="Normal" xfId="0" builtinId="0"/>
    <cellStyle name="Normal 10" xfId="42" xr:uid="{C66A3ADC-449B-4F73-A4B0-7DDFBCA6DD49}"/>
    <cellStyle name="Normal 2" xfId="65" xr:uid="{146F9224-8756-46CC-A6D1-1D187E521264}"/>
    <cellStyle name="Normal 2 2" xfId="125" xr:uid="{B157C294-1CE4-4F7A-ACB8-09331811AA66}"/>
    <cellStyle name="Normal 2 3" xfId="142" xr:uid="{11D1E6F4-7AD9-4572-BCD7-8D732A7FF92A}"/>
    <cellStyle name="Normal 3" xfId="4" xr:uid="{00000000-0005-0000-0000-000007000000}"/>
    <cellStyle name="Normal 3 2" xfId="66" xr:uid="{70C863C1-3C85-4D29-A11D-D1567D12D280}"/>
    <cellStyle name="Normal 4" xfId="67" xr:uid="{62052191-CD3C-4A50-A268-C27068B680C1}"/>
    <cellStyle name="Normal 5" xfId="68" xr:uid="{40EF837E-D271-4293-AA87-41108CBC8642}"/>
    <cellStyle name="Normal 6" xfId="69" xr:uid="{BC33BE21-F2AF-4650-890D-B31871FEC1A4}"/>
    <cellStyle name="Normal 7" xfId="57" xr:uid="{DD350831-205D-40B4-9527-FCE935EAA643}"/>
    <cellStyle name="Normal 8" xfId="70" xr:uid="{0FB22ACC-234C-42C2-96F1-AF46C2AD574A}"/>
    <cellStyle name="Normal 9" xfId="83" xr:uid="{7B5BB1AF-AF37-4076-B523-EAEEC95ADDF6}"/>
    <cellStyle name="Note 2" xfId="98" xr:uid="{006D351E-8C97-4A96-9E98-030408E4933E}"/>
    <cellStyle name="Note 3" xfId="45" xr:uid="{BF6BA899-1848-416B-A0C5-0668CCCF36CB}"/>
    <cellStyle name="Output" xfId="18" builtinId="21" customBuiltin="1"/>
    <cellStyle name="Output 2" xfId="93" xr:uid="{6AC2F22C-2C85-4D3E-ACFB-B6C6F786D7B1}"/>
    <cellStyle name="Percent" xfId="5" builtinId="5"/>
    <cellStyle name="Percent 2" xfId="71" xr:uid="{7EA2DE51-E5C5-4654-BE6A-B386AA411CBA}"/>
    <cellStyle name="Percent 2 2" xfId="143" xr:uid="{6F9ED8EC-C9CF-4365-9100-0C4EB8CCFB1B}"/>
    <cellStyle name="Percent 3" xfId="72" xr:uid="{EA3704A0-49D2-4285-9C28-560E8111F6E4}"/>
    <cellStyle name="Percent 4" xfId="9" xr:uid="{00000000-0005-0000-0000-000009000000}"/>
    <cellStyle name="Percent 4 2" xfId="73" xr:uid="{362C1F86-15B5-4216-B2A1-70017B9A1DFB}"/>
    <cellStyle name="Percent 5" xfId="58" xr:uid="{CF5C0075-1A0E-4170-81A5-243D8BAFF1ED}"/>
    <cellStyle name="Percent 6" xfId="74" xr:uid="{1E481C37-0665-4F17-98E5-D6970A0DD17B}"/>
    <cellStyle name="Percent 7" xfId="55" xr:uid="{44D54147-D4B4-49E7-B224-D15852C89482}"/>
    <cellStyle name="PS_Comma" xfId="75" xr:uid="{494F7917-3D81-4AD0-972F-67E06527F14A}"/>
    <cellStyle name="PSChar" xfId="76" xr:uid="{C73F4267-F5F2-44DA-B7C8-0BD3537A7FE4}"/>
    <cellStyle name="PSDate" xfId="77" xr:uid="{92A380DF-9D08-45C4-8012-265275B3F488}"/>
    <cellStyle name="PSDec" xfId="78" xr:uid="{75742EE4-C22B-4FD4-928F-D7C5CCF7CDE3}"/>
    <cellStyle name="PSHeading" xfId="79" xr:uid="{2E57AD6B-45B2-4517-85A3-1DB47F785293}"/>
    <cellStyle name="PSInt" xfId="80" xr:uid="{163605B1-0643-486A-AA67-89F9BCBA97A8}"/>
    <cellStyle name="PSSpacer" xfId="81" xr:uid="{D0588ABE-CE5C-4586-B4C5-7FDE34BD8089}"/>
    <cellStyle name="Title 2" xfId="127" xr:uid="{59F98C8F-B2FE-482E-AF8F-F02A3585170D}"/>
    <cellStyle name="Title 3" xfId="43" xr:uid="{E6FB296F-418E-4F8D-ACF0-60A24F290CAB}"/>
    <cellStyle name="Total" xfId="1" builtinId="25" customBuiltin="1"/>
    <cellStyle name="Total 2" xfId="100" xr:uid="{D91E82D5-7AAB-44D0-BE5C-75539DFED8AE}"/>
    <cellStyle name="Total 3" xfId="46" xr:uid="{7C920D0E-1664-4570-9E3B-99AC544475AB}"/>
    <cellStyle name="Warning Text" xfId="22" builtinId="11" customBuiltin="1"/>
    <cellStyle name="Warning Text 2" xfId="97" xr:uid="{95CF6C9A-C5E5-41E0-BDD9-ECB63DF52B08}"/>
    <cellStyle name="WM_STANDARD" xfId="82" xr:uid="{CEDFD66C-E0D6-4023-859E-49418CA1F523}"/>
  </cellStyles>
  <dxfs count="0"/>
  <tableStyles count="1" defaultTableStyle="TableStyleMedium9" defaultPivotStyle="PivotStyleLight16">
    <tableStyle name="Invisible" pivot="0" table="0" count="0" xr9:uid="{0A8D9558-06F2-4412-A36C-C009E261980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rmest\AppData\Local\Microsoft\Windows\INetCache\Content.Outlook\UGAOJRTF\K133-LGM-9000M-WA0021%20-%20JMK%20Residential%20Passback%2012.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2024%20CRC%20Passback_8.2024.xlsx" TargetMode="External"/><Relationship Id="rId1" Type="http://schemas.openxmlformats.org/officeDocument/2006/relationships/externalLinkPath" Target="file:///C:\Users\eburmest\AppData\Local\Microsoft\Windows\INetCache\Content.Outlook\IC4FR9HZ\2024%20CRC%20Passback_8.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Tonnage%20Analysis\BRA%20TA%20September%2023.csv" TargetMode="External"/><Relationship Id="rId1" Type="http://schemas.openxmlformats.org/officeDocument/2006/relationships/externalLinkPath" Target="Source%20Data/Tonnage%20Analysis/BRA%20TA%20September%2023.csv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Tonnage%20Analysis\BRA%20TA%20October%2023.csv" TargetMode="External"/><Relationship Id="rId1" Type="http://schemas.openxmlformats.org/officeDocument/2006/relationships/externalLinkPath" Target="Source%20Data/Tonnage%20Analysis/BRA%20TA%20October%2023.csv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Tonnage%20Analysis\BRA%20TA%20November%2023.csv" TargetMode="External"/><Relationship Id="rId1" Type="http://schemas.openxmlformats.org/officeDocument/2006/relationships/externalLinkPath" Target="Source%20Data/Tonnage%20Analysis/BRA%20TA%20November%2023.csv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Tonnage%20Analysis\BRA%20TA%20December%2023.csv" TargetMode="External"/><Relationship Id="rId1" Type="http://schemas.openxmlformats.org/officeDocument/2006/relationships/externalLinkPath" Target="Source%20Data/Tonnage%20Analysis/BRA%20TA%20December%2023.csv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Tonnage%20Analysis\BRA%20TA%20January%2024.xlsx" TargetMode="External"/><Relationship Id="rId1" Type="http://schemas.openxmlformats.org/officeDocument/2006/relationships/externalLinkPath" Target="Source%20Data/Tonnage%20Analysis/BRA%20TA%20January%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Tonnage%20Analysis\BRA%20TA%20February%2024.xlsx" TargetMode="External"/><Relationship Id="rId1" Type="http://schemas.openxmlformats.org/officeDocument/2006/relationships/externalLinkPath" Target="Source%20Data/Tonnage%20Analysis/BRA%20TA%20February%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Tonnage%20Analysis\BRA%20TA%20March%2024.csv" TargetMode="External"/><Relationship Id="rId1" Type="http://schemas.openxmlformats.org/officeDocument/2006/relationships/externalLinkPath" Target="Source%20Data/Tonnage%20Analysis/BRA%20TA%20March%2024.csv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Tonnage%20Analysis\BRA%20TA%20April%2024.csv" TargetMode="External"/><Relationship Id="rId1" Type="http://schemas.openxmlformats.org/officeDocument/2006/relationships/externalLinkPath" Target="Source%20Data/Tonnage%20Analysis/BRA%20TA%20April%2024.csv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Tonnage%20Analysis\BRA%20TA%20May%2024.csv" TargetMode="External"/><Relationship Id="rId1" Type="http://schemas.openxmlformats.org/officeDocument/2006/relationships/externalLinkPath" Target="Source%20Data/Tonnage%20Analysis/BRA%20TA%20May%2024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3%20Recycling%20Acctg%20Analysis\12-2023\2023%20CRC%20Passback_Dec%20-%20updated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Tonnage%20Analysis\BRA%20TA%20June%2024.csv" TargetMode="External"/><Relationship Id="rId1" Type="http://schemas.openxmlformats.org/officeDocument/2006/relationships/externalLinkPath" Target="Source%20Data/Tonnage%20Analysis/BRA%20TA%20June%2024.csv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rmest\AppData\Local\Microsoft\Windows\INetCache\Content.Outlook\UGAOJRTF\2024%20JMK%20Passback_Jan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4%20Recycling%20Acctg%20Analysis\03-2024\K133-LGM-9000M-WA0021%20-%20JMK%20Residential%20Passback%2003.2024.xlsx" TargetMode="External"/><Relationship Id="rId1" Type="http://schemas.openxmlformats.org/officeDocument/2006/relationships/externalLinkPath" Target="file:///\\Txhous10fps01\WAKIRK03FPS01\Group\Finance\ACCT\Recycling%20Accounting%20Analysis\2024%20Recycling%20Acctg%20Analysis\03-2024\K133-LGM-9000M-WA0021%20-%20JMK%20Residential%20Passback%2003.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4%20Recycling%20Acctg%20Analysis\04-2024\K133-LGM-9000M-WA0021%20-%20JMK%20Residential%20Passback%2004.2024.xlsx" TargetMode="External"/><Relationship Id="rId1" Type="http://schemas.openxmlformats.org/officeDocument/2006/relationships/externalLinkPath" Target="file:///\\Txhous10fps01\WAKIRK03FPS01\Group\Finance\ACCT\Recycling%20Accounting%20Analysis\2024%20Recycling%20Acctg%20Analysis\04-2024\K133-LGM-9000M-WA0021%20-%20JMK%20Residential%20Passback%2004.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4%20Recycling%20Acctg%20Analysis\05-2024\K133-LGM-9000M-WA0021%20-%20JMK%20Residential%20Passback%2005.2024.xlsx" TargetMode="External"/><Relationship Id="rId1" Type="http://schemas.openxmlformats.org/officeDocument/2006/relationships/externalLinkPath" Target="file:///\\Txhous10fps01\WAKIRK03FPS01\Group\Finance\ACCT\Recycling%20Accounting%20Analysis\2024%20Recycling%20Acctg%20Analysis\05-2024\K133-LGM-9000M-WA0021%20-%20JMK%20Residential%20Passback%2005.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K133-LGM-9000M-WA0021%20-%20JMK%20Residential%20Passback%2007.2024.xlsx" TargetMode="External"/><Relationship Id="rId1" Type="http://schemas.openxmlformats.org/officeDocument/2006/relationships/externalLinkPath" Target="file:///C:\Users\eburmest\AppData\Local\Microsoft\Windows\INetCache\Content.Outlook\IC4FR9HZ\K133-LGM-9000M-WA0021%20-%20JMK%20Residential%20Passback%2007.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K133-LGM-9000M-WA0021%20-%20JMK%20Residential%20Passback%2008.2024.xlsx" TargetMode="External"/><Relationship Id="rId1" Type="http://schemas.openxmlformats.org/officeDocument/2006/relationships/externalLinkPath" Target="file:///C:\Users\eburmest\AppData\Local\Microsoft\Windows\INetCache\Content.Outlook\IC4FR9HZ\K133-LGM-9000M-WA0021%20-%20JMK%20Residential%20Passback%2008.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Customer%20Counts\BRA%20CC%20September%20%2023.csv" TargetMode="External"/><Relationship Id="rId1" Type="http://schemas.openxmlformats.org/officeDocument/2006/relationships/externalLinkPath" Target="Source%20Data/Customer%20Counts/BRA%20CC%20September%20%2023.csv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Customer%20Counts\BRA%20CC%20October%2023.csv" TargetMode="External"/><Relationship Id="rId1" Type="http://schemas.openxmlformats.org/officeDocument/2006/relationships/externalLinkPath" Target="Source%20Data/Customer%20Counts/BRA%20CC%20October%2023.csv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Customer%20Counts\BRA%20CC%20November%2023.csv" TargetMode="External"/><Relationship Id="rId1" Type="http://schemas.openxmlformats.org/officeDocument/2006/relationships/externalLinkPath" Target="Source%20Data/Customer%20Counts/BRA%20CC%20November%2023.csv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rmest\AppData\Local\Microsoft\Windows\INetCache\Content.Outlook\UGAOJRTF\2024%20CRC%20Passback_Jan.xlsx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Customer%20Counts\BRA%20CC%20December%2023.csv" TargetMode="External"/><Relationship Id="rId1" Type="http://schemas.openxmlformats.org/officeDocument/2006/relationships/externalLinkPath" Target="Source%20Data/Customer%20Counts/BRA%20CC%20December%2023.csv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Customer%20Counts\BRA%20CC%20January%2024.xlsx" TargetMode="External"/><Relationship Id="rId1" Type="http://schemas.openxmlformats.org/officeDocument/2006/relationships/externalLinkPath" Target="Source%20Data/Customer%20Counts/BRA%20CC%20January%2024.xlsx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Customer%20Counts\BRA%20CC%20February%2024.xlsx" TargetMode="External"/><Relationship Id="rId1" Type="http://schemas.openxmlformats.org/officeDocument/2006/relationships/externalLinkPath" Target="Source%20Data/Customer%20Counts/BRA%20CC%20February%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Customer%20Counts\BRA%20CC%20March%2024.csv" TargetMode="External"/><Relationship Id="rId1" Type="http://schemas.openxmlformats.org/officeDocument/2006/relationships/externalLinkPath" Target="Source%20Data/Customer%20Counts/BRA%20CC%20March%2024.csv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Customer%20Counts\BRA%20CC%20April%2024.csv" TargetMode="External"/><Relationship Id="rId1" Type="http://schemas.openxmlformats.org/officeDocument/2006/relationships/externalLinkPath" Target="Source%20Data/Customer%20Counts/BRA%20CC%20April%2024.csv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Bremerton\Source%20Data\Customer%20Counts\BRA%20CC%20May%2024.csv" TargetMode="External"/><Relationship Id="rId1" Type="http://schemas.openxmlformats.org/officeDocument/2006/relationships/externalLinkPath" Target="Source%20Data/Customer%20Counts/BRA%20CC%20May%2024.csv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2023%20CRC%20Passback_2.2024%20v2%20Accounting.xlsx" TargetMode="External"/><Relationship Id="rId1" Type="http://schemas.openxmlformats.org/officeDocument/2006/relationships/externalLinkPath" Target="file:///C:\Users\eburmest\AppData\Local\Microsoft\Windows\INetCache\Content.Outlook\IC4FR9HZ\2023%20CRC%20Passback_2.2024%20v2%20Accounting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Downloads\2023%20CRC%20Passback_3.2024.xlsx" TargetMode="External"/><Relationship Id="rId1" Type="http://schemas.openxmlformats.org/officeDocument/2006/relationships/externalLinkPath" Target="file:///C:\Users\eburmest\Downloads\2023%20CRC%20Passback_3.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Downloads\2023%20CRC%20Passback_4.2024.xlsx" TargetMode="External"/><Relationship Id="rId1" Type="http://schemas.openxmlformats.org/officeDocument/2006/relationships/externalLinkPath" Target="file:///C:\Users\eburmest\Downloads\2023%20CRC%20Passback_4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2023%20CRC%20Passback_5.2024.xlsx" TargetMode="External"/><Relationship Id="rId1" Type="http://schemas.openxmlformats.org/officeDocument/2006/relationships/externalLinkPath" Target="file:///C:\Users\eburmest\AppData\Local\Microsoft\Windows\INetCache\Content.Outlook\IC4FR9HZ\2023%20CRC%20Passback_5.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2024%20CRC%20Passback_6.2024.xlsx" TargetMode="External"/><Relationship Id="rId1" Type="http://schemas.openxmlformats.org/officeDocument/2006/relationships/externalLinkPath" Target="file:///C:\Users\eburmest\AppData\Local\Microsoft\Windows\INetCache\Content.Outlook\IC4FR9HZ\2024%20CRC%20Passback_6.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2024%20CRC%20Passback_7.2024.xlsx" TargetMode="External"/><Relationship Id="rId1" Type="http://schemas.openxmlformats.org/officeDocument/2006/relationships/externalLinkPath" Target="file:///C:\Users\eburmest\AppData\Local\Microsoft\Windows\INetCache\Content.Outlook\IC4FR9HZ\2024%20CRC%20Passback_7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 refreshError="1"/>
      <sheetData sheetId="1">
        <row r="6">
          <cell r="R6">
            <v>0</v>
          </cell>
        </row>
        <row r="7">
          <cell r="R7">
            <v>1554.5447657581449</v>
          </cell>
        </row>
        <row r="8">
          <cell r="R8">
            <v>2026.6299742419017</v>
          </cell>
        </row>
        <row r="9">
          <cell r="R9">
            <v>67.615139081433099</v>
          </cell>
        </row>
        <row r="10">
          <cell r="R10">
            <v>757.91850661473779</v>
          </cell>
        </row>
        <row r="11">
          <cell r="R11">
            <v>98.499914437647206</v>
          </cell>
        </row>
        <row r="12">
          <cell r="R12">
            <v>23.75703872701407</v>
          </cell>
        </row>
        <row r="13">
          <cell r="R13">
            <v>32.642351275113334</v>
          </cell>
        </row>
        <row r="14">
          <cell r="R14">
            <v>13.876477271792606</v>
          </cell>
        </row>
        <row r="15">
          <cell r="R15">
            <v>11.54390086590988</v>
          </cell>
        </row>
        <row r="16">
          <cell r="R16">
            <v>2.3558841493047269</v>
          </cell>
        </row>
        <row r="17">
          <cell r="R17">
            <v>3.0007276668219127</v>
          </cell>
        </row>
        <row r="18">
          <cell r="R18">
            <v>78.674498682692217</v>
          </cell>
        </row>
        <row r="20">
          <cell r="R20">
            <v>671.80159361269693</v>
          </cell>
        </row>
      </sheetData>
      <sheetData sheetId="2" refreshError="1"/>
      <sheetData sheetId="3" refreshError="1"/>
      <sheetData sheetId="4">
        <row r="13">
          <cell r="B13">
            <v>0</v>
          </cell>
        </row>
        <row r="14">
          <cell r="B14">
            <v>0</v>
          </cell>
          <cell r="C14">
            <v>56.75</v>
          </cell>
          <cell r="D14">
            <v>140.37</v>
          </cell>
          <cell r="E14">
            <v>1360.06</v>
          </cell>
          <cell r="F14">
            <v>201.66</v>
          </cell>
          <cell r="G14">
            <v>-22.45</v>
          </cell>
          <cell r="H14">
            <v>120</v>
          </cell>
          <cell r="J14">
            <v>540</v>
          </cell>
          <cell r="K14">
            <v>300</v>
          </cell>
          <cell r="L14">
            <v>-187.5</v>
          </cell>
        </row>
        <row r="15">
          <cell r="B15">
            <v>0</v>
          </cell>
          <cell r="C15">
            <v>56.86</v>
          </cell>
          <cell r="D15">
            <v>148.05000000000001</v>
          </cell>
          <cell r="E15">
            <v>1417.34</v>
          </cell>
          <cell r="F15">
            <v>219.28</v>
          </cell>
          <cell r="G15">
            <v>-27.75</v>
          </cell>
          <cell r="H15">
            <v>126.47</v>
          </cell>
          <cell r="J15">
            <v>553.85</v>
          </cell>
          <cell r="K15">
            <v>320</v>
          </cell>
          <cell r="L15">
            <v>187.5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P6">
            <v>888.02</v>
          </cell>
        </row>
        <row r="7">
          <cell r="P7">
            <v>2492.2999999999997</v>
          </cell>
        </row>
        <row r="8">
          <cell r="P8">
            <v>2140.6120000000001</v>
          </cell>
        </row>
        <row r="9">
          <cell r="P9">
            <v>156.291</v>
          </cell>
        </row>
        <row r="10">
          <cell r="P10">
            <v>1630.5649999999998</v>
          </cell>
        </row>
        <row r="11">
          <cell r="P11">
            <v>372.03999999999996</v>
          </cell>
        </row>
        <row r="12">
          <cell r="P12">
            <v>50.629999999999995</v>
          </cell>
        </row>
        <row r="13">
          <cell r="P13">
            <v>96.24</v>
          </cell>
        </row>
        <row r="15">
          <cell r="P15">
            <v>71.91</v>
          </cell>
        </row>
        <row r="16">
          <cell r="P16">
            <v>23.64</v>
          </cell>
        </row>
        <row r="18">
          <cell r="P18">
            <v>126.04</v>
          </cell>
        </row>
        <row r="19">
          <cell r="P19">
            <v>149.63</v>
          </cell>
        </row>
        <row r="20">
          <cell r="P20">
            <v>2137.64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TA September 23"/>
    </sheetNames>
    <sheetDataSet>
      <sheetData sheetId="0">
        <row r="3">
          <cell r="E3">
            <v>701.90877977096295</v>
          </cell>
          <cell r="G3">
            <v>921.28754969122997</v>
          </cell>
        </row>
        <row r="4">
          <cell r="E4">
            <v>37.396500786460798</v>
          </cell>
          <cell r="G4">
            <v>71.179095078172296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TA October 23"/>
    </sheetNames>
    <sheetDataSet>
      <sheetData sheetId="0">
        <row r="3">
          <cell r="F3">
            <v>750.57054090114605</v>
          </cell>
          <cell r="I3">
            <v>971.85506370676399</v>
          </cell>
        </row>
        <row r="4">
          <cell r="F4">
            <v>38.060059857009001</v>
          </cell>
          <cell r="I4">
            <v>73.289629885517002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TA November 23"/>
    </sheetNames>
    <sheetDataSet>
      <sheetData sheetId="0">
        <row r="3">
          <cell r="E3">
            <v>857.59218843052997</v>
          </cell>
          <cell r="H3">
            <v>1099.8229002329999</v>
          </cell>
        </row>
        <row r="4">
          <cell r="E4">
            <v>43.150588370281298</v>
          </cell>
          <cell r="H4">
            <v>80.128734246521802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TA December 23"/>
    </sheetNames>
    <sheetDataSet>
      <sheetData sheetId="0">
        <row r="3">
          <cell r="E3">
            <v>834.39219401804701</v>
          </cell>
          <cell r="H3">
            <v>1095.1221706532799</v>
          </cell>
        </row>
        <row r="4">
          <cell r="E4">
            <v>42.344512485863099</v>
          </cell>
          <cell r="H4">
            <v>81.188603487335996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Dashboard - MUNI_SHARE p"/>
    </sheetNames>
    <sheetDataSet>
      <sheetData sheetId="0">
        <row r="3">
          <cell r="E3">
            <v>901.06316033382495</v>
          </cell>
          <cell r="H3">
            <v>1199.4330038560499</v>
          </cell>
        </row>
        <row r="4">
          <cell r="E4">
            <v>50.108476345413997</v>
          </cell>
          <cell r="H4">
            <v>93.672853189346796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Dashboard - MUNI_SHARE p"/>
    </sheetNames>
    <sheetDataSet>
      <sheetData sheetId="0">
        <row r="4">
          <cell r="E4">
            <v>39.544519735619197</v>
          </cell>
          <cell r="H4">
            <v>73.996942158882106</v>
          </cell>
        </row>
        <row r="5">
          <cell r="E5">
            <v>784.00391855246096</v>
          </cell>
          <cell r="H5">
            <v>1052.73900021599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TA March 24"/>
    </sheetNames>
    <sheetDataSet>
      <sheetData sheetId="0">
        <row r="3">
          <cell r="E3">
            <v>853.32846670855599</v>
          </cell>
          <cell r="H3">
            <v>1116.33174869042</v>
          </cell>
        </row>
        <row r="4">
          <cell r="E4">
            <v>29.196960542388201</v>
          </cell>
          <cell r="H4">
            <v>56.714602621934802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TA April 24"/>
    </sheetNames>
    <sheetDataSet>
      <sheetData sheetId="0">
        <row r="3">
          <cell r="E3">
            <v>842.57978180836801</v>
          </cell>
          <cell r="H3">
            <v>1086.33953387579</v>
          </cell>
        </row>
        <row r="4">
          <cell r="E4">
            <v>29.089425517941599</v>
          </cell>
          <cell r="H4">
            <v>57.7270833449017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TA May 24"/>
    </sheetNames>
    <sheetDataSet>
      <sheetData sheetId="0">
        <row r="3">
          <cell r="D3">
            <v>890.28820581554703</v>
          </cell>
          <cell r="F3">
            <v>1151.30239101086</v>
          </cell>
        </row>
        <row r="4">
          <cell r="D4">
            <v>31.960149465273201</v>
          </cell>
          <cell r="F4">
            <v>61.541156532402098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Fastlane RETI Inbound"/>
      <sheetName val="Prices"/>
      <sheetName val="Journal Entry"/>
      <sheetName val="SMART Info"/>
      <sheetName val="WM of Marysville"/>
      <sheetName val="WM of Eastmont"/>
      <sheetName val="WM of Skagit"/>
    </sheetNames>
    <sheetDataSet>
      <sheetData sheetId="0" refreshError="1"/>
      <sheetData sheetId="1">
        <row r="6">
          <cell r="T6">
            <v>0</v>
          </cell>
          <cell r="V6">
            <v>0</v>
          </cell>
          <cell r="X6">
            <v>0</v>
          </cell>
        </row>
        <row r="7">
          <cell r="T7">
            <v>1063.6120166574692</v>
          </cell>
          <cell r="V7">
            <v>1803.2334966220142</v>
          </cell>
          <cell r="X7">
            <v>1997.5333716396417</v>
          </cell>
        </row>
        <row r="8">
          <cell r="T8">
            <v>2693.5900192018162</v>
          </cell>
          <cell r="V8">
            <v>1872.3141222985232</v>
          </cell>
          <cell r="X8">
            <v>2488.4380760602344</v>
          </cell>
        </row>
        <row r="9">
          <cell r="T9">
            <v>127.98387578340618</v>
          </cell>
          <cell r="V9">
            <v>58.768153470290088</v>
          </cell>
          <cell r="X9">
            <v>101.66489955057499</v>
          </cell>
        </row>
        <row r="10">
          <cell r="T10">
            <v>1168.556849434018</v>
          </cell>
          <cell r="V10">
            <v>1832.6070095369178</v>
          </cell>
          <cell r="X10">
            <v>2529.6700381910337</v>
          </cell>
        </row>
        <row r="11">
          <cell r="T11">
            <v>219.82225968553189</v>
          </cell>
          <cell r="V11">
            <v>160.89571153383318</v>
          </cell>
          <cell r="X11">
            <v>115.67688981431989</v>
          </cell>
        </row>
        <row r="12">
          <cell r="T12">
            <v>7.151599943121381</v>
          </cell>
          <cell r="V12">
            <v>4.8262753227492681</v>
          </cell>
          <cell r="X12">
            <v>57.748796671371991</v>
          </cell>
        </row>
        <row r="13">
          <cell r="T13">
            <v>38.599417389831245</v>
          </cell>
          <cell r="V13">
            <v>27.981778750235076</v>
          </cell>
          <cell r="X13">
            <v>12.10712844060062</v>
          </cell>
        </row>
        <row r="14">
          <cell r="T14">
            <v>16.640316417024948</v>
          </cell>
          <cell r="V14">
            <v>22.458835197864342</v>
          </cell>
          <cell r="X14">
            <v>37.646774226293665</v>
          </cell>
        </row>
        <row r="15">
          <cell r="T15">
            <v>63.322207131465511</v>
          </cell>
          <cell r="V15">
            <v>47.025607052424512</v>
          </cell>
          <cell r="X15">
            <v>63.058098410562295</v>
          </cell>
        </row>
        <row r="16">
          <cell r="T16">
            <v>17.143595334632554</v>
          </cell>
          <cell r="V16">
            <v>16.919945381623201</v>
          </cell>
          <cell r="X16">
            <v>21.880765067864665</v>
          </cell>
        </row>
        <row r="17">
          <cell r="T17">
            <v>0.27171460894065852</v>
          </cell>
          <cell r="V17">
            <v>0.2285084276254673</v>
          </cell>
          <cell r="X17">
            <v>0.33788910239881198</v>
          </cell>
        </row>
        <row r="18">
          <cell r="T18">
            <v>0</v>
          </cell>
          <cell r="V18">
            <v>0</v>
          </cell>
          <cell r="X18">
            <v>27.961377695934715</v>
          </cell>
        </row>
        <row r="19">
          <cell r="T19">
            <v>116.85458768057001</v>
          </cell>
          <cell r="V19">
            <v>104.63028155714703</v>
          </cell>
          <cell r="X19">
            <v>36.643509553036083</v>
          </cell>
        </row>
        <row r="20">
          <cell r="T20">
            <v>1257.2915407321723</v>
          </cell>
          <cell r="V20">
            <v>1013.0602748487527</v>
          </cell>
          <cell r="X20">
            <v>1298.7523855761324</v>
          </cell>
        </row>
      </sheetData>
      <sheetData sheetId="2" refreshError="1"/>
      <sheetData sheetId="3">
        <row r="13">
          <cell r="B1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TA June 24"/>
    </sheetNames>
    <sheetDataSet>
      <sheetData sheetId="0">
        <row r="3">
          <cell r="D3">
            <v>776.15400228935198</v>
          </cell>
        </row>
        <row r="4">
          <cell r="D4">
            <v>32.064918836315996</v>
          </cell>
          <cell r="F4">
            <v>61.335533055039797</v>
          </cell>
        </row>
        <row r="5">
          <cell r="F5">
            <v>1067.47556693398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Fastlane Inbound"/>
      <sheetName val="Prices"/>
      <sheetName val="Journal Entry"/>
      <sheetName val="SMART Data"/>
      <sheetName val="Brem Air"/>
      <sheetName val="WM Eastmont"/>
      <sheetName val="Pivot"/>
    </sheetNames>
    <sheetDataSet>
      <sheetData sheetId="0" refreshError="1"/>
      <sheetData sheetId="1" refreshError="1"/>
      <sheetData sheetId="2" refreshError="1"/>
      <sheetData sheetId="3">
        <row r="4">
          <cell r="B4">
            <v>127.91</v>
          </cell>
          <cell r="C4">
            <v>85.78</v>
          </cell>
          <cell r="D4">
            <v>150.01</v>
          </cell>
          <cell r="E4">
            <v>1355.04</v>
          </cell>
          <cell r="F4">
            <v>225.48</v>
          </cell>
          <cell r="G4">
            <v>-26.7</v>
          </cell>
          <cell r="H4">
            <v>150</v>
          </cell>
          <cell r="J4">
            <v>619.78</v>
          </cell>
          <cell r="K4">
            <v>340</v>
          </cell>
          <cell r="L4">
            <v>-187.5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/>
      <sheetData sheetId="1"/>
      <sheetData sheetId="2"/>
      <sheetData sheetId="3"/>
      <sheetData sheetId="4">
        <row r="5">
          <cell r="B5">
            <v>0</v>
          </cell>
          <cell r="C5">
            <v>66.48</v>
          </cell>
          <cell r="D5">
            <v>157.72999999999999</v>
          </cell>
          <cell r="E5">
            <v>1319.47</v>
          </cell>
          <cell r="F5">
            <v>220.58</v>
          </cell>
          <cell r="G5">
            <v>-28.95</v>
          </cell>
          <cell r="H5">
            <v>150</v>
          </cell>
          <cell r="J5">
            <v>543.30999999999995</v>
          </cell>
          <cell r="K5">
            <v>340</v>
          </cell>
          <cell r="L5">
            <v>-187.5</v>
          </cell>
        </row>
        <row r="6">
          <cell r="C6">
            <v>67.63</v>
          </cell>
          <cell r="D6">
            <v>175.48</v>
          </cell>
          <cell r="E6">
            <v>1325.07</v>
          </cell>
          <cell r="F6">
            <v>194.68</v>
          </cell>
          <cell r="G6">
            <v>-28.49</v>
          </cell>
          <cell r="H6">
            <v>150</v>
          </cell>
          <cell r="J6">
            <v>560</v>
          </cell>
          <cell r="K6">
            <v>340</v>
          </cell>
          <cell r="L6">
            <v>-187.5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/>
      <sheetData sheetId="1"/>
      <sheetData sheetId="2"/>
      <sheetData sheetId="3"/>
      <sheetData sheetId="4">
        <row r="7">
          <cell r="B7">
            <v>0</v>
          </cell>
          <cell r="C7">
            <v>81.92</v>
          </cell>
          <cell r="D7">
            <v>150.25</v>
          </cell>
          <cell r="E7">
            <v>1538.59</v>
          </cell>
          <cell r="F7">
            <v>193.42</v>
          </cell>
          <cell r="G7">
            <v>-27.25</v>
          </cell>
          <cell r="H7">
            <v>171.08</v>
          </cell>
          <cell r="J7">
            <v>560</v>
          </cell>
          <cell r="K7">
            <v>340</v>
          </cell>
          <cell r="L7">
            <v>-187.5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/>
      <sheetData sheetId="1"/>
      <sheetData sheetId="2"/>
      <sheetData sheetId="3"/>
      <sheetData sheetId="4">
        <row r="8">
          <cell r="B8">
            <v>0</v>
          </cell>
          <cell r="C8">
            <v>91.75</v>
          </cell>
          <cell r="D8">
            <v>180.01</v>
          </cell>
          <cell r="E8">
            <v>1579.12</v>
          </cell>
          <cell r="F8">
            <v>198</v>
          </cell>
          <cell r="G8">
            <v>-26.1</v>
          </cell>
          <cell r="H8">
            <v>210</v>
          </cell>
          <cell r="J8">
            <v>600</v>
          </cell>
          <cell r="K8">
            <v>346.65</v>
          </cell>
          <cell r="L8">
            <v>-187.5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B10">
            <v>0</v>
          </cell>
          <cell r="C10">
            <v>101.15</v>
          </cell>
          <cell r="D10">
            <v>187.68</v>
          </cell>
          <cell r="E10">
            <v>1540.01</v>
          </cell>
          <cell r="F10">
            <v>221.74</v>
          </cell>
          <cell r="G10">
            <v>-28.06</v>
          </cell>
          <cell r="H10">
            <v>231.89</v>
          </cell>
          <cell r="J10">
            <v>860</v>
          </cell>
          <cell r="K10">
            <v>220</v>
          </cell>
          <cell r="L10">
            <v>-187.5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/>
      <sheetData sheetId="1"/>
      <sheetData sheetId="2"/>
      <sheetData sheetId="3"/>
      <sheetData sheetId="4">
        <row r="11">
          <cell r="B11">
            <v>0</v>
          </cell>
          <cell r="C11">
            <v>102.96</v>
          </cell>
          <cell r="D11">
            <v>149.78</v>
          </cell>
          <cell r="E11">
            <v>1535.08</v>
          </cell>
          <cell r="F11">
            <v>230</v>
          </cell>
          <cell r="G11">
            <v>-23.97</v>
          </cell>
          <cell r="H11">
            <v>260</v>
          </cell>
          <cell r="J11">
            <v>680</v>
          </cell>
          <cell r="K11">
            <v>200</v>
          </cell>
          <cell r="L11">
            <v>-187.5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CC September  23"/>
    </sheetNames>
    <sheetDataSet>
      <sheetData sheetId="0">
        <row r="3">
          <cell r="C3">
            <v>10826</v>
          </cell>
          <cell r="D3">
            <v>50923</v>
          </cell>
          <cell r="E3">
            <v>4757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CC October 23"/>
    </sheetNames>
    <sheetDataSet>
      <sheetData sheetId="0">
        <row r="3">
          <cell r="C3">
            <v>10813</v>
          </cell>
          <cell r="D3">
            <v>50885</v>
          </cell>
          <cell r="E3">
            <v>4779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CC November 23"/>
    </sheetNames>
    <sheetDataSet>
      <sheetData sheetId="0">
        <row r="3">
          <cell r="C3">
            <v>10802</v>
          </cell>
          <cell r="D3">
            <v>50906</v>
          </cell>
          <cell r="E3">
            <v>4815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Fastlane RETI Inbound"/>
      <sheetName val="Composition"/>
      <sheetName val="Prices"/>
      <sheetName val="Journal Entry"/>
      <sheetName val="SMART Info"/>
      <sheetName val="WM of Marysville"/>
      <sheetName val="WM of Eastmont"/>
      <sheetName val="WM of Skagit"/>
    </sheetNames>
    <sheetDataSet>
      <sheetData sheetId="0" refreshError="1"/>
      <sheetData sheetId="1" refreshError="1"/>
      <sheetData sheetId="2">
        <row r="6">
          <cell r="B6">
            <v>127.65897038718192</v>
          </cell>
        </row>
        <row r="7">
          <cell r="B7">
            <v>2270.9588914147898</v>
          </cell>
        </row>
        <row r="8">
          <cell r="B8">
            <v>1989.3248116547325</v>
          </cell>
        </row>
        <row r="9">
          <cell r="B9">
            <v>102.23430282561857</v>
          </cell>
        </row>
        <row r="10">
          <cell r="B10">
            <v>1659.6676762938514</v>
          </cell>
        </row>
        <row r="11">
          <cell r="B11">
            <v>211.95506106717576</v>
          </cell>
        </row>
        <row r="12">
          <cell r="B12">
            <v>31.038443685051622</v>
          </cell>
        </row>
        <row r="13">
          <cell r="B13">
            <v>22.788483339938335</v>
          </cell>
        </row>
        <row r="14">
          <cell r="B14">
            <v>11.84212449212272</v>
          </cell>
        </row>
        <row r="15">
          <cell r="B15">
            <v>18.108390013487231</v>
          </cell>
        </row>
        <row r="16">
          <cell r="B16">
            <v>0</v>
          </cell>
        </row>
        <row r="17">
          <cell r="B17">
            <v>0.25243969530087379</v>
          </cell>
        </row>
        <row r="18">
          <cell r="B18">
            <v>0</v>
          </cell>
        </row>
        <row r="19">
          <cell r="B19">
            <v>21.690537112495125</v>
          </cell>
        </row>
        <row r="20">
          <cell r="B20">
            <v>838.0698680182544</v>
          </cell>
        </row>
      </sheetData>
      <sheetData sheetId="3">
        <row r="4">
          <cell r="B4">
            <v>104.39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CC December 23"/>
    </sheetNames>
    <sheetDataSet>
      <sheetData sheetId="0">
        <row r="3">
          <cell r="C3">
            <v>10740</v>
          </cell>
          <cell r="D3">
            <v>50863</v>
          </cell>
          <cell r="E3">
            <v>4842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Dashboard - QUANTITY per"/>
    </sheetNames>
    <sheetDataSet>
      <sheetData sheetId="0">
        <row r="3">
          <cell r="C3">
            <v>10697</v>
          </cell>
          <cell r="D3">
            <v>50860</v>
          </cell>
          <cell r="E3">
            <v>4864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Dashboard - QUANTITY per"/>
    </sheetNames>
    <sheetDataSet>
      <sheetData sheetId="0">
        <row r="3">
          <cell r="C3">
            <v>10747</v>
          </cell>
          <cell r="D3">
            <v>50866</v>
          </cell>
          <cell r="E3">
            <v>4885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CC March 24"/>
    </sheetNames>
    <sheetDataSet>
      <sheetData sheetId="0">
        <row r="4">
          <cell r="C4">
            <v>10776</v>
          </cell>
          <cell r="D4">
            <v>50952</v>
          </cell>
          <cell r="F4">
            <v>4922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CC April 24"/>
    </sheetNames>
    <sheetDataSet>
      <sheetData sheetId="0">
        <row r="3">
          <cell r="C3">
            <v>10788</v>
          </cell>
          <cell r="D3">
            <v>51105</v>
          </cell>
          <cell r="E3">
            <v>4948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 CC May 24"/>
    </sheetNames>
    <sheetDataSet>
      <sheetData sheetId="0">
        <row r="3">
          <cell r="C3">
            <v>10805</v>
          </cell>
          <cell r="D3">
            <v>51286</v>
          </cell>
          <cell r="E3">
            <v>4980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2.2024"/>
      <sheetName val="OPUS PIVOT - Eastern WA"/>
    </sheetNames>
    <sheetDataSet>
      <sheetData sheetId="0"/>
      <sheetData sheetId="1">
        <row r="6">
          <cell r="D6">
            <v>296.33</v>
          </cell>
        </row>
        <row r="7">
          <cell r="D7">
            <v>3340.49</v>
          </cell>
        </row>
        <row r="8">
          <cell r="D8">
            <v>1999.8300000000002</v>
          </cell>
        </row>
        <row r="9">
          <cell r="D9">
            <v>163.2235</v>
          </cell>
        </row>
        <row r="10">
          <cell r="D10">
            <v>2306.9699999999998</v>
          </cell>
        </row>
        <row r="11">
          <cell r="D11">
            <v>314.61</v>
          </cell>
        </row>
        <row r="12">
          <cell r="D12">
            <v>54.39</v>
          </cell>
        </row>
        <row r="13">
          <cell r="D13">
            <v>68.62</v>
          </cell>
        </row>
        <row r="15">
          <cell r="D15">
            <v>22.912499999999994</v>
          </cell>
        </row>
        <row r="16">
          <cell r="D16">
            <v>30.439999999999998</v>
          </cell>
        </row>
        <row r="17">
          <cell r="D17">
            <v>0</v>
          </cell>
        </row>
        <row r="19">
          <cell r="D19">
            <v>158.19000000000003</v>
          </cell>
        </row>
        <row r="20">
          <cell r="D20">
            <v>1131.1199999999999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3.2024"/>
      <sheetName val="OPUS PIVOT - Eastern WA"/>
    </sheetNames>
    <sheetDataSet>
      <sheetData sheetId="0"/>
      <sheetData sheetId="1">
        <row r="6">
          <cell r="D6">
            <v>296.33</v>
          </cell>
          <cell r="F6">
            <v>819.9</v>
          </cell>
        </row>
        <row r="7">
          <cell r="F7">
            <v>2319.38</v>
          </cell>
        </row>
        <row r="8">
          <cell r="F8">
            <v>2050.4450000000002</v>
          </cell>
        </row>
        <row r="9">
          <cell r="F9">
            <v>164.964</v>
          </cell>
        </row>
        <row r="10">
          <cell r="F10">
            <v>1481.9550000000002</v>
          </cell>
        </row>
        <row r="11">
          <cell r="F11">
            <v>337.18500000000006</v>
          </cell>
        </row>
        <row r="12">
          <cell r="F12">
            <v>48.17</v>
          </cell>
        </row>
        <row r="13">
          <cell r="F13">
            <v>79.28</v>
          </cell>
        </row>
        <row r="15">
          <cell r="F15">
            <v>68.867500000000007</v>
          </cell>
        </row>
        <row r="16">
          <cell r="F16">
            <v>22.729999999999997</v>
          </cell>
        </row>
        <row r="19">
          <cell r="F19">
            <v>139.94</v>
          </cell>
        </row>
        <row r="20">
          <cell r="F20">
            <v>1717.6399999999999</v>
          </cell>
        </row>
      </sheetData>
      <sheetData sheetId="2"/>
      <sheetData sheetId="3">
        <row r="6">
          <cell r="B6">
            <v>91.11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4.2024"/>
      <sheetName val="OPUS PIVOT - Eastern WA"/>
    </sheetNames>
    <sheetDataSet>
      <sheetData sheetId="0" refreshError="1"/>
      <sheetData sheetId="1">
        <row r="6">
          <cell r="H6">
            <v>1714.72</v>
          </cell>
        </row>
        <row r="7">
          <cell r="H7">
            <v>1560.01</v>
          </cell>
        </row>
        <row r="8">
          <cell r="H8">
            <v>2346.75</v>
          </cell>
        </row>
        <row r="9">
          <cell r="H9">
            <v>192.3</v>
          </cell>
        </row>
        <row r="10">
          <cell r="H10">
            <v>1601.49</v>
          </cell>
        </row>
        <row r="11">
          <cell r="H11">
            <v>343.04</v>
          </cell>
        </row>
        <row r="12">
          <cell r="H12">
            <v>50.92</v>
          </cell>
        </row>
        <row r="13">
          <cell r="H13">
            <v>85.07</v>
          </cell>
        </row>
        <row r="15">
          <cell r="H15">
            <v>61.29</v>
          </cell>
        </row>
        <row r="16">
          <cell r="H16">
            <v>31.7</v>
          </cell>
        </row>
        <row r="18">
          <cell r="H18">
            <v>99.48</v>
          </cell>
        </row>
        <row r="19">
          <cell r="H19">
            <v>193.47</v>
          </cell>
        </row>
        <row r="20">
          <cell r="H20">
            <v>1852.1</v>
          </cell>
        </row>
      </sheetData>
      <sheetData sheetId="2" refreshError="1"/>
      <sheetData sheetId="3">
        <row r="5">
          <cell r="B5">
            <v>93.21</v>
          </cell>
        </row>
      </sheetData>
      <sheetData sheetId="4" refreshError="1"/>
      <sheetData sheetId="5" refreshError="1"/>
      <sheetData sheetId="6" refreshError="1"/>
      <sheetData sheetId="7">
        <row r="7">
          <cell r="D7">
            <v>1001.8699999999997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5.2024"/>
      <sheetName val="OPUS PIVOT - Eastern WA"/>
    </sheetNames>
    <sheetDataSet>
      <sheetData sheetId="0"/>
      <sheetData sheetId="1">
        <row r="6">
          <cell r="J6">
            <v>1672.05</v>
          </cell>
        </row>
        <row r="7">
          <cell r="J7">
            <v>1606</v>
          </cell>
        </row>
        <row r="8">
          <cell r="J8">
            <v>2275.81</v>
          </cell>
        </row>
        <row r="9">
          <cell r="J9">
            <v>187.55</v>
          </cell>
        </row>
        <row r="10">
          <cell r="J10">
            <v>1544.3</v>
          </cell>
        </row>
        <row r="11">
          <cell r="J11">
            <v>424.04</v>
          </cell>
        </row>
        <row r="12">
          <cell r="J12">
            <v>56.12</v>
          </cell>
        </row>
        <row r="13">
          <cell r="J13">
            <v>117.24</v>
          </cell>
        </row>
        <row r="15">
          <cell r="J15">
            <v>75.150000000000006</v>
          </cell>
        </row>
        <row r="16">
          <cell r="J16">
            <v>35.19</v>
          </cell>
        </row>
        <row r="18">
          <cell r="J18">
            <v>85.3</v>
          </cell>
        </row>
        <row r="19">
          <cell r="J19">
            <v>161.9</v>
          </cell>
        </row>
        <row r="20">
          <cell r="J20">
            <v>2007.27</v>
          </cell>
        </row>
      </sheetData>
      <sheetData sheetId="2"/>
      <sheetData sheetId="3">
        <row r="8">
          <cell r="B8">
            <v>93.08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6.2024"/>
      <sheetName val="OPUS PIVOT - Eastern WA"/>
    </sheetNames>
    <sheetDataSet>
      <sheetData sheetId="0"/>
      <sheetData sheetId="1">
        <row r="6">
          <cell r="L6">
            <v>559.96</v>
          </cell>
        </row>
        <row r="7">
          <cell r="L7">
            <v>1841.43</v>
          </cell>
        </row>
        <row r="8">
          <cell r="L8">
            <v>2489.25</v>
          </cell>
        </row>
        <row r="9">
          <cell r="L9">
            <v>151.91999999999999</v>
          </cell>
        </row>
        <row r="10">
          <cell r="L10">
            <v>1354.6</v>
          </cell>
        </row>
        <row r="11">
          <cell r="L11">
            <v>272.08</v>
          </cell>
        </row>
        <row r="12">
          <cell r="L12">
            <v>44.32</v>
          </cell>
        </row>
        <row r="13">
          <cell r="L13">
            <v>75.88</v>
          </cell>
        </row>
        <row r="15">
          <cell r="L15">
            <v>60.77</v>
          </cell>
        </row>
        <row r="16">
          <cell r="L16">
            <v>29.67</v>
          </cell>
        </row>
        <row r="17">
          <cell r="L17">
            <v>0</v>
          </cell>
        </row>
        <row r="18">
          <cell r="L18">
            <v>119.65</v>
          </cell>
        </row>
        <row r="19">
          <cell r="L19">
            <v>122.42</v>
          </cell>
        </row>
        <row r="20">
          <cell r="L20">
            <v>1485.93</v>
          </cell>
        </row>
      </sheetData>
      <sheetData sheetId="2"/>
      <sheetData sheetId="3">
        <row r="9">
          <cell r="B9">
            <v>115.15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7.2024"/>
      <sheetName val="OPUS PIVOT - Eastern WA"/>
    </sheetNames>
    <sheetDataSet>
      <sheetData sheetId="0"/>
      <sheetData sheetId="1">
        <row r="6">
          <cell r="N6">
            <v>1387.52</v>
          </cell>
        </row>
        <row r="7">
          <cell r="N7">
            <v>1033.9099999999999</v>
          </cell>
        </row>
        <row r="8">
          <cell r="N8">
            <v>2272.9100000000003</v>
          </cell>
        </row>
        <row r="9">
          <cell r="N9">
            <v>146.774</v>
          </cell>
        </row>
        <row r="10">
          <cell r="N10">
            <v>1386.51</v>
          </cell>
        </row>
        <row r="11">
          <cell r="N11">
            <v>330.04</v>
          </cell>
        </row>
        <row r="12">
          <cell r="N12">
            <v>41</v>
          </cell>
        </row>
        <row r="13">
          <cell r="N13">
            <v>72.77</v>
          </cell>
        </row>
        <row r="15">
          <cell r="N15">
            <v>60.848500000000001</v>
          </cell>
        </row>
        <row r="16">
          <cell r="N16">
            <v>27.765000000000001</v>
          </cell>
        </row>
        <row r="18">
          <cell r="N18">
            <v>89.08</v>
          </cell>
        </row>
        <row r="19">
          <cell r="N19">
            <v>130.37</v>
          </cell>
        </row>
        <row r="20">
          <cell r="N20">
            <v>1625.23</v>
          </cell>
        </row>
      </sheetData>
      <sheetData sheetId="2"/>
      <sheetData sheetId="3">
        <row r="10">
          <cell r="B10">
            <v>103.34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73"/>
  <sheetViews>
    <sheetView tabSelected="1" workbookViewId="0">
      <selection activeCell="A66" sqref="A66"/>
    </sheetView>
  </sheetViews>
  <sheetFormatPr defaultRowHeight="12.75" x14ac:dyDescent="0.2"/>
  <cols>
    <col min="1" max="1" width="58.85546875" bestFit="1" customWidth="1"/>
    <col min="3" max="3" width="10.42578125" bestFit="1" customWidth="1"/>
    <col min="4" max="4" width="11.28515625" bestFit="1" customWidth="1"/>
    <col min="5" max="5" width="9.28515625" bestFit="1" customWidth="1"/>
    <col min="6" max="6" width="10.140625" bestFit="1" customWidth="1"/>
    <col min="7" max="7" width="58.85546875" bestFit="1" customWidth="1"/>
    <col min="9" max="9" width="10.42578125" bestFit="1" customWidth="1"/>
    <col min="10" max="10" width="11.28515625" bestFit="1" customWidth="1"/>
    <col min="11" max="11" width="9.28515625" bestFit="1" customWidth="1"/>
    <col min="12" max="12" width="10.140625" bestFit="1" customWidth="1"/>
    <col min="13" max="13" width="58.85546875" bestFit="1" customWidth="1"/>
    <col min="15" max="15" width="10.42578125" bestFit="1" customWidth="1"/>
    <col min="16" max="16" width="11.28515625" bestFit="1" customWidth="1"/>
    <col min="17" max="17" width="8.7109375" bestFit="1" customWidth="1"/>
    <col min="19" max="19" width="58.85546875" bestFit="1" customWidth="1"/>
    <col min="21" max="21" width="10.42578125" bestFit="1" customWidth="1"/>
    <col min="24" max="24" width="9.28515625" bestFit="1" customWidth="1"/>
    <col min="25" max="25" width="57.28515625" customWidth="1"/>
    <col min="27" max="27" width="11.28515625" customWidth="1"/>
    <col min="28" max="28" width="12.28515625" bestFit="1" customWidth="1"/>
    <col min="29" max="29" width="15.5703125" bestFit="1" customWidth="1"/>
    <col min="30" max="30" width="15.140625" bestFit="1" customWidth="1"/>
    <col min="31" max="31" width="58.85546875" bestFit="1" customWidth="1"/>
    <col min="33" max="33" width="10.42578125" bestFit="1" customWidth="1"/>
    <col min="34" max="34" width="11.28515625" bestFit="1" customWidth="1"/>
    <col min="35" max="35" width="10.28515625" bestFit="1" customWidth="1"/>
    <col min="36" max="36" width="9.28515625" bestFit="1" customWidth="1"/>
    <col min="37" max="37" width="58.85546875" bestFit="1" customWidth="1"/>
    <col min="39" max="39" width="10.42578125" bestFit="1" customWidth="1"/>
    <col min="40" max="40" width="11.28515625" bestFit="1" customWidth="1"/>
    <col min="41" max="41" width="10.28515625" bestFit="1" customWidth="1"/>
    <col min="42" max="42" width="9.28515625" bestFit="1" customWidth="1"/>
    <col min="43" max="43" width="58.85546875" bestFit="1" customWidth="1"/>
    <col min="45" max="45" width="10.42578125" bestFit="1" customWidth="1"/>
    <col min="46" max="46" width="11.28515625" bestFit="1" customWidth="1"/>
    <col min="47" max="48" width="10.28515625" bestFit="1" customWidth="1"/>
    <col min="49" max="49" width="58.85546875" bestFit="1" customWidth="1"/>
    <col min="51" max="51" width="10.42578125" bestFit="1" customWidth="1"/>
    <col min="52" max="52" width="11.28515625" bestFit="1" customWidth="1"/>
    <col min="53" max="53" width="10.28515625" bestFit="1" customWidth="1"/>
    <col min="54" max="54" width="9.28515625" bestFit="1" customWidth="1"/>
    <col min="55" max="55" width="58.85546875" bestFit="1" customWidth="1"/>
    <col min="57" max="57" width="10.42578125" bestFit="1" customWidth="1"/>
    <col min="58" max="58" width="11.28515625" bestFit="1" customWidth="1"/>
    <col min="59" max="59" width="10.28515625" bestFit="1" customWidth="1"/>
    <col min="60" max="60" width="9.7109375" bestFit="1" customWidth="1"/>
    <col min="61" max="61" width="58.85546875" bestFit="1" customWidth="1"/>
    <col min="63" max="63" width="10.42578125" bestFit="1" customWidth="1"/>
    <col min="64" max="64" width="11.28515625" bestFit="1" customWidth="1"/>
    <col min="65" max="65" width="10.28515625" bestFit="1" customWidth="1"/>
    <col min="66" max="66" width="9.28515625" bestFit="1" customWidth="1"/>
  </cols>
  <sheetData>
    <row r="1" spans="1:66" ht="19.5" customHeight="1" x14ac:dyDescent="0.4">
      <c r="A1" s="260" t="s">
        <v>61</v>
      </c>
      <c r="B1" s="261"/>
      <c r="C1" s="262"/>
      <c r="D1" s="262"/>
      <c r="E1" s="262"/>
      <c r="F1" s="263"/>
      <c r="G1" s="160" t="s">
        <v>61</v>
      </c>
      <c r="H1" s="161"/>
      <c r="I1" s="162"/>
      <c r="J1" s="162"/>
      <c r="K1" s="162"/>
      <c r="L1" s="239"/>
      <c r="M1" s="72" t="s">
        <v>61</v>
      </c>
      <c r="N1" s="74"/>
      <c r="O1" s="74"/>
      <c r="P1" s="74"/>
      <c r="Q1" s="74"/>
      <c r="R1" s="484"/>
      <c r="S1" s="435" t="s">
        <v>61</v>
      </c>
      <c r="T1" s="436"/>
      <c r="U1" s="437"/>
      <c r="V1" s="437"/>
      <c r="W1" s="437"/>
      <c r="X1" s="438"/>
      <c r="Y1" s="353" t="s">
        <v>61</v>
      </c>
      <c r="Z1" s="354"/>
      <c r="AA1" s="355"/>
      <c r="AB1" s="355"/>
      <c r="AC1" s="355"/>
      <c r="AD1" s="356"/>
      <c r="AE1" s="301" t="s">
        <v>61</v>
      </c>
      <c r="AF1" s="301"/>
      <c r="AG1" s="302"/>
      <c r="AH1" s="302"/>
      <c r="AI1" s="302"/>
      <c r="AJ1" s="303"/>
      <c r="AK1" s="191" t="s">
        <v>61</v>
      </c>
      <c r="AL1" s="192"/>
      <c r="AM1" s="193"/>
      <c r="AN1" s="193"/>
      <c r="AO1" s="193"/>
      <c r="AP1" s="227"/>
      <c r="AQ1" s="260" t="s">
        <v>61</v>
      </c>
      <c r="AR1" s="261"/>
      <c r="AS1" s="262"/>
      <c r="AT1" s="262"/>
      <c r="AU1" s="262"/>
      <c r="AV1" s="263"/>
      <c r="AW1" s="160" t="s">
        <v>61</v>
      </c>
      <c r="AX1" s="161"/>
      <c r="AY1" s="162"/>
      <c r="AZ1" s="162"/>
      <c r="BA1" s="162"/>
      <c r="BB1" s="239"/>
      <c r="BC1" s="107" t="s">
        <v>61</v>
      </c>
      <c r="BD1" s="108"/>
      <c r="BE1" s="109"/>
      <c r="BF1" s="109"/>
      <c r="BG1" s="109"/>
      <c r="BH1" s="109"/>
      <c r="BI1" s="72" t="s">
        <v>61</v>
      </c>
      <c r="BJ1" s="73"/>
      <c r="BK1" s="74"/>
      <c r="BL1" s="74"/>
      <c r="BM1" s="74"/>
      <c r="BN1" s="74"/>
    </row>
    <row r="2" spans="1:66" ht="18" x14ac:dyDescent="0.35">
      <c r="A2" s="264"/>
      <c r="B2" s="265"/>
      <c r="C2" s="266"/>
      <c r="D2" s="267"/>
      <c r="E2" s="267"/>
      <c r="F2" s="268"/>
      <c r="G2" s="163"/>
      <c r="H2" s="622"/>
      <c r="I2" s="623"/>
      <c r="J2" s="624"/>
      <c r="K2" s="624"/>
      <c r="L2" s="240"/>
      <c r="M2" s="75"/>
      <c r="N2" s="78"/>
      <c r="O2" s="77"/>
      <c r="P2" s="78"/>
      <c r="Q2" s="78"/>
      <c r="R2" s="485"/>
      <c r="S2" s="439"/>
      <c r="T2" s="440"/>
      <c r="U2" s="441"/>
      <c r="V2" s="442"/>
      <c r="W2" s="442"/>
      <c r="X2" s="443"/>
      <c r="Y2" s="357"/>
      <c r="Z2" s="358"/>
      <c r="AA2" s="359"/>
      <c r="AB2" s="360"/>
      <c r="AC2" s="360"/>
      <c r="AD2" s="361"/>
      <c r="AE2" s="305"/>
      <c r="AF2" s="305"/>
      <c r="AG2" s="306"/>
      <c r="AH2" s="307"/>
      <c r="AI2" s="307"/>
      <c r="AJ2" s="308"/>
      <c r="AK2" s="194"/>
      <c r="AL2" s="195"/>
      <c r="AM2" s="196"/>
      <c r="AN2" s="197"/>
      <c r="AO2" s="197"/>
      <c r="AP2" s="228"/>
      <c r="AQ2" s="264"/>
      <c r="AR2" s="265"/>
      <c r="AS2" s="266"/>
      <c r="AT2" s="267"/>
      <c r="AU2" s="267"/>
      <c r="AV2" s="268"/>
      <c r="AW2" s="163"/>
      <c r="AX2" s="164"/>
      <c r="AY2" s="165"/>
      <c r="AZ2" s="166"/>
      <c r="BA2" s="166"/>
      <c r="BB2" s="240"/>
      <c r="BC2" s="110" t="s">
        <v>62</v>
      </c>
      <c r="BD2" s="111"/>
      <c r="BE2" s="112"/>
      <c r="BF2" s="113"/>
      <c r="BG2" s="113"/>
      <c r="BH2" s="113"/>
      <c r="BI2" s="75" t="s">
        <v>62</v>
      </c>
      <c r="BJ2" s="76"/>
      <c r="BK2" s="77"/>
      <c r="BL2" s="78"/>
      <c r="BM2" s="78"/>
      <c r="BN2" s="78"/>
    </row>
    <row r="3" spans="1:66" x14ac:dyDescent="0.2">
      <c r="A3" s="269"/>
      <c r="B3" s="270"/>
      <c r="C3" s="267"/>
      <c r="D3" s="267"/>
      <c r="E3" s="267"/>
      <c r="F3" s="268"/>
      <c r="G3" s="167"/>
      <c r="H3" s="625"/>
      <c r="I3" s="624"/>
      <c r="J3" s="624"/>
      <c r="K3" s="624"/>
      <c r="L3" s="240"/>
      <c r="M3" s="79"/>
      <c r="N3" s="78"/>
      <c r="O3" s="78"/>
      <c r="P3" s="78"/>
      <c r="Q3" s="78"/>
      <c r="R3" s="485"/>
      <c r="S3" s="444"/>
      <c r="T3" s="445"/>
      <c r="U3" s="442"/>
      <c r="V3" s="442"/>
      <c r="W3" s="442"/>
      <c r="X3" s="443"/>
      <c r="Y3" s="362"/>
      <c r="Z3" s="363"/>
      <c r="AA3" s="360"/>
      <c r="AB3" s="360"/>
      <c r="AC3" s="360"/>
      <c r="AD3" s="361"/>
      <c r="AE3" s="309"/>
      <c r="AF3" s="309"/>
      <c r="AG3" s="307"/>
      <c r="AH3" s="307"/>
      <c r="AI3" s="307"/>
      <c r="AJ3" s="308"/>
      <c r="AK3" s="198"/>
      <c r="AL3" s="199"/>
      <c r="AM3" s="197"/>
      <c r="AN3" s="197"/>
      <c r="AO3" s="197"/>
      <c r="AP3" s="228"/>
      <c r="AQ3" s="269"/>
      <c r="AR3" s="270"/>
      <c r="AS3" s="267"/>
      <c r="AT3" s="267"/>
      <c r="AU3" s="267"/>
      <c r="AV3" s="268"/>
      <c r="AW3" s="167"/>
      <c r="AX3" s="168"/>
      <c r="AY3" s="166"/>
      <c r="AZ3" s="166"/>
      <c r="BA3" s="166"/>
      <c r="BB3" s="240"/>
      <c r="BC3" s="114"/>
      <c r="BD3" s="115"/>
      <c r="BE3" s="113"/>
      <c r="BF3" s="113"/>
      <c r="BG3" s="113"/>
      <c r="BH3" s="113"/>
      <c r="BI3" s="79"/>
      <c r="BJ3" s="80"/>
      <c r="BK3" s="78"/>
      <c r="BL3" s="78"/>
      <c r="BM3" s="78"/>
      <c r="BN3" s="78"/>
    </row>
    <row r="4" spans="1:66" ht="20.25" x14ac:dyDescent="0.3">
      <c r="A4" s="574" t="s">
        <v>176</v>
      </c>
      <c r="B4" s="575"/>
      <c r="C4" s="575"/>
      <c r="D4" s="575"/>
      <c r="E4" s="575"/>
      <c r="F4" s="576"/>
      <c r="G4" s="557" t="s">
        <v>168</v>
      </c>
      <c r="H4" s="626"/>
      <c r="I4" s="626"/>
      <c r="J4" s="626"/>
      <c r="K4" s="626"/>
      <c r="L4" s="558"/>
      <c r="M4" s="521" t="s">
        <v>162</v>
      </c>
      <c r="N4" s="522"/>
      <c r="O4" s="522"/>
      <c r="P4" s="522"/>
      <c r="Q4" s="522"/>
      <c r="R4" s="522"/>
      <c r="S4" s="604" t="s">
        <v>156</v>
      </c>
      <c r="T4" s="605"/>
      <c r="U4" s="605"/>
      <c r="V4" s="605"/>
      <c r="W4" s="605"/>
      <c r="X4" s="606"/>
      <c r="Y4" s="592" t="s">
        <v>150</v>
      </c>
      <c r="Z4" s="593"/>
      <c r="AA4" s="593"/>
      <c r="AB4" s="593"/>
      <c r="AC4" s="593"/>
      <c r="AD4" s="594"/>
      <c r="AE4" s="598" t="s">
        <v>150</v>
      </c>
      <c r="AF4" s="599"/>
      <c r="AG4" s="599"/>
      <c r="AH4" s="599"/>
      <c r="AI4" s="599"/>
      <c r="AJ4" s="600"/>
      <c r="AK4" s="568" t="s">
        <v>111</v>
      </c>
      <c r="AL4" s="569"/>
      <c r="AM4" s="569"/>
      <c r="AN4" s="569"/>
      <c r="AO4" s="569"/>
      <c r="AP4" s="570"/>
      <c r="AQ4" s="574" t="s">
        <v>108</v>
      </c>
      <c r="AR4" s="575"/>
      <c r="AS4" s="575"/>
      <c r="AT4" s="575"/>
      <c r="AU4" s="575"/>
      <c r="AV4" s="576"/>
      <c r="AW4" s="586" t="s">
        <v>106</v>
      </c>
      <c r="AX4" s="587"/>
      <c r="AY4" s="587"/>
      <c r="AZ4" s="587"/>
      <c r="BA4" s="587"/>
      <c r="BB4" s="588"/>
      <c r="BC4" s="580" t="s">
        <v>97</v>
      </c>
      <c r="BD4" s="581"/>
      <c r="BE4" s="581"/>
      <c r="BF4" s="581"/>
      <c r="BG4" s="581"/>
      <c r="BH4" s="582"/>
      <c r="BI4" s="564" t="s">
        <v>95</v>
      </c>
      <c r="BJ4" s="565"/>
      <c r="BK4" s="565"/>
      <c r="BL4" s="565"/>
      <c r="BM4" s="565"/>
      <c r="BN4" s="565"/>
    </row>
    <row r="5" spans="1:66" x14ac:dyDescent="0.2">
      <c r="A5" s="271"/>
      <c r="B5" s="267"/>
      <c r="C5" s="267"/>
      <c r="D5" s="267"/>
      <c r="E5" s="267"/>
      <c r="F5" s="268"/>
      <c r="G5" s="169"/>
      <c r="H5" s="624"/>
      <c r="I5" s="624"/>
      <c r="J5" s="624"/>
      <c r="K5" s="624"/>
      <c r="L5" s="240"/>
      <c r="M5" s="81"/>
      <c r="N5" s="78"/>
      <c r="O5" s="78"/>
      <c r="P5" s="78"/>
      <c r="Q5" s="78"/>
      <c r="R5" s="485"/>
      <c r="S5" s="446"/>
      <c r="T5" s="442"/>
      <c r="U5" s="442"/>
      <c r="V5" s="442"/>
      <c r="W5" s="442"/>
      <c r="X5" s="443"/>
      <c r="Y5" s="364"/>
      <c r="Z5" s="360"/>
      <c r="AA5" s="360"/>
      <c r="AB5" s="360"/>
      <c r="AC5" s="360"/>
      <c r="AD5" s="361"/>
      <c r="AE5" s="307"/>
      <c r="AF5" s="307"/>
      <c r="AG5" s="307"/>
      <c r="AH5" s="307"/>
      <c r="AI5" s="307"/>
      <c r="AJ5" s="308"/>
      <c r="AK5" s="200"/>
      <c r="AL5" s="197"/>
      <c r="AM5" s="197"/>
      <c r="AN5" s="197"/>
      <c r="AO5" s="197"/>
      <c r="AP5" s="228"/>
      <c r="AQ5" s="271"/>
      <c r="AR5" s="267"/>
      <c r="AS5" s="267"/>
      <c r="AT5" s="267"/>
      <c r="AU5" s="267"/>
      <c r="AV5" s="268"/>
      <c r="AW5" s="169"/>
      <c r="AX5" s="166"/>
      <c r="AY5" s="166"/>
      <c r="AZ5" s="166"/>
      <c r="BA5" s="166"/>
      <c r="BB5" s="240"/>
      <c r="BC5" s="116"/>
      <c r="BD5" s="113"/>
      <c r="BE5" s="113"/>
      <c r="BF5" s="113"/>
      <c r="BG5" s="113"/>
      <c r="BH5" s="113"/>
      <c r="BI5" s="81"/>
      <c r="BJ5" s="78"/>
      <c r="BK5" s="78"/>
      <c r="BL5" s="78"/>
      <c r="BM5" s="78"/>
      <c r="BN5" s="78"/>
    </row>
    <row r="6" spans="1:66" ht="19.5" x14ac:dyDescent="0.4">
      <c r="A6" s="577" t="s">
        <v>19</v>
      </c>
      <c r="B6" s="578"/>
      <c r="C6" s="578"/>
      <c r="D6" s="578"/>
      <c r="E6" s="578"/>
      <c r="F6" s="579"/>
      <c r="G6" s="559" t="s">
        <v>19</v>
      </c>
      <c r="H6" s="627"/>
      <c r="I6" s="627"/>
      <c r="J6" s="627"/>
      <c r="K6" s="627"/>
      <c r="L6" s="560"/>
      <c r="M6" s="523" t="s">
        <v>19</v>
      </c>
      <c r="N6" s="524"/>
      <c r="O6" s="524"/>
      <c r="P6" s="524"/>
      <c r="Q6" s="524"/>
      <c r="R6" s="524"/>
      <c r="S6" s="607" t="s">
        <v>19</v>
      </c>
      <c r="T6" s="608"/>
      <c r="U6" s="608"/>
      <c r="V6" s="608"/>
      <c r="W6" s="608"/>
      <c r="X6" s="609"/>
      <c r="Y6" s="595" t="s">
        <v>19</v>
      </c>
      <c r="Z6" s="596"/>
      <c r="AA6" s="596"/>
      <c r="AB6" s="596"/>
      <c r="AC6" s="596"/>
      <c r="AD6" s="597"/>
      <c r="AE6" s="601" t="s">
        <v>19</v>
      </c>
      <c r="AF6" s="602"/>
      <c r="AG6" s="602"/>
      <c r="AH6" s="602"/>
      <c r="AI6" s="602"/>
      <c r="AJ6" s="603"/>
      <c r="AK6" s="571" t="s">
        <v>19</v>
      </c>
      <c r="AL6" s="572"/>
      <c r="AM6" s="572"/>
      <c r="AN6" s="572"/>
      <c r="AO6" s="572"/>
      <c r="AP6" s="573"/>
      <c r="AQ6" s="577" t="s">
        <v>19</v>
      </c>
      <c r="AR6" s="578"/>
      <c r="AS6" s="578"/>
      <c r="AT6" s="578"/>
      <c r="AU6" s="578"/>
      <c r="AV6" s="579"/>
      <c r="AW6" s="589" t="s">
        <v>19</v>
      </c>
      <c r="AX6" s="590"/>
      <c r="AY6" s="590"/>
      <c r="AZ6" s="590"/>
      <c r="BA6" s="590"/>
      <c r="BB6" s="591"/>
      <c r="BC6" s="583" t="s">
        <v>19</v>
      </c>
      <c r="BD6" s="584"/>
      <c r="BE6" s="584"/>
      <c r="BF6" s="584"/>
      <c r="BG6" s="584"/>
      <c r="BH6" s="585"/>
      <c r="BI6" s="566" t="s">
        <v>19</v>
      </c>
      <c r="BJ6" s="567"/>
      <c r="BK6" s="567"/>
      <c r="BL6" s="567"/>
      <c r="BM6" s="567"/>
      <c r="BN6" s="567"/>
    </row>
    <row r="7" spans="1:66" x14ac:dyDescent="0.2">
      <c r="A7" s="271"/>
      <c r="B7" s="267"/>
      <c r="C7" s="267"/>
      <c r="D7" s="267"/>
      <c r="E7" s="267"/>
      <c r="F7" s="268"/>
      <c r="G7" s="169"/>
      <c r="H7" s="624"/>
      <c r="I7" s="624"/>
      <c r="J7" s="624"/>
      <c r="K7" s="624"/>
      <c r="L7" s="240"/>
      <c r="M7" s="81"/>
      <c r="N7" s="78"/>
      <c r="O7" s="78"/>
      <c r="P7" s="78"/>
      <c r="Q7" s="78"/>
      <c r="R7" s="485"/>
      <c r="S7" s="446"/>
      <c r="T7" s="442"/>
      <c r="U7" s="442"/>
      <c r="V7" s="442"/>
      <c r="W7" s="442"/>
      <c r="X7" s="443"/>
      <c r="Y7" s="364"/>
      <c r="Z7" s="360"/>
      <c r="AA7" s="360"/>
      <c r="AB7" s="360"/>
      <c r="AC7" s="360"/>
      <c r="AD7" s="361"/>
      <c r="AE7" s="307"/>
      <c r="AF7" s="307"/>
      <c r="AG7" s="307"/>
      <c r="AH7" s="307"/>
      <c r="AI7" s="307"/>
      <c r="AJ7" s="308"/>
      <c r="AK7" s="200"/>
      <c r="AL7" s="197"/>
      <c r="AM7" s="197"/>
      <c r="AN7" s="197"/>
      <c r="AO7" s="197"/>
      <c r="AP7" s="228"/>
      <c r="AQ7" s="271"/>
      <c r="AR7" s="267"/>
      <c r="AS7" s="267"/>
      <c r="AT7" s="267"/>
      <c r="AU7" s="267"/>
      <c r="AV7" s="268"/>
      <c r="AW7" s="169"/>
      <c r="AX7" s="166"/>
      <c r="AY7" s="166"/>
      <c r="AZ7" s="166"/>
      <c r="BA7" s="166"/>
      <c r="BB7" s="240"/>
      <c r="BC7" s="116"/>
      <c r="BD7" s="113"/>
      <c r="BE7" s="113"/>
      <c r="BF7" s="113"/>
      <c r="BG7" s="113"/>
      <c r="BH7" s="113"/>
      <c r="BI7" s="81"/>
      <c r="BJ7" s="78"/>
      <c r="BK7" s="78"/>
      <c r="BL7" s="78"/>
      <c r="BM7" s="78"/>
      <c r="BN7" s="78"/>
    </row>
    <row r="8" spans="1:66" x14ac:dyDescent="0.2">
      <c r="A8" s="271"/>
      <c r="B8" s="267"/>
      <c r="C8" s="272"/>
      <c r="D8" s="272" t="s">
        <v>63</v>
      </c>
      <c r="E8" s="272" t="s">
        <v>22</v>
      </c>
      <c r="F8" s="268"/>
      <c r="G8" s="169"/>
      <c r="H8" s="624"/>
      <c r="I8" s="628"/>
      <c r="J8" s="628" t="s">
        <v>63</v>
      </c>
      <c r="K8" s="628" t="s">
        <v>22</v>
      </c>
      <c r="L8" s="240"/>
      <c r="M8" s="81"/>
      <c r="N8" s="78"/>
      <c r="O8" s="82"/>
      <c r="P8" s="82" t="s">
        <v>63</v>
      </c>
      <c r="Q8" s="82" t="s">
        <v>22</v>
      </c>
      <c r="R8" s="485"/>
      <c r="S8" s="446"/>
      <c r="T8" s="442"/>
      <c r="U8" s="447"/>
      <c r="V8" s="447" t="s">
        <v>63</v>
      </c>
      <c r="W8" s="447" t="s">
        <v>22</v>
      </c>
      <c r="X8" s="443"/>
      <c r="Y8" s="364"/>
      <c r="Z8" s="360"/>
      <c r="AA8" s="365"/>
      <c r="AB8" s="365" t="s">
        <v>63</v>
      </c>
      <c r="AC8" s="365" t="s">
        <v>22</v>
      </c>
      <c r="AD8" s="361"/>
      <c r="AE8" s="307"/>
      <c r="AF8" s="307"/>
      <c r="AG8" s="311"/>
      <c r="AH8" s="311" t="s">
        <v>63</v>
      </c>
      <c r="AI8" s="311" t="s">
        <v>22</v>
      </c>
      <c r="AJ8" s="308"/>
      <c r="AK8" s="200"/>
      <c r="AL8" s="197"/>
      <c r="AM8" s="201"/>
      <c r="AN8" s="201" t="s">
        <v>63</v>
      </c>
      <c r="AO8" s="201" t="s">
        <v>22</v>
      </c>
      <c r="AP8" s="228"/>
      <c r="AQ8" s="271"/>
      <c r="AR8" s="267"/>
      <c r="AS8" s="272"/>
      <c r="AT8" s="272" t="s">
        <v>63</v>
      </c>
      <c r="AU8" s="272" t="s">
        <v>22</v>
      </c>
      <c r="AV8" s="268"/>
      <c r="AW8" s="169"/>
      <c r="AX8" s="166"/>
      <c r="AY8" s="170"/>
      <c r="AZ8" s="170" t="s">
        <v>63</v>
      </c>
      <c r="BA8" s="170" t="s">
        <v>22</v>
      </c>
      <c r="BB8" s="240"/>
      <c r="BC8" s="116"/>
      <c r="BD8" s="113"/>
      <c r="BE8" s="117"/>
      <c r="BF8" s="117" t="s">
        <v>63</v>
      </c>
      <c r="BG8" s="117" t="s">
        <v>22</v>
      </c>
      <c r="BH8" s="113"/>
      <c r="BI8" s="81"/>
      <c r="BJ8" s="78"/>
      <c r="BK8" s="82"/>
      <c r="BL8" s="82" t="s">
        <v>63</v>
      </c>
      <c r="BM8" s="82" t="s">
        <v>22</v>
      </c>
      <c r="BN8" s="78"/>
    </row>
    <row r="9" spans="1:66" x14ac:dyDescent="0.2">
      <c r="A9" s="271"/>
      <c r="B9" s="267"/>
      <c r="C9" s="273" t="s">
        <v>30</v>
      </c>
      <c r="D9" s="273" t="s">
        <v>64</v>
      </c>
      <c r="E9" s="273" t="s">
        <v>28</v>
      </c>
      <c r="F9" s="268"/>
      <c r="G9" s="169"/>
      <c r="H9" s="624"/>
      <c r="I9" s="629" t="s">
        <v>30</v>
      </c>
      <c r="J9" s="629" t="s">
        <v>64</v>
      </c>
      <c r="K9" s="629" t="s">
        <v>28</v>
      </c>
      <c r="L9" s="240"/>
      <c r="M9" s="81"/>
      <c r="N9" s="78"/>
      <c r="O9" s="83" t="s">
        <v>30</v>
      </c>
      <c r="P9" s="83" t="s">
        <v>64</v>
      </c>
      <c r="Q9" s="83" t="s">
        <v>28</v>
      </c>
      <c r="R9" s="485"/>
      <c r="S9" s="446"/>
      <c r="T9" s="442"/>
      <c r="U9" s="448" t="s">
        <v>30</v>
      </c>
      <c r="V9" s="448" t="s">
        <v>64</v>
      </c>
      <c r="W9" s="448" t="s">
        <v>28</v>
      </c>
      <c r="X9" s="443"/>
      <c r="Y9" s="364"/>
      <c r="Z9" s="360"/>
      <c r="AA9" s="366" t="s">
        <v>30</v>
      </c>
      <c r="AB9" s="366" t="s">
        <v>64</v>
      </c>
      <c r="AC9" s="366" t="s">
        <v>28</v>
      </c>
      <c r="AD9" s="361"/>
      <c r="AE9" s="307"/>
      <c r="AF9" s="307"/>
      <c r="AG9" s="312" t="s">
        <v>30</v>
      </c>
      <c r="AH9" s="312" t="s">
        <v>64</v>
      </c>
      <c r="AI9" s="312" t="s">
        <v>28</v>
      </c>
      <c r="AJ9" s="308"/>
      <c r="AK9" s="200"/>
      <c r="AL9" s="197"/>
      <c r="AM9" s="202" t="s">
        <v>30</v>
      </c>
      <c r="AN9" s="202" t="s">
        <v>64</v>
      </c>
      <c r="AO9" s="202" t="s">
        <v>28</v>
      </c>
      <c r="AP9" s="228"/>
      <c r="AQ9" s="271"/>
      <c r="AR9" s="267"/>
      <c r="AS9" s="273" t="s">
        <v>30</v>
      </c>
      <c r="AT9" s="273" t="s">
        <v>64</v>
      </c>
      <c r="AU9" s="273" t="s">
        <v>28</v>
      </c>
      <c r="AV9" s="268"/>
      <c r="AW9" s="169"/>
      <c r="AX9" s="166"/>
      <c r="AY9" s="171" t="s">
        <v>30</v>
      </c>
      <c r="AZ9" s="171" t="s">
        <v>64</v>
      </c>
      <c r="BA9" s="171" t="s">
        <v>28</v>
      </c>
      <c r="BB9" s="240"/>
      <c r="BC9" s="116"/>
      <c r="BD9" s="113"/>
      <c r="BE9" s="118" t="s">
        <v>30</v>
      </c>
      <c r="BF9" s="118" t="s">
        <v>64</v>
      </c>
      <c r="BG9" s="118" t="s">
        <v>28</v>
      </c>
      <c r="BH9" s="113"/>
      <c r="BI9" s="81"/>
      <c r="BJ9" s="78"/>
      <c r="BK9" s="83" t="s">
        <v>30</v>
      </c>
      <c r="BL9" s="83" t="s">
        <v>64</v>
      </c>
      <c r="BM9" s="83" t="s">
        <v>28</v>
      </c>
      <c r="BN9" s="78"/>
    </row>
    <row r="10" spans="1:66" ht="16.5" x14ac:dyDescent="0.35">
      <c r="A10" s="274" t="s">
        <v>170</v>
      </c>
      <c r="B10" s="275"/>
      <c r="C10" s="276"/>
      <c r="D10" s="276"/>
      <c r="E10" s="276"/>
      <c r="F10" s="268"/>
      <c r="G10" s="172" t="s">
        <v>170</v>
      </c>
      <c r="H10" s="630"/>
      <c r="I10" s="631"/>
      <c r="J10" s="631"/>
      <c r="K10" s="631"/>
      <c r="L10" s="240"/>
      <c r="M10" s="84" t="s">
        <v>163</v>
      </c>
      <c r="N10" s="78"/>
      <c r="O10" s="86"/>
      <c r="P10" s="86"/>
      <c r="Q10" s="86"/>
      <c r="R10" s="485"/>
      <c r="S10" s="449" t="s">
        <v>157</v>
      </c>
      <c r="T10" s="450"/>
      <c r="U10" s="451"/>
      <c r="V10" s="451"/>
      <c r="W10" s="451"/>
      <c r="X10" s="443"/>
      <c r="Y10" s="367" t="s">
        <v>161</v>
      </c>
      <c r="Z10" s="368"/>
      <c r="AA10" s="369"/>
      <c r="AB10" s="369"/>
      <c r="AC10" s="369"/>
      <c r="AD10" s="361"/>
      <c r="AE10" s="409" t="s">
        <v>125</v>
      </c>
      <c r="AF10" s="314"/>
      <c r="AG10" s="315"/>
      <c r="AH10" s="315"/>
      <c r="AI10" s="315"/>
      <c r="AJ10" s="308"/>
      <c r="AK10" s="203" t="s">
        <v>109</v>
      </c>
      <c r="AL10" s="204"/>
      <c r="AM10" s="205"/>
      <c r="AN10" s="205"/>
      <c r="AO10" s="205"/>
      <c r="AP10" s="228"/>
      <c r="AQ10" s="274" t="s">
        <v>107</v>
      </c>
      <c r="AR10" s="275"/>
      <c r="AS10" s="276"/>
      <c r="AT10" s="276"/>
      <c r="AU10" s="276"/>
      <c r="AV10" s="268"/>
      <c r="AW10" s="172" t="s">
        <v>100</v>
      </c>
      <c r="AX10" s="173"/>
      <c r="AY10" s="174"/>
      <c r="AZ10" s="174"/>
      <c r="BA10" s="174"/>
      <c r="BB10" s="240"/>
      <c r="BC10" s="119" t="s">
        <v>96</v>
      </c>
      <c r="BD10" s="120"/>
      <c r="BE10" s="121"/>
      <c r="BF10" s="121"/>
      <c r="BG10" s="121"/>
      <c r="BH10" s="113"/>
      <c r="BI10" s="84" t="s">
        <v>79</v>
      </c>
      <c r="BJ10" s="85"/>
      <c r="BK10" s="86"/>
      <c r="BL10" s="86"/>
      <c r="BM10" s="86"/>
      <c r="BN10" s="78"/>
    </row>
    <row r="11" spans="1:66" x14ac:dyDescent="0.2">
      <c r="A11" s="277" t="s">
        <v>65</v>
      </c>
      <c r="B11" s="267"/>
      <c r="C11" s="278">
        <f>+'Customer Counts'!B9+'Customer Counts'!B10</f>
        <v>101808</v>
      </c>
      <c r="D11" s="279">
        <f>+J13</f>
        <v>1.28</v>
      </c>
      <c r="E11" s="278">
        <f>C11*D11</f>
        <v>130314.24000000001</v>
      </c>
      <c r="F11" s="268"/>
      <c r="G11" s="175" t="s">
        <v>65</v>
      </c>
      <c r="H11" s="624"/>
      <c r="I11" s="632">
        <v>100442</v>
      </c>
      <c r="J11" s="633">
        <v>1.05</v>
      </c>
      <c r="K11" s="632">
        <v>105464.1</v>
      </c>
      <c r="L11" s="240"/>
      <c r="M11" s="87" t="s">
        <v>65</v>
      </c>
      <c r="N11" s="78"/>
      <c r="O11" s="88">
        <v>99199</v>
      </c>
      <c r="P11" s="486">
        <v>0.26</v>
      </c>
      <c r="Q11" s="88">
        <v>25791.74</v>
      </c>
      <c r="R11" s="485"/>
      <c r="S11" s="452" t="s">
        <v>65</v>
      </c>
      <c r="T11" s="442"/>
      <c r="U11" s="453">
        <v>96812</v>
      </c>
      <c r="V11" s="454">
        <f>+AB13</f>
        <v>0.61</v>
      </c>
      <c r="W11" s="453">
        <f>U11*V11</f>
        <v>59055.32</v>
      </c>
      <c r="X11" s="443"/>
      <c r="Y11" s="370" t="s">
        <v>65</v>
      </c>
      <c r="Z11" s="360"/>
      <c r="AA11" s="371">
        <v>94401</v>
      </c>
      <c r="AB11" s="372">
        <f>+AH13</f>
        <v>0.99</v>
      </c>
      <c r="AC11" s="371">
        <f>AA11*AB11</f>
        <v>93456.99</v>
      </c>
      <c r="AD11" s="361"/>
      <c r="AE11" s="410" t="s">
        <v>65</v>
      </c>
      <c r="AF11" s="307"/>
      <c r="AG11" s="317">
        <v>92643</v>
      </c>
      <c r="AH11" s="318">
        <f>+AN13</f>
        <v>2.13</v>
      </c>
      <c r="AI11" s="317">
        <f>AG11*AH11</f>
        <v>197329.59</v>
      </c>
      <c r="AJ11" s="308"/>
      <c r="AK11" s="206" t="s">
        <v>65</v>
      </c>
      <c r="AL11" s="197"/>
      <c r="AM11" s="207">
        <v>91041</v>
      </c>
      <c r="AN11" s="208">
        <v>1.63</v>
      </c>
      <c r="AO11" s="207">
        <f>AM11*AN11</f>
        <v>148396.82999999999</v>
      </c>
      <c r="AP11" s="228"/>
      <c r="AQ11" s="277" t="s">
        <v>65</v>
      </c>
      <c r="AR11" s="267"/>
      <c r="AS11" s="278">
        <v>86283</v>
      </c>
      <c r="AT11" s="279">
        <f>+AZ13</f>
        <v>2.12</v>
      </c>
      <c r="AU11" s="278">
        <f>AS11*AT11</f>
        <v>182919.96000000002</v>
      </c>
      <c r="AV11" s="268"/>
      <c r="AW11" s="175" t="s">
        <v>65</v>
      </c>
      <c r="AX11" s="166"/>
      <c r="AY11" s="176">
        <v>84503</v>
      </c>
      <c r="AZ11" s="177">
        <v>2.25</v>
      </c>
      <c r="BA11" s="176">
        <f>AY11*AZ11</f>
        <v>190131.75</v>
      </c>
      <c r="BB11" s="240"/>
      <c r="BC11" s="122" t="s">
        <v>65</v>
      </c>
      <c r="BD11" s="113"/>
      <c r="BE11" s="123">
        <v>81939</v>
      </c>
      <c r="BF11" s="144">
        <f>+BL13</f>
        <v>2.0699999999999998</v>
      </c>
      <c r="BG11" s="123">
        <f>BE11*BF11</f>
        <v>169613.72999999998</v>
      </c>
      <c r="BH11" s="113"/>
      <c r="BI11" s="87" t="s">
        <v>65</v>
      </c>
      <c r="BJ11" s="78"/>
      <c r="BK11" s="88">
        <v>80957</v>
      </c>
      <c r="BL11" s="89">
        <v>3.24</v>
      </c>
      <c r="BM11" s="88">
        <f>BK11*BL11</f>
        <v>262300.68</v>
      </c>
      <c r="BN11" s="78"/>
    </row>
    <row r="12" spans="1:66" x14ac:dyDescent="0.2">
      <c r="A12" s="277"/>
      <c r="B12" s="267"/>
      <c r="C12" s="278"/>
      <c r="D12" s="280"/>
      <c r="E12" s="278"/>
      <c r="F12" s="268"/>
      <c r="G12" s="175"/>
      <c r="H12" s="624"/>
      <c r="I12" s="632"/>
      <c r="J12" s="634"/>
      <c r="K12" s="632"/>
      <c r="L12" s="240"/>
      <c r="M12" s="87"/>
      <c r="N12" s="78"/>
      <c r="O12" s="88"/>
      <c r="P12" s="487"/>
      <c r="Q12" s="88"/>
      <c r="R12" s="485"/>
      <c r="S12" s="452"/>
      <c r="T12" s="442"/>
      <c r="U12" s="453"/>
      <c r="V12" s="455"/>
      <c r="W12" s="453"/>
      <c r="X12" s="443"/>
      <c r="Y12" s="370"/>
      <c r="Z12" s="360"/>
      <c r="AA12" s="371"/>
      <c r="AB12" s="373"/>
      <c r="AC12" s="371"/>
      <c r="AD12" s="361"/>
      <c r="AE12" s="410"/>
      <c r="AF12" s="307"/>
      <c r="AG12" s="317"/>
      <c r="AH12" s="319"/>
      <c r="AI12" s="317"/>
      <c r="AJ12" s="308"/>
      <c r="AK12" s="206"/>
      <c r="AL12" s="197"/>
      <c r="AM12" s="207"/>
      <c r="AN12" s="209"/>
      <c r="AO12" s="207"/>
      <c r="AP12" s="228"/>
      <c r="AQ12" s="277"/>
      <c r="AR12" s="267"/>
      <c r="AS12" s="278"/>
      <c r="AT12" s="280"/>
      <c r="AU12" s="278"/>
      <c r="AV12" s="268"/>
      <c r="AW12" s="175"/>
      <c r="AX12" s="166"/>
      <c r="AY12" s="176"/>
      <c r="AZ12" s="178"/>
      <c r="BA12" s="176"/>
      <c r="BB12" s="240"/>
      <c r="BC12" s="122"/>
      <c r="BD12" s="113"/>
      <c r="BE12" s="123"/>
      <c r="BF12" s="143"/>
      <c r="BG12" s="123"/>
      <c r="BH12" s="113"/>
      <c r="BI12" s="87"/>
      <c r="BJ12" s="78"/>
      <c r="BK12" s="88"/>
      <c r="BL12" s="89"/>
      <c r="BM12" s="88"/>
      <c r="BN12" s="78"/>
    </row>
    <row r="13" spans="1:66" ht="15" x14ac:dyDescent="0.35">
      <c r="A13" s="277" t="s">
        <v>66</v>
      </c>
      <c r="B13" s="281"/>
      <c r="C13" s="282">
        <f>+'Customer Counts'!B21-C11</f>
        <v>511027</v>
      </c>
      <c r="D13" s="279">
        <f>+L30</f>
        <v>0.56000000000000005</v>
      </c>
      <c r="E13" s="282">
        <f>C13*D13</f>
        <v>286175.12000000005</v>
      </c>
      <c r="F13" s="268"/>
      <c r="G13" s="175" t="s">
        <v>66</v>
      </c>
      <c r="H13" s="635"/>
      <c r="I13" s="636">
        <v>504649</v>
      </c>
      <c r="J13" s="633">
        <v>1.28</v>
      </c>
      <c r="K13" s="636">
        <v>645950.71999999997</v>
      </c>
      <c r="L13" s="240"/>
      <c r="M13" s="87" t="s">
        <v>66</v>
      </c>
      <c r="N13" s="78"/>
      <c r="O13" s="91">
        <v>497913</v>
      </c>
      <c r="P13" s="486">
        <v>1.05</v>
      </c>
      <c r="Q13" s="91">
        <v>522808.65</v>
      </c>
      <c r="R13" s="485"/>
      <c r="S13" s="452" t="s">
        <v>66</v>
      </c>
      <c r="T13" s="456"/>
      <c r="U13" s="457">
        <v>490019</v>
      </c>
      <c r="V13" s="454">
        <f>+AD30</f>
        <v>0.26</v>
      </c>
      <c r="W13" s="457">
        <f>U13*V13</f>
        <v>127404.94</v>
      </c>
      <c r="X13" s="443"/>
      <c r="Y13" s="370" t="s">
        <v>66</v>
      </c>
      <c r="Z13" s="374"/>
      <c r="AA13" s="375">
        <v>478239</v>
      </c>
      <c r="AB13" s="372">
        <f>+AJ30</f>
        <v>0.61</v>
      </c>
      <c r="AC13" s="375">
        <f>AA13*AB13</f>
        <v>291725.78999999998</v>
      </c>
      <c r="AD13" s="361"/>
      <c r="AE13" s="410" t="s">
        <v>66</v>
      </c>
      <c r="AF13" s="320"/>
      <c r="AG13" s="321">
        <v>466374</v>
      </c>
      <c r="AH13" s="318">
        <f>+AP30</f>
        <v>0.99</v>
      </c>
      <c r="AI13" s="321">
        <f>AG13*AH13</f>
        <v>461710.26</v>
      </c>
      <c r="AJ13" s="308"/>
      <c r="AK13" s="206" t="s">
        <v>66</v>
      </c>
      <c r="AL13" s="210"/>
      <c r="AM13" s="211">
        <v>459532</v>
      </c>
      <c r="AN13" s="208">
        <v>2.13</v>
      </c>
      <c r="AO13" s="211">
        <f>AM13*AN13</f>
        <v>978803.15999999992</v>
      </c>
      <c r="AP13" s="228"/>
      <c r="AQ13" s="277" t="s">
        <v>66</v>
      </c>
      <c r="AR13" s="281"/>
      <c r="AS13" s="282">
        <v>440676</v>
      </c>
      <c r="AT13" s="279">
        <f>+BB30</f>
        <v>1.63</v>
      </c>
      <c r="AU13" s="282">
        <f>AS13*AT13</f>
        <v>718301.88</v>
      </c>
      <c r="AV13" s="268"/>
      <c r="AW13" s="175" t="s">
        <v>66</v>
      </c>
      <c r="AX13" s="179"/>
      <c r="AY13" s="180">
        <v>426476</v>
      </c>
      <c r="AZ13" s="177">
        <v>2.12</v>
      </c>
      <c r="BA13" s="180">
        <f>AY13*AZ13</f>
        <v>904129.12</v>
      </c>
      <c r="BB13" s="240"/>
      <c r="BC13" s="122" t="s">
        <v>66</v>
      </c>
      <c r="BD13" s="125"/>
      <c r="BE13" s="126">
        <v>415851</v>
      </c>
      <c r="BF13" s="144">
        <f>+BN30</f>
        <v>2.2486813724127002</v>
      </c>
      <c r="BG13" s="126">
        <f>BE13*BF13</f>
        <v>935116.39739919372</v>
      </c>
      <c r="BH13" s="113"/>
      <c r="BI13" s="87" t="s">
        <v>66</v>
      </c>
      <c r="BJ13" s="90"/>
      <c r="BK13" s="91">
        <v>407475</v>
      </c>
      <c r="BL13" s="89">
        <v>2.0699999999999998</v>
      </c>
      <c r="BM13" s="91">
        <f>BK13*BL13</f>
        <v>843473.24999999988</v>
      </c>
      <c r="BN13" s="78"/>
    </row>
    <row r="14" spans="1:66" x14ac:dyDescent="0.2">
      <c r="A14" s="264" t="s">
        <v>22</v>
      </c>
      <c r="B14" s="265"/>
      <c r="C14" s="283">
        <f>SUM(C11:C13)</f>
        <v>612835</v>
      </c>
      <c r="D14" s="265"/>
      <c r="E14" s="283">
        <f>SUM(E11:E13)</f>
        <v>416489.36000000004</v>
      </c>
      <c r="F14" s="284"/>
      <c r="G14" s="163" t="s">
        <v>22</v>
      </c>
      <c r="H14" s="622"/>
      <c r="I14" s="637">
        <v>605091</v>
      </c>
      <c r="J14" s="622"/>
      <c r="K14" s="637">
        <v>751414.82</v>
      </c>
      <c r="L14" s="241"/>
      <c r="M14" s="75" t="s">
        <v>22</v>
      </c>
      <c r="N14" s="76"/>
      <c r="O14" s="92">
        <v>597112</v>
      </c>
      <c r="P14" s="76"/>
      <c r="Q14" s="92">
        <v>548600.39</v>
      </c>
      <c r="R14" s="488"/>
      <c r="S14" s="439" t="s">
        <v>22</v>
      </c>
      <c r="T14" s="440"/>
      <c r="U14" s="458">
        <f>SUM(U11:U13)</f>
        <v>586831</v>
      </c>
      <c r="V14" s="440"/>
      <c r="W14" s="458">
        <f>SUM(W11:W13)</f>
        <v>186460.26</v>
      </c>
      <c r="X14" s="459"/>
      <c r="Y14" s="357" t="s">
        <v>22</v>
      </c>
      <c r="Z14" s="358"/>
      <c r="AA14" s="376">
        <f>SUM(AA11:AA13)</f>
        <v>572640</v>
      </c>
      <c r="AB14" s="358"/>
      <c r="AC14" s="376">
        <f>SUM(AC11:AC13)</f>
        <v>385182.77999999997</v>
      </c>
      <c r="AD14" s="377"/>
      <c r="AE14" s="305" t="s">
        <v>22</v>
      </c>
      <c r="AF14" s="305"/>
      <c r="AG14" s="322">
        <f>SUM(AG11:AG13)</f>
        <v>559017</v>
      </c>
      <c r="AH14" s="305"/>
      <c r="AI14" s="322">
        <f>SUM(AI11:AI13)</f>
        <v>659039.85</v>
      </c>
      <c r="AJ14" s="323"/>
      <c r="AK14" s="194" t="s">
        <v>22</v>
      </c>
      <c r="AL14" s="195"/>
      <c r="AM14" s="212">
        <f>SUM(AM11:AM13)</f>
        <v>550573</v>
      </c>
      <c r="AN14" s="195"/>
      <c r="AO14" s="212">
        <f>SUM(AO11:AO13)</f>
        <v>1127199.99</v>
      </c>
      <c r="AP14" s="229"/>
      <c r="AQ14" s="264" t="s">
        <v>22</v>
      </c>
      <c r="AR14" s="265"/>
      <c r="AS14" s="283">
        <f>SUM(AS11:AS13)</f>
        <v>526959</v>
      </c>
      <c r="AT14" s="265"/>
      <c r="AU14" s="283">
        <f>SUM(AU11:AU13)</f>
        <v>901221.84000000008</v>
      </c>
      <c r="AV14" s="284"/>
      <c r="AW14" s="163" t="s">
        <v>22</v>
      </c>
      <c r="AX14" s="164"/>
      <c r="AY14" s="181">
        <f>SUM(AY11:AY13)</f>
        <v>510979</v>
      </c>
      <c r="AZ14" s="164"/>
      <c r="BA14" s="181">
        <f>SUM(BA11:BA13)</f>
        <v>1094260.8700000001</v>
      </c>
      <c r="BB14" s="241"/>
      <c r="BC14" s="110" t="s">
        <v>22</v>
      </c>
      <c r="BD14" s="111"/>
      <c r="BE14" s="127">
        <f>SUM(BE11:BE13)</f>
        <v>497790</v>
      </c>
      <c r="BF14" s="111"/>
      <c r="BG14" s="127">
        <f>SUM(BG11:BG13)</f>
        <v>1104730.1273991936</v>
      </c>
      <c r="BH14" s="111"/>
      <c r="BI14" s="75" t="s">
        <v>22</v>
      </c>
      <c r="BJ14" s="76"/>
      <c r="BK14" s="92">
        <f>SUM(BK11:BK13)</f>
        <v>488432</v>
      </c>
      <c r="BL14" s="76"/>
      <c r="BM14" s="92">
        <f>SUM(BM11:BM13)</f>
        <v>1105773.93</v>
      </c>
      <c r="BN14" s="76"/>
    </row>
    <row r="15" spans="1:66" x14ac:dyDescent="0.2">
      <c r="A15" s="271"/>
      <c r="B15" s="267"/>
      <c r="C15" s="267"/>
      <c r="D15" s="267"/>
      <c r="E15" s="267"/>
      <c r="F15" s="268"/>
      <c r="G15" s="169"/>
      <c r="H15" s="624"/>
      <c r="I15" s="624"/>
      <c r="J15" s="624"/>
      <c r="K15" s="624"/>
      <c r="L15" s="240"/>
      <c r="M15" s="81"/>
      <c r="N15" s="78"/>
      <c r="O15" s="78"/>
      <c r="P15" s="78"/>
      <c r="Q15" s="78"/>
      <c r="R15" s="485"/>
      <c r="S15" s="446"/>
      <c r="T15" s="442"/>
      <c r="U15" s="442"/>
      <c r="V15" s="442"/>
      <c r="W15" s="442"/>
      <c r="X15" s="443"/>
      <c r="Y15" s="364"/>
      <c r="Z15" s="360"/>
      <c r="AA15" s="360"/>
      <c r="AB15" s="360"/>
      <c r="AC15" s="360"/>
      <c r="AD15" s="361"/>
      <c r="AE15" s="307"/>
      <c r="AF15" s="307"/>
      <c r="AG15" s="307"/>
      <c r="AH15" s="307"/>
      <c r="AI15" s="307"/>
      <c r="AJ15" s="308"/>
      <c r="AK15" s="200"/>
      <c r="AL15" s="197"/>
      <c r="AM15" s="197"/>
      <c r="AN15" s="197"/>
      <c r="AO15" s="197"/>
      <c r="AP15" s="228"/>
      <c r="AQ15" s="271"/>
      <c r="AR15" s="267"/>
      <c r="AS15" s="267"/>
      <c r="AT15" s="267"/>
      <c r="AU15" s="267"/>
      <c r="AV15" s="268"/>
      <c r="AW15" s="169"/>
      <c r="AX15" s="166"/>
      <c r="AY15" s="166"/>
      <c r="AZ15" s="166"/>
      <c r="BA15" s="166"/>
      <c r="BB15" s="240"/>
      <c r="BC15" s="116"/>
      <c r="BD15" s="113"/>
      <c r="BE15" s="113"/>
      <c r="BF15" s="113"/>
      <c r="BG15" s="113"/>
      <c r="BH15" s="113"/>
      <c r="BI15" s="81"/>
      <c r="BJ15" s="78"/>
      <c r="BK15" s="78"/>
      <c r="BL15" s="78"/>
      <c r="BM15" s="78"/>
      <c r="BN15" s="78"/>
    </row>
    <row r="16" spans="1:66" x14ac:dyDescent="0.2">
      <c r="A16" s="277" t="s">
        <v>67</v>
      </c>
      <c r="B16" s="267"/>
      <c r="C16" s="267"/>
      <c r="D16" s="267"/>
      <c r="E16" s="278">
        <f>+'Calculation of Revenue'!F23</f>
        <v>884444.28993790806</v>
      </c>
      <c r="F16" s="268"/>
      <c r="G16" s="175" t="s">
        <v>67</v>
      </c>
      <c r="H16" s="624"/>
      <c r="I16" s="624"/>
      <c r="J16" s="624"/>
      <c r="K16" s="632">
        <v>341849.06666888652</v>
      </c>
      <c r="L16" s="240"/>
      <c r="M16" s="87" t="s">
        <v>67</v>
      </c>
      <c r="N16" s="78"/>
      <c r="O16" s="78"/>
      <c r="P16" s="78"/>
      <c r="Q16" s="88">
        <v>762052.35163120297</v>
      </c>
      <c r="R16" s="485"/>
      <c r="S16" s="452" t="s">
        <v>67</v>
      </c>
      <c r="T16" s="442"/>
      <c r="U16" s="442"/>
      <c r="V16" s="442"/>
      <c r="W16" s="453">
        <v>616578</v>
      </c>
      <c r="X16" s="443"/>
      <c r="Y16" s="370" t="s">
        <v>67</v>
      </c>
      <c r="Z16" s="360"/>
      <c r="AA16" s="360"/>
      <c r="AB16" s="360"/>
      <c r="AC16" s="371">
        <v>149499</v>
      </c>
      <c r="AD16" s="361"/>
      <c r="AE16" s="410" t="s">
        <v>67</v>
      </c>
      <c r="AF16" s="307"/>
      <c r="AG16" s="307"/>
      <c r="AH16" s="307"/>
      <c r="AI16" s="317">
        <v>392835.57488468004</v>
      </c>
      <c r="AJ16" s="308"/>
      <c r="AK16" s="206" t="s">
        <v>67</v>
      </c>
      <c r="AL16" s="197"/>
      <c r="AM16" s="197"/>
      <c r="AN16" s="197"/>
      <c r="AO16" s="207">
        <v>637707.255490168</v>
      </c>
      <c r="AP16" s="228"/>
      <c r="AQ16" s="277" t="s">
        <v>67</v>
      </c>
      <c r="AR16" s="267"/>
      <c r="AS16" s="267"/>
      <c r="AT16" s="267"/>
      <c r="AU16" s="278">
        <v>1122741</v>
      </c>
      <c r="AV16" s="268"/>
      <c r="AW16" s="175" t="s">
        <v>67</v>
      </c>
      <c r="AX16" s="166"/>
      <c r="AY16" s="166"/>
      <c r="AZ16" s="166"/>
      <c r="BA16" s="176">
        <v>832361</v>
      </c>
      <c r="BB16" s="240"/>
      <c r="BC16" s="122" t="s">
        <v>67</v>
      </c>
      <c r="BD16" s="113"/>
      <c r="BE16" s="113"/>
      <c r="BF16" s="113"/>
      <c r="BG16" s="123">
        <v>1057229.1646778199</v>
      </c>
      <c r="BH16" s="113"/>
      <c r="BI16" s="87" t="s">
        <v>67</v>
      </c>
      <c r="BJ16" s="78"/>
      <c r="BK16" s="78"/>
      <c r="BL16" s="78"/>
      <c r="BM16" s="88">
        <v>1098327.94009028</v>
      </c>
      <c r="BN16" s="78"/>
    </row>
    <row r="17" spans="1:66" x14ac:dyDescent="0.2">
      <c r="A17" s="277"/>
      <c r="B17" s="267"/>
      <c r="C17" s="267"/>
      <c r="D17" s="285"/>
      <c r="E17" s="278"/>
      <c r="F17" s="268"/>
      <c r="G17" s="175"/>
      <c r="H17" s="624"/>
      <c r="I17" s="624"/>
      <c r="J17" s="638"/>
      <c r="K17" s="632"/>
      <c r="L17" s="240"/>
      <c r="M17" s="87"/>
      <c r="N17" s="78"/>
      <c r="O17" s="78"/>
      <c r="P17" s="93"/>
      <c r="Q17" s="88"/>
      <c r="R17" s="485"/>
      <c r="S17" s="452"/>
      <c r="T17" s="442"/>
      <c r="U17" s="442"/>
      <c r="V17" s="460"/>
      <c r="W17" s="453"/>
      <c r="X17" s="443"/>
      <c r="Y17" s="370"/>
      <c r="Z17" s="360"/>
      <c r="AA17" s="360"/>
      <c r="AB17" s="378"/>
      <c r="AC17" s="371"/>
      <c r="AD17" s="361"/>
      <c r="AE17" s="410"/>
      <c r="AF17" s="307"/>
      <c r="AG17" s="307"/>
      <c r="AH17" s="324"/>
      <c r="AI17" s="317"/>
      <c r="AJ17" s="308"/>
      <c r="AK17" s="206"/>
      <c r="AL17" s="197"/>
      <c r="AM17" s="197"/>
      <c r="AN17" s="213"/>
      <c r="AO17" s="207"/>
      <c r="AP17" s="228"/>
      <c r="AQ17" s="277"/>
      <c r="AR17" s="267"/>
      <c r="AS17" s="267"/>
      <c r="AT17" s="285"/>
      <c r="AU17" s="278"/>
      <c r="AV17" s="268"/>
      <c r="AW17" s="175"/>
      <c r="AX17" s="166"/>
      <c r="AY17" s="166"/>
      <c r="AZ17" s="182"/>
      <c r="BA17" s="176"/>
      <c r="BB17" s="240"/>
      <c r="BC17" s="122"/>
      <c r="BD17" s="113"/>
      <c r="BE17" s="113"/>
      <c r="BF17" s="128"/>
      <c r="BG17" s="123"/>
      <c r="BH17" s="113"/>
      <c r="BI17" s="87"/>
      <c r="BJ17" s="78"/>
      <c r="BK17" s="78"/>
      <c r="BL17" s="93"/>
      <c r="BM17" s="88"/>
      <c r="BN17" s="78"/>
    </row>
    <row r="18" spans="1:66" ht="15" x14ac:dyDescent="0.35">
      <c r="A18" s="277"/>
      <c r="B18" s="267"/>
      <c r="C18" s="267"/>
      <c r="D18" s="282"/>
      <c r="E18" s="278"/>
      <c r="F18" s="268"/>
      <c r="G18" s="175"/>
      <c r="H18" s="624"/>
      <c r="I18" s="624"/>
      <c r="J18" s="636"/>
      <c r="K18" s="632"/>
      <c r="L18" s="240"/>
      <c r="M18" s="87"/>
      <c r="N18" s="78"/>
      <c r="O18" s="78"/>
      <c r="P18" s="91"/>
      <c r="Q18" s="88"/>
      <c r="R18" s="485"/>
      <c r="S18" s="452"/>
      <c r="T18" s="442"/>
      <c r="U18" s="442"/>
      <c r="V18" s="457"/>
      <c r="W18" s="453"/>
      <c r="X18" s="443"/>
      <c r="Y18" s="370"/>
      <c r="Z18" s="360"/>
      <c r="AA18" s="360"/>
      <c r="AB18" s="375"/>
      <c r="AC18" s="371"/>
      <c r="AD18" s="361"/>
      <c r="AE18" s="410"/>
      <c r="AF18" s="307"/>
      <c r="AG18" s="307"/>
      <c r="AH18" s="321"/>
      <c r="AI18" s="317"/>
      <c r="AJ18" s="308"/>
      <c r="AK18" s="206"/>
      <c r="AL18" s="197"/>
      <c r="AM18" s="197"/>
      <c r="AN18" s="211"/>
      <c r="AO18" s="207"/>
      <c r="AP18" s="228"/>
      <c r="AQ18" s="277"/>
      <c r="AR18" s="267"/>
      <c r="AS18" s="267"/>
      <c r="AT18" s="282"/>
      <c r="AU18" s="278"/>
      <c r="AV18" s="268"/>
      <c r="AW18" s="175"/>
      <c r="AX18" s="166"/>
      <c r="AY18" s="166"/>
      <c r="AZ18" s="180"/>
      <c r="BA18" s="176"/>
      <c r="BB18" s="240"/>
      <c r="BC18" s="122"/>
      <c r="BD18" s="113"/>
      <c r="BE18" s="113"/>
      <c r="BF18" s="126"/>
      <c r="BG18" s="123"/>
      <c r="BH18" s="113"/>
      <c r="BI18" s="87"/>
      <c r="BJ18" s="78"/>
      <c r="BK18" s="78"/>
      <c r="BL18" s="91"/>
      <c r="BM18" s="88"/>
      <c r="BN18" s="78"/>
    </row>
    <row r="19" spans="1:66" ht="15" x14ac:dyDescent="0.35">
      <c r="A19" s="277"/>
      <c r="B19" s="267"/>
      <c r="C19" s="267"/>
      <c r="D19" s="267"/>
      <c r="E19" s="282"/>
      <c r="F19" s="268"/>
      <c r="G19" s="175"/>
      <c r="H19" s="624"/>
      <c r="I19" s="624"/>
      <c r="J19" s="624"/>
      <c r="K19" s="636"/>
      <c r="L19" s="240"/>
      <c r="M19" s="87"/>
      <c r="N19" s="78"/>
      <c r="O19" s="78"/>
      <c r="P19" s="78"/>
      <c r="Q19" s="91"/>
      <c r="R19" s="485"/>
      <c r="S19" s="452"/>
      <c r="T19" s="442"/>
      <c r="U19" s="442"/>
      <c r="V19" s="442"/>
      <c r="W19" s="457"/>
      <c r="X19" s="443"/>
      <c r="Y19" s="370"/>
      <c r="Z19" s="360"/>
      <c r="AA19" s="360"/>
      <c r="AB19" s="360"/>
      <c r="AC19" s="375"/>
      <c r="AD19" s="361"/>
      <c r="AE19" s="410"/>
      <c r="AF19" s="307"/>
      <c r="AG19" s="307"/>
      <c r="AH19" s="307"/>
      <c r="AI19" s="321"/>
      <c r="AJ19" s="308"/>
      <c r="AK19" s="206"/>
      <c r="AL19" s="197"/>
      <c r="AM19" s="197"/>
      <c r="AN19" s="197"/>
      <c r="AO19" s="211"/>
      <c r="AP19" s="228"/>
      <c r="AQ19" s="277"/>
      <c r="AR19" s="267"/>
      <c r="AS19" s="267"/>
      <c r="AT19" s="267"/>
      <c r="AU19" s="282"/>
      <c r="AV19" s="268"/>
      <c r="AW19" s="175"/>
      <c r="AX19" s="166"/>
      <c r="AY19" s="166"/>
      <c r="AZ19" s="166"/>
      <c r="BA19" s="180"/>
      <c r="BB19" s="240"/>
      <c r="BC19" s="122"/>
      <c r="BD19" s="113"/>
      <c r="BE19" s="113"/>
      <c r="BF19" s="113"/>
      <c r="BG19" s="126"/>
      <c r="BH19" s="113"/>
      <c r="BI19" s="87"/>
      <c r="BJ19" s="78"/>
      <c r="BK19" s="78"/>
      <c r="BL19" s="78"/>
      <c r="BM19" s="91"/>
      <c r="BN19" s="78"/>
    </row>
    <row r="20" spans="1:66" x14ac:dyDescent="0.2">
      <c r="A20" s="286"/>
      <c r="B20" s="267"/>
      <c r="C20" s="267"/>
      <c r="D20" s="267"/>
      <c r="E20" s="278"/>
      <c r="F20" s="268"/>
      <c r="G20" s="183"/>
      <c r="H20" s="624"/>
      <c r="I20" s="624"/>
      <c r="J20" s="624"/>
      <c r="K20" s="632"/>
      <c r="L20" s="240"/>
      <c r="M20" s="94"/>
      <c r="N20" s="78"/>
      <c r="O20" s="78"/>
      <c r="P20" s="78"/>
      <c r="Q20" s="88"/>
      <c r="R20" s="485"/>
      <c r="S20" s="461"/>
      <c r="T20" s="442"/>
      <c r="U20" s="442"/>
      <c r="V20" s="442"/>
      <c r="W20" s="453"/>
      <c r="X20" s="443"/>
      <c r="Y20" s="379"/>
      <c r="Z20" s="360"/>
      <c r="AA20" s="360"/>
      <c r="AB20" s="360"/>
      <c r="AC20" s="371"/>
      <c r="AD20" s="361"/>
      <c r="AE20" s="411"/>
      <c r="AF20" s="307"/>
      <c r="AG20" s="307"/>
      <c r="AH20" s="307"/>
      <c r="AI20" s="317"/>
      <c r="AJ20" s="308"/>
      <c r="AK20" s="214"/>
      <c r="AL20" s="197"/>
      <c r="AM20" s="197"/>
      <c r="AN20" s="197"/>
      <c r="AO20" s="207"/>
      <c r="AP20" s="228"/>
      <c r="AQ20" s="286"/>
      <c r="AR20" s="267"/>
      <c r="AS20" s="267"/>
      <c r="AT20" s="267"/>
      <c r="AU20" s="278"/>
      <c r="AV20" s="268"/>
      <c r="AW20" s="183"/>
      <c r="AX20" s="166"/>
      <c r="AY20" s="166"/>
      <c r="AZ20" s="166"/>
      <c r="BA20" s="176"/>
      <c r="BB20" s="240"/>
      <c r="BC20" s="129"/>
      <c r="BD20" s="113"/>
      <c r="BE20" s="113"/>
      <c r="BF20" s="113"/>
      <c r="BG20" s="123"/>
      <c r="BH20" s="113"/>
      <c r="BI20" s="94"/>
      <c r="BJ20" s="78"/>
      <c r="BK20" s="78"/>
      <c r="BL20" s="78"/>
      <c r="BM20" s="88"/>
      <c r="BN20" s="78"/>
    </row>
    <row r="21" spans="1:66" x14ac:dyDescent="0.2">
      <c r="A21" s="271"/>
      <c r="B21" s="267"/>
      <c r="C21" s="267"/>
      <c r="D21" s="267"/>
      <c r="E21" s="267"/>
      <c r="F21" s="268"/>
      <c r="G21" s="169"/>
      <c r="H21" s="624"/>
      <c r="I21" s="624"/>
      <c r="J21" s="624"/>
      <c r="K21" s="624"/>
      <c r="L21" s="240"/>
      <c r="M21" s="81"/>
      <c r="N21" s="78"/>
      <c r="O21" s="78"/>
      <c r="P21" s="78"/>
      <c r="Q21" s="78"/>
      <c r="R21" s="485"/>
      <c r="S21" s="446"/>
      <c r="T21" s="442"/>
      <c r="U21" s="442"/>
      <c r="V21" s="442"/>
      <c r="W21" s="442"/>
      <c r="X21" s="443"/>
      <c r="Y21" s="364"/>
      <c r="Z21" s="360"/>
      <c r="AA21" s="360"/>
      <c r="AB21" s="360"/>
      <c r="AC21" s="360"/>
      <c r="AD21" s="361"/>
      <c r="AE21" s="307"/>
      <c r="AF21" s="307"/>
      <c r="AG21" s="307"/>
      <c r="AH21" s="307"/>
      <c r="AI21" s="307"/>
      <c r="AJ21" s="308"/>
      <c r="AK21" s="200"/>
      <c r="AL21" s="197"/>
      <c r="AM21" s="197"/>
      <c r="AN21" s="197"/>
      <c r="AO21" s="197"/>
      <c r="AP21" s="228"/>
      <c r="AQ21" s="271"/>
      <c r="AR21" s="267"/>
      <c r="AS21" s="267"/>
      <c r="AT21" s="267"/>
      <c r="AU21" s="267"/>
      <c r="AV21" s="268"/>
      <c r="AW21" s="169"/>
      <c r="AX21" s="166"/>
      <c r="AY21" s="166"/>
      <c r="AZ21" s="166"/>
      <c r="BA21" s="166"/>
      <c r="BB21" s="240"/>
      <c r="BC21" s="116"/>
      <c r="BD21" s="113"/>
      <c r="BE21" s="113"/>
      <c r="BF21" s="113"/>
      <c r="BG21" s="113"/>
      <c r="BH21" s="113"/>
      <c r="BI21" s="81"/>
      <c r="BJ21" s="78"/>
      <c r="BK21" s="78"/>
      <c r="BL21" s="78"/>
      <c r="BM21" s="78"/>
      <c r="BN21" s="78"/>
    </row>
    <row r="22" spans="1:66" x14ac:dyDescent="0.2">
      <c r="A22" s="271" t="s">
        <v>68</v>
      </c>
      <c r="B22" s="267"/>
      <c r="C22" s="267"/>
      <c r="D22" s="267"/>
      <c r="E22" s="278">
        <f>E16-E14</f>
        <v>467954.92993790802</v>
      </c>
      <c r="F22" s="268"/>
      <c r="G22" s="169" t="s">
        <v>68</v>
      </c>
      <c r="H22" s="624"/>
      <c r="I22" s="624"/>
      <c r="J22" s="624"/>
      <c r="K22" s="632">
        <v>-409565.75333111343</v>
      </c>
      <c r="L22" s="240"/>
      <c r="M22" s="81" t="s">
        <v>68</v>
      </c>
      <c r="N22" s="78"/>
      <c r="O22" s="78"/>
      <c r="P22" s="78"/>
      <c r="Q22" s="88">
        <v>213451.96163120295</v>
      </c>
      <c r="R22" s="485"/>
      <c r="S22" s="446" t="s">
        <v>68</v>
      </c>
      <c r="T22" s="442"/>
      <c r="U22" s="442"/>
      <c r="V22" s="442"/>
      <c r="W22" s="453">
        <f>W16-W14</f>
        <v>430117.74</v>
      </c>
      <c r="X22" s="443"/>
      <c r="Y22" s="364" t="s">
        <v>68</v>
      </c>
      <c r="Z22" s="360"/>
      <c r="AA22" s="360"/>
      <c r="AB22" s="360"/>
      <c r="AC22" s="371">
        <f>AC16-AC14</f>
        <v>-235683.77999999997</v>
      </c>
      <c r="AD22" s="361"/>
      <c r="AE22" s="307" t="s">
        <v>68</v>
      </c>
      <c r="AF22" s="307"/>
      <c r="AG22" s="307"/>
      <c r="AH22" s="307"/>
      <c r="AI22" s="317">
        <f>AI16-AI14</f>
        <v>-266204.27511531994</v>
      </c>
      <c r="AJ22" s="308"/>
      <c r="AK22" s="200" t="s">
        <v>68</v>
      </c>
      <c r="AL22" s="197"/>
      <c r="AM22" s="197"/>
      <c r="AN22" s="197"/>
      <c r="AO22" s="207">
        <f>AO16-AO14</f>
        <v>-489492.73450983199</v>
      </c>
      <c r="AP22" s="228"/>
      <c r="AQ22" s="271" t="s">
        <v>68</v>
      </c>
      <c r="AR22" s="267"/>
      <c r="AS22" s="267"/>
      <c r="AT22" s="267"/>
      <c r="AU22" s="278">
        <f>AU16-AU14</f>
        <v>221519.15999999992</v>
      </c>
      <c r="AV22" s="268"/>
      <c r="AW22" s="169" t="s">
        <v>68</v>
      </c>
      <c r="AX22" s="166"/>
      <c r="AY22" s="166"/>
      <c r="AZ22" s="166"/>
      <c r="BA22" s="176">
        <f>BA16-BA14</f>
        <v>-261899.87000000011</v>
      </c>
      <c r="BB22" s="240"/>
      <c r="BC22" s="116" t="s">
        <v>68</v>
      </c>
      <c r="BD22" s="113"/>
      <c r="BE22" s="113"/>
      <c r="BF22" s="113"/>
      <c r="BG22" s="123">
        <f>BG16-BG14</f>
        <v>-47500.962721373653</v>
      </c>
      <c r="BH22" s="113"/>
      <c r="BI22" s="81" t="s">
        <v>68</v>
      </c>
      <c r="BJ22" s="78"/>
      <c r="BK22" s="78"/>
      <c r="BL22" s="78"/>
      <c r="BM22" s="88">
        <f>BM16-BM14</f>
        <v>-7445.9899097199086</v>
      </c>
      <c r="BN22" s="78"/>
    </row>
    <row r="23" spans="1:66" x14ac:dyDescent="0.2">
      <c r="A23" s="271"/>
      <c r="B23" s="267"/>
      <c r="C23" s="267"/>
      <c r="D23" s="267"/>
      <c r="E23" s="267"/>
      <c r="F23" s="268"/>
      <c r="G23" s="169"/>
      <c r="H23" s="624"/>
      <c r="I23" s="624"/>
      <c r="J23" s="624"/>
      <c r="K23" s="624"/>
      <c r="L23" s="240"/>
      <c r="M23" s="81"/>
      <c r="N23" s="78"/>
      <c r="O23" s="78"/>
      <c r="P23" s="78"/>
      <c r="Q23" s="78"/>
      <c r="R23" s="485"/>
      <c r="S23" s="446"/>
      <c r="T23" s="442"/>
      <c r="U23" s="442"/>
      <c r="V23" s="442"/>
      <c r="W23" s="442"/>
      <c r="X23" s="443"/>
      <c r="Y23" s="364"/>
      <c r="Z23" s="360"/>
      <c r="AA23" s="360"/>
      <c r="AB23" s="360"/>
      <c r="AC23" s="360"/>
      <c r="AD23" s="361"/>
      <c r="AE23" s="307"/>
      <c r="AF23" s="307"/>
      <c r="AG23" s="307"/>
      <c r="AH23" s="307"/>
      <c r="AI23" s="307"/>
      <c r="AJ23" s="308"/>
      <c r="AK23" s="200"/>
      <c r="AL23" s="197"/>
      <c r="AM23" s="197"/>
      <c r="AN23" s="197"/>
      <c r="AO23" s="197"/>
      <c r="AP23" s="228"/>
      <c r="AQ23" s="271"/>
      <c r="AR23" s="267"/>
      <c r="AS23" s="267"/>
      <c r="AT23" s="267"/>
      <c r="AU23" s="267"/>
      <c r="AV23" s="268"/>
      <c r="AW23" s="169"/>
      <c r="AX23" s="166"/>
      <c r="AY23" s="166"/>
      <c r="AZ23" s="166"/>
      <c r="BA23" s="166"/>
      <c r="BB23" s="240"/>
      <c r="BC23" s="116"/>
      <c r="BD23" s="113"/>
      <c r="BE23" s="113"/>
      <c r="BF23" s="113"/>
      <c r="BG23" s="113"/>
      <c r="BH23" s="113"/>
      <c r="BI23" s="81"/>
      <c r="BJ23" s="78"/>
      <c r="BK23" s="78"/>
      <c r="BL23" s="78"/>
      <c r="BM23" s="78"/>
      <c r="BN23" s="78"/>
    </row>
    <row r="24" spans="1:66" x14ac:dyDescent="0.2">
      <c r="A24" s="271" t="s">
        <v>69</v>
      </c>
      <c r="B24" s="267"/>
      <c r="C24" s="267"/>
      <c r="D24" s="267"/>
      <c r="E24" s="278">
        <f>+C14</f>
        <v>612835</v>
      </c>
      <c r="F24" s="268"/>
      <c r="G24" s="169" t="s">
        <v>69</v>
      </c>
      <c r="H24" s="624"/>
      <c r="I24" s="624"/>
      <c r="J24" s="624"/>
      <c r="K24" s="632">
        <v>605091</v>
      </c>
      <c r="L24" s="240"/>
      <c r="M24" s="81" t="s">
        <v>69</v>
      </c>
      <c r="N24" s="78"/>
      <c r="O24" s="78"/>
      <c r="P24" s="78"/>
      <c r="Q24" s="88">
        <v>597112</v>
      </c>
      <c r="R24" s="485"/>
      <c r="S24" s="446" t="s">
        <v>69</v>
      </c>
      <c r="T24" s="442"/>
      <c r="U24" s="442"/>
      <c r="V24" s="442"/>
      <c r="W24" s="453">
        <f>+U14</f>
        <v>586831</v>
      </c>
      <c r="X24" s="443"/>
      <c r="Y24" s="364" t="s">
        <v>69</v>
      </c>
      <c r="Z24" s="360"/>
      <c r="AA24" s="360"/>
      <c r="AB24" s="360"/>
      <c r="AC24" s="371">
        <f>+AA14</f>
        <v>572640</v>
      </c>
      <c r="AD24" s="361"/>
      <c r="AE24" s="307" t="s">
        <v>69</v>
      </c>
      <c r="AF24" s="307"/>
      <c r="AG24" s="307"/>
      <c r="AH24" s="307"/>
      <c r="AI24" s="317">
        <f>+AG14</f>
        <v>559017</v>
      </c>
      <c r="AJ24" s="308"/>
      <c r="AK24" s="200" t="s">
        <v>69</v>
      </c>
      <c r="AL24" s="197"/>
      <c r="AM24" s="197"/>
      <c r="AN24" s="197"/>
      <c r="AO24" s="207">
        <f>+AM14</f>
        <v>550573</v>
      </c>
      <c r="AP24" s="228"/>
      <c r="AQ24" s="271" t="s">
        <v>69</v>
      </c>
      <c r="AR24" s="267"/>
      <c r="AS24" s="267"/>
      <c r="AT24" s="267"/>
      <c r="AU24" s="278">
        <f>+AS14</f>
        <v>526959</v>
      </c>
      <c r="AV24" s="268"/>
      <c r="AW24" s="169" t="s">
        <v>69</v>
      </c>
      <c r="AX24" s="166"/>
      <c r="AY24" s="166"/>
      <c r="AZ24" s="166"/>
      <c r="BA24" s="176">
        <f>+AY14</f>
        <v>510979</v>
      </c>
      <c r="BB24" s="240"/>
      <c r="BC24" s="116" t="s">
        <v>69</v>
      </c>
      <c r="BD24" s="113"/>
      <c r="BE24" s="113"/>
      <c r="BF24" s="113"/>
      <c r="BG24" s="123">
        <f>+BE14</f>
        <v>497790</v>
      </c>
      <c r="BH24" s="113"/>
      <c r="BI24" s="81" t="s">
        <v>69</v>
      </c>
      <c r="BJ24" s="78"/>
      <c r="BK24" s="78"/>
      <c r="BL24" s="78"/>
      <c r="BM24" s="88">
        <f>+BK14</f>
        <v>488432</v>
      </c>
      <c r="BN24" s="78"/>
    </row>
    <row r="25" spans="1:66" x14ac:dyDescent="0.2">
      <c r="A25" s="271"/>
      <c r="B25" s="267"/>
      <c r="C25" s="267"/>
      <c r="D25" s="267"/>
      <c r="E25" s="267"/>
      <c r="F25" s="268"/>
      <c r="G25" s="169"/>
      <c r="H25" s="624"/>
      <c r="I25" s="624"/>
      <c r="J25" s="624"/>
      <c r="K25" s="624"/>
      <c r="L25" s="240"/>
      <c r="M25" s="81"/>
      <c r="N25" s="78"/>
      <c r="O25" s="78"/>
      <c r="P25" s="78"/>
      <c r="Q25" s="78"/>
      <c r="R25" s="485"/>
      <c r="S25" s="446"/>
      <c r="T25" s="442"/>
      <c r="U25" s="442"/>
      <c r="V25" s="442"/>
      <c r="W25" s="442"/>
      <c r="X25" s="443"/>
      <c r="Y25" s="364"/>
      <c r="Z25" s="360"/>
      <c r="AA25" s="360"/>
      <c r="AB25" s="360"/>
      <c r="AC25" s="360"/>
      <c r="AD25" s="361"/>
      <c r="AE25" s="307"/>
      <c r="AF25" s="307"/>
      <c r="AG25" s="307"/>
      <c r="AH25" s="307"/>
      <c r="AI25" s="307"/>
      <c r="AJ25" s="308"/>
      <c r="AK25" s="200"/>
      <c r="AL25" s="197"/>
      <c r="AM25" s="197"/>
      <c r="AN25" s="197"/>
      <c r="AO25" s="197"/>
      <c r="AP25" s="228"/>
      <c r="AQ25" s="271"/>
      <c r="AR25" s="267"/>
      <c r="AS25" s="267"/>
      <c r="AT25" s="267"/>
      <c r="AU25" s="267"/>
      <c r="AV25" s="268"/>
      <c r="AW25" s="169"/>
      <c r="AX25" s="166"/>
      <c r="AY25" s="166"/>
      <c r="AZ25" s="166"/>
      <c r="BA25" s="166"/>
      <c r="BB25" s="240"/>
      <c r="BC25" s="116"/>
      <c r="BD25" s="113"/>
      <c r="BE25" s="113"/>
      <c r="BF25" s="113"/>
      <c r="BG25" s="113"/>
      <c r="BH25" s="113"/>
      <c r="BI25" s="81"/>
      <c r="BJ25" s="78"/>
      <c r="BK25" s="78"/>
      <c r="BL25" s="78"/>
      <c r="BM25" s="78"/>
      <c r="BN25" s="78"/>
    </row>
    <row r="26" spans="1:66" x14ac:dyDescent="0.2">
      <c r="A26" s="271" t="s">
        <v>70</v>
      </c>
      <c r="B26" s="267"/>
      <c r="C26" s="267"/>
      <c r="D26" s="267"/>
      <c r="E26" s="267"/>
      <c r="F26" s="287">
        <f>ROUND(E22/E24,2)</f>
        <v>0.76</v>
      </c>
      <c r="G26" s="169" t="s">
        <v>70</v>
      </c>
      <c r="H26" s="624"/>
      <c r="I26" s="624"/>
      <c r="J26" s="624"/>
      <c r="K26" s="624"/>
      <c r="L26" s="639">
        <v>-0.68</v>
      </c>
      <c r="M26" s="81" t="s">
        <v>70</v>
      </c>
      <c r="N26" s="95"/>
      <c r="O26" s="78"/>
      <c r="P26" s="78"/>
      <c r="Q26" s="78"/>
      <c r="R26" s="489">
        <v>0.36</v>
      </c>
      <c r="S26" s="446" t="s">
        <v>70</v>
      </c>
      <c r="T26" s="442"/>
      <c r="U26" s="442"/>
      <c r="V26" s="442"/>
      <c r="W26" s="442"/>
      <c r="X26" s="462">
        <f>ROUND(W22/W24,2)</f>
        <v>0.73</v>
      </c>
      <c r="Y26" s="364" t="s">
        <v>70</v>
      </c>
      <c r="Z26" s="360"/>
      <c r="AA26" s="360"/>
      <c r="AB26" s="360"/>
      <c r="AC26" s="360"/>
      <c r="AD26" s="380">
        <f>ROUND(AC22/AC24,2)</f>
        <v>-0.41</v>
      </c>
      <c r="AE26" s="307" t="s">
        <v>70</v>
      </c>
      <c r="AF26" s="307"/>
      <c r="AG26" s="307"/>
      <c r="AH26" s="307"/>
      <c r="AI26" s="307"/>
      <c r="AJ26" s="326">
        <f>ROUND(AI22/AI24,2)</f>
        <v>-0.48</v>
      </c>
      <c r="AK26" s="200" t="s">
        <v>70</v>
      </c>
      <c r="AL26" s="197"/>
      <c r="AM26" s="197"/>
      <c r="AN26" s="197"/>
      <c r="AO26" s="197"/>
      <c r="AP26" s="230">
        <f>ROUND(AO22/AO24,2)</f>
        <v>-0.89</v>
      </c>
      <c r="AQ26" s="271" t="s">
        <v>70</v>
      </c>
      <c r="AR26" s="267"/>
      <c r="AS26" s="267"/>
      <c r="AT26" s="267"/>
      <c r="AU26" s="267"/>
      <c r="AV26" s="287">
        <f>ROUND(AU22/AU24,2)</f>
        <v>0.42</v>
      </c>
      <c r="AW26" s="169" t="s">
        <v>70</v>
      </c>
      <c r="AX26" s="166"/>
      <c r="AY26" s="166"/>
      <c r="AZ26" s="166"/>
      <c r="BA26" s="166"/>
      <c r="BB26" s="242">
        <f>ROUND(BA22/BA24,2)</f>
        <v>-0.51</v>
      </c>
      <c r="BC26" s="116" t="s">
        <v>70</v>
      </c>
      <c r="BD26" s="113"/>
      <c r="BE26" s="113"/>
      <c r="BF26" s="113"/>
      <c r="BG26" s="113"/>
      <c r="BH26" s="130">
        <f>ROUND(BG22/BG24,2)</f>
        <v>-0.1</v>
      </c>
      <c r="BI26" s="81" t="s">
        <v>70</v>
      </c>
      <c r="BJ26" s="78"/>
      <c r="BK26" s="78"/>
      <c r="BL26" s="78"/>
      <c r="BM26" s="78"/>
      <c r="BN26" s="95">
        <f>ROUND(BM22/BM24,2)</f>
        <v>-0.02</v>
      </c>
    </row>
    <row r="27" spans="1:66" x14ac:dyDescent="0.2">
      <c r="A27" s="271"/>
      <c r="B27" s="267"/>
      <c r="C27" s="267"/>
      <c r="D27" s="267"/>
      <c r="E27" s="267"/>
      <c r="F27" s="287"/>
      <c r="G27" s="169"/>
      <c r="H27" s="624"/>
      <c r="I27" s="624"/>
      <c r="J27" s="624"/>
      <c r="K27" s="624"/>
      <c r="L27" s="639"/>
      <c r="M27" s="81"/>
      <c r="N27" s="95"/>
      <c r="O27" s="78"/>
      <c r="P27" s="78"/>
      <c r="Q27" s="78"/>
      <c r="R27" s="489"/>
      <c r="S27" s="446"/>
      <c r="T27" s="442"/>
      <c r="U27" s="442"/>
      <c r="V27" s="442"/>
      <c r="W27" s="442"/>
      <c r="X27" s="462"/>
      <c r="Y27" s="364"/>
      <c r="Z27" s="360"/>
      <c r="AA27" s="360"/>
      <c r="AB27" s="360"/>
      <c r="AC27" s="360"/>
      <c r="AD27" s="380"/>
      <c r="AE27" s="307"/>
      <c r="AF27" s="307"/>
      <c r="AG27" s="307"/>
      <c r="AH27" s="307"/>
      <c r="AI27" s="307"/>
      <c r="AJ27" s="326"/>
      <c r="AK27" s="200"/>
      <c r="AL27" s="197"/>
      <c r="AM27" s="197"/>
      <c r="AN27" s="197"/>
      <c r="AO27" s="197"/>
      <c r="AP27" s="230"/>
      <c r="AQ27" s="271"/>
      <c r="AR27" s="267"/>
      <c r="AS27" s="267"/>
      <c r="AT27" s="267"/>
      <c r="AU27" s="267"/>
      <c r="AV27" s="287"/>
      <c r="AW27" s="169"/>
      <c r="AX27" s="166"/>
      <c r="AY27" s="166"/>
      <c r="AZ27" s="166"/>
      <c r="BA27" s="166"/>
      <c r="BB27" s="242"/>
      <c r="BC27" s="116"/>
      <c r="BD27" s="113"/>
      <c r="BE27" s="113"/>
      <c r="BF27" s="113"/>
      <c r="BG27" s="113"/>
      <c r="BH27" s="130"/>
      <c r="BI27" s="81"/>
      <c r="BJ27" s="78"/>
      <c r="BK27" s="78"/>
      <c r="BL27" s="78"/>
      <c r="BM27" s="78"/>
      <c r="BN27" s="95"/>
    </row>
    <row r="28" spans="1:66" ht="17.25" customHeight="1" x14ac:dyDescent="0.35">
      <c r="A28" s="274" t="s">
        <v>171</v>
      </c>
      <c r="B28" s="275"/>
      <c r="C28" s="267"/>
      <c r="D28" s="267"/>
      <c r="E28" s="278">
        <f>+E16</f>
        <v>884444.28993790806</v>
      </c>
      <c r="F28" s="287"/>
      <c r="G28" s="172" t="s">
        <v>171</v>
      </c>
      <c r="H28" s="630"/>
      <c r="I28" s="624"/>
      <c r="J28" s="624"/>
      <c r="K28" s="632">
        <v>341849.06666888652</v>
      </c>
      <c r="L28" s="639"/>
      <c r="M28" s="84" t="s">
        <v>167</v>
      </c>
      <c r="N28" s="95"/>
      <c r="O28" s="78"/>
      <c r="P28" s="78"/>
      <c r="Q28" s="88">
        <v>762052.35163120297</v>
      </c>
      <c r="R28" s="489"/>
      <c r="S28" s="449" t="s">
        <v>155</v>
      </c>
      <c r="T28" s="450"/>
      <c r="U28" s="442"/>
      <c r="V28" s="442"/>
      <c r="W28" s="453">
        <f>+W16</f>
        <v>616578</v>
      </c>
      <c r="X28" s="462"/>
      <c r="Y28" s="367" t="s">
        <v>158</v>
      </c>
      <c r="Z28" s="368"/>
      <c r="AA28" s="360"/>
      <c r="AB28" s="360"/>
      <c r="AC28" s="371">
        <f>+AC16</f>
        <v>149499</v>
      </c>
      <c r="AD28" s="380"/>
      <c r="AE28" s="409" t="s">
        <v>126</v>
      </c>
      <c r="AF28" s="314"/>
      <c r="AG28" s="307"/>
      <c r="AH28" s="307"/>
      <c r="AI28" s="317">
        <v>341570.34487279999</v>
      </c>
      <c r="AJ28" s="326"/>
      <c r="AK28" s="203" t="s">
        <v>121</v>
      </c>
      <c r="AL28" s="204"/>
      <c r="AM28" s="197"/>
      <c r="AN28" s="197"/>
      <c r="AO28" s="207">
        <v>546247.85422163608</v>
      </c>
      <c r="AP28" s="230"/>
      <c r="AQ28" s="274" t="s">
        <v>109</v>
      </c>
      <c r="AR28" s="275"/>
      <c r="AS28" s="267"/>
      <c r="AT28" s="267"/>
      <c r="AU28" s="278">
        <f>+AU16</f>
        <v>1122741</v>
      </c>
      <c r="AV28" s="287"/>
      <c r="AW28" s="172" t="s">
        <v>107</v>
      </c>
      <c r="AX28" s="173"/>
      <c r="AY28" s="166"/>
      <c r="AZ28" s="166"/>
      <c r="BA28" s="176">
        <f>+BA16</f>
        <v>832361</v>
      </c>
      <c r="BB28" s="242"/>
      <c r="BC28" s="119" t="s">
        <v>100</v>
      </c>
      <c r="BD28" s="120"/>
      <c r="BE28" s="113"/>
      <c r="BF28" s="113"/>
      <c r="BG28" s="123">
        <f>+BG16</f>
        <v>1057229.1646778199</v>
      </c>
      <c r="BH28" s="130"/>
      <c r="BI28" s="84" t="s">
        <v>96</v>
      </c>
      <c r="BJ28" s="85"/>
      <c r="BK28" s="78"/>
      <c r="BL28" s="78"/>
      <c r="BM28" s="88">
        <f>+BM16</f>
        <v>1098327.94009028</v>
      </c>
      <c r="BN28" s="95"/>
    </row>
    <row r="29" spans="1:66" x14ac:dyDescent="0.2">
      <c r="A29" s="271" t="s">
        <v>69</v>
      </c>
      <c r="B29" s="267"/>
      <c r="C29" s="267"/>
      <c r="D29" s="267"/>
      <c r="E29" s="278">
        <f>+C14</f>
        <v>612835</v>
      </c>
      <c r="F29" s="287"/>
      <c r="G29" s="169" t="s">
        <v>69</v>
      </c>
      <c r="H29" s="624"/>
      <c r="I29" s="624"/>
      <c r="J29" s="624"/>
      <c r="K29" s="632">
        <v>605091</v>
      </c>
      <c r="L29" s="639"/>
      <c r="M29" s="81" t="s">
        <v>69</v>
      </c>
      <c r="N29" s="95"/>
      <c r="O29" s="78"/>
      <c r="P29" s="78"/>
      <c r="Q29" s="88">
        <v>597112</v>
      </c>
      <c r="R29" s="489"/>
      <c r="S29" s="446" t="s">
        <v>69</v>
      </c>
      <c r="T29" s="442"/>
      <c r="U29" s="442"/>
      <c r="V29" s="442"/>
      <c r="W29" s="453">
        <f>+U14</f>
        <v>586831</v>
      </c>
      <c r="X29" s="462"/>
      <c r="Y29" s="364" t="s">
        <v>69</v>
      </c>
      <c r="Z29" s="360"/>
      <c r="AA29" s="360"/>
      <c r="AB29" s="360"/>
      <c r="AC29" s="371">
        <f>+AA14</f>
        <v>572640</v>
      </c>
      <c r="AD29" s="380"/>
      <c r="AE29" s="307" t="s">
        <v>69</v>
      </c>
      <c r="AF29" s="307"/>
      <c r="AG29" s="307"/>
      <c r="AH29" s="307"/>
      <c r="AI29" s="317">
        <f>+AG14</f>
        <v>559017</v>
      </c>
      <c r="AJ29" s="326"/>
      <c r="AK29" s="200" t="s">
        <v>69</v>
      </c>
      <c r="AL29" s="197"/>
      <c r="AM29" s="197"/>
      <c r="AN29" s="197"/>
      <c r="AO29" s="207">
        <f>+AM14</f>
        <v>550573</v>
      </c>
      <c r="AP29" s="230"/>
      <c r="AQ29" s="271" t="s">
        <v>69</v>
      </c>
      <c r="AR29" s="267"/>
      <c r="AS29" s="267"/>
      <c r="AT29" s="267"/>
      <c r="AU29" s="278">
        <f>+AS14</f>
        <v>526959</v>
      </c>
      <c r="AV29" s="287"/>
      <c r="AW29" s="169" t="s">
        <v>69</v>
      </c>
      <c r="AX29" s="166"/>
      <c r="AY29" s="166"/>
      <c r="AZ29" s="166"/>
      <c r="BA29" s="176">
        <f>+AY14</f>
        <v>510979</v>
      </c>
      <c r="BB29" s="242"/>
      <c r="BC29" s="116" t="s">
        <v>69</v>
      </c>
      <c r="BD29" s="113"/>
      <c r="BE29" s="113"/>
      <c r="BF29" s="113"/>
      <c r="BG29" s="123">
        <f>+BE14</f>
        <v>497790</v>
      </c>
      <c r="BH29" s="130"/>
      <c r="BI29" s="81" t="s">
        <v>69</v>
      </c>
      <c r="BJ29" s="78"/>
      <c r="BK29" s="78"/>
      <c r="BL29" s="78"/>
      <c r="BM29" s="88">
        <f>+BK14</f>
        <v>488432</v>
      </c>
      <c r="BN29" s="95"/>
    </row>
    <row r="30" spans="1:66" ht="15" x14ac:dyDescent="0.35">
      <c r="A30" s="271" t="s">
        <v>71</v>
      </c>
      <c r="B30" s="267"/>
      <c r="C30" s="267"/>
      <c r="D30" s="267"/>
      <c r="E30" s="267"/>
      <c r="F30" s="288">
        <f>ROUND(+E28/E29,2)</f>
        <v>1.44</v>
      </c>
      <c r="G30" s="169" t="s">
        <v>71</v>
      </c>
      <c r="H30" s="624"/>
      <c r="I30" s="624"/>
      <c r="J30" s="624"/>
      <c r="K30" s="624"/>
      <c r="L30" s="640">
        <v>0.56000000000000005</v>
      </c>
      <c r="M30" s="81" t="s">
        <v>71</v>
      </c>
      <c r="N30" s="96"/>
      <c r="O30" s="78"/>
      <c r="P30" s="78"/>
      <c r="Q30" s="78"/>
      <c r="R30" s="490">
        <v>1.28</v>
      </c>
      <c r="S30" s="446" t="s">
        <v>71</v>
      </c>
      <c r="T30" s="442"/>
      <c r="U30" s="442"/>
      <c r="V30" s="442"/>
      <c r="W30" s="442"/>
      <c r="X30" s="463">
        <f>ROUND(+W28/W29,2)</f>
        <v>1.05</v>
      </c>
      <c r="Y30" s="364" t="s">
        <v>71</v>
      </c>
      <c r="Z30" s="360"/>
      <c r="AA30" s="360"/>
      <c r="AB30" s="360"/>
      <c r="AC30" s="360"/>
      <c r="AD30" s="381">
        <f>ROUND(+AC28/AC29,2)</f>
        <v>0.26</v>
      </c>
      <c r="AE30" s="307" t="s">
        <v>71</v>
      </c>
      <c r="AF30" s="307"/>
      <c r="AG30" s="307"/>
      <c r="AH30" s="307"/>
      <c r="AI30" s="307"/>
      <c r="AJ30" s="327">
        <f>ROUND(+AI28/AI29,2)</f>
        <v>0.61</v>
      </c>
      <c r="AK30" s="200" t="s">
        <v>71</v>
      </c>
      <c r="AL30" s="197"/>
      <c r="AM30" s="197"/>
      <c r="AN30" s="197"/>
      <c r="AO30" s="197"/>
      <c r="AP30" s="231">
        <f>ROUND(+AO28/AO29,2)</f>
        <v>0.99</v>
      </c>
      <c r="AQ30" s="271" t="s">
        <v>71</v>
      </c>
      <c r="AR30" s="267"/>
      <c r="AS30" s="267"/>
      <c r="AT30" s="267"/>
      <c r="AU30" s="267"/>
      <c r="AV30" s="288">
        <f>ROUND(+AU28/AU29,2)</f>
        <v>2.13</v>
      </c>
      <c r="AW30" s="169" t="s">
        <v>71</v>
      </c>
      <c r="AX30" s="166"/>
      <c r="AY30" s="166"/>
      <c r="AZ30" s="166"/>
      <c r="BA30" s="166"/>
      <c r="BB30" s="243">
        <f>ROUND(+BA28/BA29,2)</f>
        <v>1.63</v>
      </c>
      <c r="BC30" s="116" t="s">
        <v>71</v>
      </c>
      <c r="BD30" s="113"/>
      <c r="BE30" s="113"/>
      <c r="BF30" s="113"/>
      <c r="BG30" s="113"/>
      <c r="BH30" s="131">
        <f>ROUND(+BG28/BG29,2)</f>
        <v>2.12</v>
      </c>
      <c r="BI30" s="81" t="s">
        <v>71</v>
      </c>
      <c r="BJ30" s="78"/>
      <c r="BK30" s="78"/>
      <c r="BL30" s="78"/>
      <c r="BM30" s="78"/>
      <c r="BN30" s="96">
        <f>+BM28/BM29</f>
        <v>2.2486813724127002</v>
      </c>
    </row>
    <row r="31" spans="1:66" x14ac:dyDescent="0.2">
      <c r="A31" s="271"/>
      <c r="B31" s="267"/>
      <c r="C31" s="267"/>
      <c r="D31" s="267"/>
      <c r="E31" s="267"/>
      <c r="F31" s="287"/>
      <c r="G31" s="169"/>
      <c r="H31" s="624"/>
      <c r="I31" s="624"/>
      <c r="J31" s="624"/>
      <c r="K31" s="624"/>
      <c r="L31" s="639"/>
      <c r="M31" s="81"/>
      <c r="N31" s="95"/>
      <c r="O31" s="78"/>
      <c r="P31" s="78"/>
      <c r="Q31" s="78"/>
      <c r="R31" s="489"/>
      <c r="S31" s="446"/>
      <c r="T31" s="442"/>
      <c r="U31" s="442"/>
      <c r="V31" s="442"/>
      <c r="W31" s="442"/>
      <c r="X31" s="462"/>
      <c r="Y31" s="364"/>
      <c r="Z31" s="360"/>
      <c r="AA31" s="360"/>
      <c r="AB31" s="360"/>
      <c r="AC31" s="360"/>
      <c r="AD31" s="380"/>
      <c r="AE31" s="307"/>
      <c r="AF31" s="307"/>
      <c r="AG31" s="307"/>
      <c r="AH31" s="307"/>
      <c r="AI31" s="307"/>
      <c r="AJ31" s="326"/>
      <c r="AK31" s="200"/>
      <c r="AL31" s="197"/>
      <c r="AM31" s="197"/>
      <c r="AN31" s="197"/>
      <c r="AO31" s="197"/>
      <c r="AP31" s="230"/>
      <c r="AQ31" s="271"/>
      <c r="AR31" s="267"/>
      <c r="AS31" s="267"/>
      <c r="AT31" s="267"/>
      <c r="AU31" s="267"/>
      <c r="AV31" s="287"/>
      <c r="AW31" s="169"/>
      <c r="AX31" s="166"/>
      <c r="AY31" s="166"/>
      <c r="AZ31" s="166"/>
      <c r="BA31" s="166"/>
      <c r="BB31" s="242"/>
      <c r="BC31" s="116"/>
      <c r="BD31" s="113"/>
      <c r="BE31" s="113"/>
      <c r="BF31" s="113"/>
      <c r="BG31" s="113"/>
      <c r="BH31" s="130"/>
      <c r="BI31" s="81"/>
      <c r="BJ31" s="78"/>
      <c r="BK31" s="78"/>
      <c r="BL31" s="78"/>
      <c r="BM31" s="78"/>
      <c r="BN31" s="95"/>
    </row>
    <row r="32" spans="1:66" ht="18.75" thickBot="1" x14ac:dyDescent="0.4">
      <c r="A32" s="264" t="s">
        <v>151</v>
      </c>
      <c r="B32" s="265"/>
      <c r="C32" s="267"/>
      <c r="D32" s="267"/>
      <c r="E32" s="267"/>
      <c r="F32" s="289">
        <f>+F26+F30</f>
        <v>2.2000000000000002</v>
      </c>
      <c r="G32" s="163" t="s">
        <v>151</v>
      </c>
      <c r="H32" s="622"/>
      <c r="I32" s="624"/>
      <c r="J32" s="624"/>
      <c r="K32" s="624"/>
      <c r="L32" s="641">
        <v>-0.12</v>
      </c>
      <c r="M32" s="75" t="s">
        <v>151</v>
      </c>
      <c r="N32" s="98"/>
      <c r="O32" s="78"/>
      <c r="P32" s="78"/>
      <c r="Q32" s="78"/>
      <c r="R32" s="491">
        <v>1.6400000000000001</v>
      </c>
      <c r="S32" s="439" t="s">
        <v>151</v>
      </c>
      <c r="T32" s="440"/>
      <c r="U32" s="442"/>
      <c r="V32" s="442"/>
      <c r="W32" s="442"/>
      <c r="X32" s="464">
        <f>+X26+X30</f>
        <v>1.78</v>
      </c>
      <c r="Y32" s="357" t="s">
        <v>151</v>
      </c>
      <c r="Z32" s="358"/>
      <c r="AA32" s="360"/>
      <c r="AB32" s="360"/>
      <c r="AC32" s="360"/>
      <c r="AD32" s="382">
        <f>+AD26+AD30</f>
        <v>-0.14999999999999997</v>
      </c>
      <c r="AE32" s="305" t="s">
        <v>72</v>
      </c>
      <c r="AF32" s="305"/>
      <c r="AG32" s="307"/>
      <c r="AH32" s="307"/>
      <c r="AI32" s="307"/>
      <c r="AJ32" s="328">
        <f>+AJ26+AJ30</f>
        <v>0.13</v>
      </c>
      <c r="AK32" s="194" t="s">
        <v>72</v>
      </c>
      <c r="AL32" s="195"/>
      <c r="AM32" s="197"/>
      <c r="AN32" s="197"/>
      <c r="AO32" s="197"/>
      <c r="AP32" s="232">
        <f>+AP26+AP30</f>
        <v>9.9999999999999978E-2</v>
      </c>
      <c r="AQ32" s="264" t="s">
        <v>72</v>
      </c>
      <c r="AR32" s="265"/>
      <c r="AS32" s="267"/>
      <c r="AT32" s="267"/>
      <c r="AU32" s="267"/>
      <c r="AV32" s="289">
        <f>+AV26+AV30</f>
        <v>2.5499999999999998</v>
      </c>
      <c r="AW32" s="163" t="s">
        <v>72</v>
      </c>
      <c r="AX32" s="164"/>
      <c r="AY32" s="166"/>
      <c r="AZ32" s="166"/>
      <c r="BA32" s="166"/>
      <c r="BB32" s="244">
        <f>+BB26+BB30</f>
        <v>1.1199999999999999</v>
      </c>
      <c r="BC32" s="110" t="s">
        <v>72</v>
      </c>
      <c r="BD32" s="111"/>
      <c r="BE32" s="113"/>
      <c r="BF32" s="113"/>
      <c r="BG32" s="113"/>
      <c r="BH32" s="132">
        <f>+BH26+BH30</f>
        <v>2.02</v>
      </c>
      <c r="BI32" s="75" t="s">
        <v>72</v>
      </c>
      <c r="BJ32" s="76"/>
      <c r="BK32" s="78"/>
      <c r="BL32" s="78"/>
      <c r="BM32" s="78"/>
      <c r="BN32" s="97">
        <f>+BN26+BN30</f>
        <v>2.2286813724127001</v>
      </c>
    </row>
    <row r="33" spans="1:66" ht="18.75" thickTop="1" x14ac:dyDescent="0.35">
      <c r="A33" s="264"/>
      <c r="B33" s="265"/>
      <c r="C33" s="267"/>
      <c r="D33" s="267"/>
      <c r="E33" s="267"/>
      <c r="F33" s="290"/>
      <c r="G33" s="163"/>
      <c r="H33" s="622"/>
      <c r="I33" s="624"/>
      <c r="J33" s="624"/>
      <c r="K33" s="624"/>
      <c r="L33" s="642"/>
      <c r="M33" s="75"/>
      <c r="N33" s="98"/>
      <c r="O33" s="78"/>
      <c r="P33" s="78"/>
      <c r="Q33" s="78"/>
      <c r="R33" s="492"/>
      <c r="S33" s="439"/>
      <c r="T33" s="440"/>
      <c r="U33" s="442"/>
      <c r="V33" s="442"/>
      <c r="W33" s="442"/>
      <c r="X33" s="465"/>
      <c r="Y33" s="357"/>
      <c r="Z33" s="358"/>
      <c r="AA33" s="360"/>
      <c r="AB33" s="360"/>
      <c r="AC33" s="360"/>
      <c r="AD33" s="383"/>
      <c r="AE33" s="305"/>
      <c r="AF33" s="305"/>
      <c r="AG33" s="307"/>
      <c r="AH33" s="307"/>
      <c r="AI33" s="307"/>
      <c r="AJ33" s="329"/>
      <c r="AK33" s="194"/>
      <c r="AL33" s="195"/>
      <c r="AM33" s="197"/>
      <c r="AN33" s="197"/>
      <c r="AO33" s="197"/>
      <c r="AP33" s="233"/>
      <c r="AQ33" s="264"/>
      <c r="AR33" s="265"/>
      <c r="AS33" s="267"/>
      <c r="AT33" s="267"/>
      <c r="AU33" s="267"/>
      <c r="AV33" s="290"/>
      <c r="AW33" s="163"/>
      <c r="AX33" s="164"/>
      <c r="AY33" s="166"/>
      <c r="AZ33" s="166"/>
      <c r="BA33" s="166"/>
      <c r="BB33" s="245"/>
      <c r="BC33" s="110"/>
      <c r="BD33" s="111"/>
      <c r="BE33" s="113"/>
      <c r="BF33" s="113"/>
      <c r="BG33" s="113"/>
      <c r="BH33" s="133"/>
      <c r="BI33" s="75"/>
      <c r="BJ33" s="76"/>
      <c r="BK33" s="78"/>
      <c r="BL33" s="78"/>
      <c r="BM33" s="78"/>
      <c r="BN33" s="98"/>
    </row>
    <row r="34" spans="1:66" ht="21" x14ac:dyDescent="0.55000000000000004">
      <c r="A34" s="264"/>
      <c r="B34" s="265"/>
      <c r="C34" s="267"/>
      <c r="D34" s="614"/>
      <c r="E34" s="267"/>
      <c r="F34" s="615"/>
      <c r="G34" s="163"/>
      <c r="H34" s="622"/>
      <c r="I34" s="624"/>
      <c r="J34" s="643"/>
      <c r="K34" s="624"/>
      <c r="L34" s="644"/>
      <c r="M34" s="75"/>
      <c r="N34" s="548"/>
      <c r="O34" s="78"/>
      <c r="P34" s="493"/>
      <c r="Q34" s="78"/>
      <c r="R34" s="494"/>
      <c r="S34" s="439"/>
      <c r="T34" s="440"/>
      <c r="U34" s="442"/>
      <c r="V34" s="466"/>
      <c r="W34" s="442"/>
      <c r="X34" s="467"/>
      <c r="Y34" s="357" t="s">
        <v>159</v>
      </c>
      <c r="Z34" s="428"/>
      <c r="AA34" s="429"/>
      <c r="AB34" s="430">
        <v>29475</v>
      </c>
      <c r="AC34" s="429"/>
      <c r="AD34" s="431">
        <f>ROUND(-AB34/50000/12,2)</f>
        <v>-0.05</v>
      </c>
      <c r="AE34" s="305"/>
      <c r="AF34" s="305"/>
      <c r="AG34" s="307"/>
      <c r="AH34" s="307"/>
      <c r="AI34" s="307"/>
      <c r="AJ34" s="329"/>
      <c r="AK34" s="194"/>
      <c r="AL34" s="195"/>
      <c r="AM34" s="197"/>
      <c r="AN34" s="197"/>
      <c r="AO34" s="197"/>
      <c r="AP34" s="233"/>
      <c r="AQ34" s="264"/>
      <c r="AR34" s="265"/>
      <c r="AS34" s="267"/>
      <c r="AT34" s="267"/>
      <c r="AU34" s="267"/>
      <c r="AV34" s="290"/>
      <c r="AW34" s="163"/>
      <c r="AX34" s="164"/>
      <c r="AY34" s="166"/>
      <c r="AZ34" s="166"/>
      <c r="BA34" s="166"/>
      <c r="BB34" s="245"/>
      <c r="BC34" s="110"/>
      <c r="BD34" s="111"/>
      <c r="BE34" s="113"/>
      <c r="BF34" s="113"/>
      <c r="BG34" s="113"/>
      <c r="BH34" s="133"/>
      <c r="BI34" s="75"/>
      <c r="BJ34" s="76"/>
      <c r="BK34" s="78"/>
      <c r="BL34" s="78"/>
      <c r="BM34" s="78"/>
      <c r="BN34" s="98"/>
    </row>
    <row r="35" spans="1:66" ht="18" x14ac:dyDescent="0.35">
      <c r="A35" s="264"/>
      <c r="B35" s="265"/>
      <c r="C35" s="267"/>
      <c r="D35" s="616"/>
      <c r="E35" s="267"/>
      <c r="F35" s="290"/>
      <c r="G35" s="163"/>
      <c r="H35" s="622"/>
      <c r="I35" s="624"/>
      <c r="J35" s="645"/>
      <c r="K35" s="624"/>
      <c r="L35" s="642"/>
      <c r="M35" s="75"/>
      <c r="N35" s="98"/>
      <c r="O35" s="78"/>
      <c r="P35" s="495"/>
      <c r="Q35" s="78"/>
      <c r="R35" s="492"/>
      <c r="S35" s="439"/>
      <c r="T35" s="440"/>
      <c r="U35" s="442"/>
      <c r="V35" s="468"/>
      <c r="W35" s="442"/>
      <c r="X35" s="465"/>
      <c r="Y35" s="357"/>
      <c r="Z35" s="428"/>
      <c r="AA35" s="429"/>
      <c r="AB35" s="432"/>
      <c r="AC35" s="429"/>
      <c r="AD35" s="433"/>
      <c r="AE35" s="305"/>
      <c r="AF35" s="305"/>
      <c r="AG35" s="307"/>
      <c r="AH35" s="307"/>
      <c r="AI35" s="307"/>
      <c r="AJ35" s="329"/>
      <c r="AK35" s="194"/>
      <c r="AL35" s="195"/>
      <c r="AM35" s="197"/>
      <c r="AN35" s="197"/>
      <c r="AO35" s="197"/>
      <c r="AP35" s="233"/>
      <c r="AQ35" s="264"/>
      <c r="AR35" s="265"/>
      <c r="AS35" s="267"/>
      <c r="AT35" s="267"/>
      <c r="AU35" s="267"/>
      <c r="AV35" s="290"/>
      <c r="AW35" s="163"/>
      <c r="AX35" s="164"/>
      <c r="AY35" s="166"/>
      <c r="AZ35" s="166"/>
      <c r="BA35" s="166"/>
      <c r="BB35" s="245"/>
      <c r="BC35" s="110"/>
      <c r="BD35" s="111"/>
      <c r="BE35" s="113"/>
      <c r="BF35" s="113"/>
      <c r="BG35" s="113"/>
      <c r="BH35" s="133"/>
      <c r="BI35" s="75"/>
      <c r="BJ35" s="76"/>
      <c r="BK35" s="78"/>
      <c r="BL35" s="78"/>
      <c r="BM35" s="78"/>
      <c r="BN35" s="98"/>
    </row>
    <row r="36" spans="1:66" ht="20.25" x14ac:dyDescent="0.5">
      <c r="A36" s="617"/>
      <c r="B36" s="265"/>
      <c r="C36" s="267"/>
      <c r="D36" s="616"/>
      <c r="E36" s="267"/>
      <c r="F36" s="618"/>
      <c r="G36" s="552"/>
      <c r="H36" s="622"/>
      <c r="I36" s="624"/>
      <c r="J36" s="645"/>
      <c r="K36" s="624"/>
      <c r="L36" s="646"/>
      <c r="M36" s="496"/>
      <c r="N36" s="549"/>
      <c r="O36" s="78"/>
      <c r="P36" s="495"/>
      <c r="Q36" s="78"/>
      <c r="R36" s="497"/>
      <c r="S36" s="469"/>
      <c r="T36" s="440"/>
      <c r="U36" s="442"/>
      <c r="V36" s="468"/>
      <c r="W36" s="442"/>
      <c r="X36" s="470"/>
      <c r="Y36" s="395" t="s">
        <v>160</v>
      </c>
      <c r="Z36" s="428"/>
      <c r="AA36" s="429"/>
      <c r="AB36" s="432"/>
      <c r="AC36" s="429"/>
      <c r="AD36" s="434">
        <f>+AD34+AD32</f>
        <v>-0.19999999999999996</v>
      </c>
      <c r="AE36" s="305"/>
      <c r="AF36" s="305"/>
      <c r="AG36" s="307"/>
      <c r="AH36" s="307"/>
      <c r="AI36" s="307"/>
      <c r="AJ36" s="329"/>
      <c r="AK36" s="194"/>
      <c r="AL36" s="195"/>
      <c r="AM36" s="197"/>
      <c r="AN36" s="197"/>
      <c r="AO36" s="197"/>
      <c r="AP36" s="233"/>
      <c r="AQ36" s="264"/>
      <c r="AR36" s="265"/>
      <c r="AS36" s="267"/>
      <c r="AT36" s="267"/>
      <c r="AU36" s="267"/>
      <c r="AV36" s="290"/>
      <c r="AW36" s="163"/>
      <c r="AX36" s="164"/>
      <c r="AY36" s="166"/>
      <c r="AZ36" s="166"/>
      <c r="BA36" s="166"/>
      <c r="BB36" s="245"/>
      <c r="BC36" s="110"/>
      <c r="BD36" s="111"/>
      <c r="BE36" s="113"/>
      <c r="BF36" s="113"/>
      <c r="BG36" s="113"/>
      <c r="BH36" s="133"/>
      <c r="BI36" s="75"/>
      <c r="BJ36" s="76"/>
      <c r="BK36" s="78"/>
      <c r="BL36" s="78"/>
      <c r="BM36" s="78"/>
      <c r="BN36" s="98"/>
    </row>
    <row r="37" spans="1:66" ht="18.75" thickBot="1" x14ac:dyDescent="0.4">
      <c r="A37" s="619"/>
      <c r="B37" s="299"/>
      <c r="C37" s="299"/>
      <c r="D37" s="299"/>
      <c r="E37" s="299"/>
      <c r="F37" s="620"/>
      <c r="G37" s="553"/>
      <c r="H37" s="187"/>
      <c r="I37" s="187"/>
      <c r="J37" s="187"/>
      <c r="K37" s="187"/>
      <c r="L37" s="554"/>
      <c r="M37" s="498"/>
      <c r="N37" s="406"/>
      <c r="O37" s="406"/>
      <c r="P37" s="406"/>
      <c r="Q37" s="406"/>
      <c r="R37" s="499"/>
      <c r="S37" s="471"/>
      <c r="T37" s="472"/>
      <c r="U37" s="472"/>
      <c r="V37" s="472"/>
      <c r="W37" s="472"/>
      <c r="X37" s="473"/>
      <c r="Y37" s="412"/>
      <c r="Z37" s="391"/>
      <c r="AA37" s="391"/>
      <c r="AB37" s="391"/>
      <c r="AC37" s="391"/>
      <c r="AD37" s="408"/>
      <c r="AE37" s="338"/>
      <c r="AF37" s="338"/>
      <c r="AG37" s="339"/>
      <c r="AH37" s="339"/>
      <c r="AI37" s="339"/>
      <c r="AJ37" s="396"/>
      <c r="AK37" s="236"/>
      <c r="AL37" s="237"/>
      <c r="AM37" s="218"/>
      <c r="AN37" s="218"/>
      <c r="AO37" s="218"/>
      <c r="AP37" s="397"/>
      <c r="AQ37" s="297"/>
      <c r="AR37" s="298"/>
      <c r="AS37" s="299"/>
      <c r="AT37" s="299"/>
      <c r="AU37" s="299"/>
      <c r="AV37" s="398"/>
      <c r="AW37" s="249"/>
      <c r="AX37" s="250"/>
      <c r="AY37" s="187"/>
      <c r="AZ37" s="187"/>
      <c r="BA37" s="187"/>
      <c r="BB37" s="399"/>
      <c r="BC37" s="400"/>
      <c r="BD37" s="401"/>
      <c r="BE37" s="402"/>
      <c r="BF37" s="402"/>
      <c r="BG37" s="402"/>
      <c r="BH37" s="403"/>
      <c r="BI37" s="404"/>
      <c r="BJ37" s="405"/>
      <c r="BK37" s="406"/>
      <c r="BL37" s="406"/>
      <c r="BM37" s="406"/>
      <c r="BN37" s="407"/>
    </row>
    <row r="38" spans="1:66" ht="20.25" x14ac:dyDescent="0.5">
      <c r="A38" s="617"/>
      <c r="B38" s="265"/>
      <c r="C38" s="267"/>
      <c r="D38" s="616"/>
      <c r="E38" s="267"/>
      <c r="F38" s="618"/>
      <c r="G38" s="552"/>
      <c r="H38" s="622"/>
      <c r="I38" s="624"/>
      <c r="J38" s="645"/>
      <c r="K38" s="624"/>
      <c r="L38" s="646"/>
      <c r="M38" s="496"/>
      <c r="N38" s="549"/>
      <c r="O38" s="78"/>
      <c r="P38" s="495"/>
      <c r="Q38" s="78"/>
      <c r="R38" s="497"/>
      <c r="S38" s="469"/>
      <c r="T38" s="440"/>
      <c r="U38" s="442"/>
      <c r="V38" s="468"/>
      <c r="W38" s="442"/>
      <c r="X38" s="470"/>
      <c r="Y38" s="395"/>
      <c r="Z38" s="358"/>
      <c r="AA38" s="360"/>
      <c r="AB38" s="393"/>
      <c r="AC38" s="360"/>
      <c r="AD38" s="394"/>
      <c r="AE38" s="304"/>
      <c r="AF38" s="305"/>
      <c r="AG38" s="307"/>
      <c r="AH38" s="307"/>
      <c r="AI38" s="307"/>
      <c r="AJ38" s="329"/>
      <c r="AK38" s="194"/>
      <c r="AL38" s="195"/>
      <c r="AM38" s="197"/>
      <c r="AN38" s="197"/>
      <c r="AO38" s="197"/>
      <c r="AP38" s="233"/>
      <c r="AQ38" s="264"/>
      <c r="AR38" s="265"/>
      <c r="AS38" s="267"/>
      <c r="AT38" s="267"/>
      <c r="AU38" s="267"/>
      <c r="AV38" s="290"/>
      <c r="AW38" s="163"/>
      <c r="AX38" s="164"/>
      <c r="AY38" s="166"/>
      <c r="AZ38" s="166"/>
      <c r="BA38" s="166"/>
      <c r="BB38" s="245"/>
      <c r="BC38" s="110"/>
      <c r="BD38" s="111"/>
      <c r="BE38" s="113"/>
      <c r="BF38" s="113"/>
      <c r="BG38" s="113"/>
      <c r="BH38" s="133"/>
      <c r="BI38" s="75"/>
      <c r="BJ38" s="76"/>
      <c r="BK38" s="78"/>
      <c r="BL38" s="78"/>
      <c r="BM38" s="78"/>
      <c r="BN38" s="98"/>
    </row>
    <row r="39" spans="1:66" ht="18" x14ac:dyDescent="0.35">
      <c r="A39" s="264"/>
      <c r="B39" s="265"/>
      <c r="C39" s="267"/>
      <c r="D39" s="267"/>
      <c r="E39" s="267"/>
      <c r="F39" s="290"/>
      <c r="G39" s="163"/>
      <c r="H39" s="622"/>
      <c r="I39" s="624"/>
      <c r="J39" s="624"/>
      <c r="K39" s="624"/>
      <c r="L39" s="642"/>
      <c r="M39" s="75"/>
      <c r="N39" s="98"/>
      <c r="O39" s="78"/>
      <c r="P39" s="78"/>
      <c r="Q39" s="78"/>
      <c r="R39" s="492"/>
      <c r="S39" s="439"/>
      <c r="T39" s="440"/>
      <c r="U39" s="442"/>
      <c r="V39" s="442"/>
      <c r="W39" s="442"/>
      <c r="X39" s="465"/>
      <c r="Y39" s="357"/>
      <c r="Z39" s="358"/>
      <c r="AA39" s="360"/>
      <c r="AB39" s="360"/>
      <c r="AC39" s="360"/>
      <c r="AD39" s="383"/>
      <c r="AE39" s="304"/>
      <c r="AF39" s="305"/>
      <c r="AG39" s="307"/>
      <c r="AH39" s="307"/>
      <c r="AI39" s="307"/>
      <c r="AJ39" s="329"/>
      <c r="AK39" s="194"/>
      <c r="AL39" s="195"/>
      <c r="AM39" s="197"/>
      <c r="AN39" s="197"/>
      <c r="AO39" s="197"/>
      <c r="AP39" s="233"/>
      <c r="AQ39" s="264"/>
      <c r="AR39" s="265"/>
      <c r="AS39" s="267"/>
      <c r="AT39" s="267"/>
      <c r="AU39" s="267"/>
      <c r="AV39" s="290"/>
      <c r="AW39" s="163"/>
      <c r="AX39" s="164"/>
      <c r="AY39" s="166"/>
      <c r="AZ39" s="166"/>
      <c r="BA39" s="166"/>
      <c r="BB39" s="245"/>
      <c r="BC39" s="110"/>
      <c r="BD39" s="111"/>
      <c r="BE39" s="113"/>
      <c r="BF39" s="113"/>
      <c r="BG39" s="113"/>
      <c r="BH39" s="133"/>
      <c r="BI39" s="75"/>
      <c r="BJ39" s="76"/>
      <c r="BK39" s="78"/>
      <c r="BL39" s="78"/>
      <c r="BM39" s="78"/>
      <c r="BN39" s="98"/>
    </row>
    <row r="40" spans="1:66" ht="19.5" x14ac:dyDescent="0.4">
      <c r="A40" s="561" t="s">
        <v>20</v>
      </c>
      <c r="B40" s="562"/>
      <c r="C40" s="562"/>
      <c r="D40" s="562"/>
      <c r="E40" s="562"/>
      <c r="F40" s="563"/>
      <c r="G40" s="559" t="s">
        <v>20</v>
      </c>
      <c r="H40" s="627"/>
      <c r="I40" s="627"/>
      <c r="J40" s="627"/>
      <c r="K40" s="627"/>
      <c r="L40" s="560"/>
      <c r="M40" s="523" t="s">
        <v>20</v>
      </c>
      <c r="N40" s="524"/>
      <c r="O40" s="524"/>
      <c r="P40" s="524"/>
      <c r="Q40" s="524"/>
      <c r="R40" s="541"/>
      <c r="S40" s="542" t="s">
        <v>20</v>
      </c>
      <c r="T40" s="543"/>
      <c r="U40" s="543"/>
      <c r="V40" s="543"/>
      <c r="W40" s="543"/>
      <c r="X40" s="544"/>
      <c r="Y40" s="536" t="s">
        <v>20</v>
      </c>
      <c r="Z40" s="537"/>
      <c r="AA40" s="537"/>
      <c r="AB40" s="537"/>
      <c r="AC40" s="537"/>
      <c r="AD40" s="538"/>
      <c r="AE40" s="330" t="s">
        <v>20</v>
      </c>
      <c r="AF40" s="539"/>
      <c r="AG40" s="539"/>
      <c r="AH40" s="539"/>
      <c r="AI40" s="539"/>
      <c r="AJ40" s="540"/>
      <c r="AK40" s="525" t="s">
        <v>20</v>
      </c>
      <c r="AL40" s="526"/>
      <c r="AM40" s="526"/>
      <c r="AN40" s="526"/>
      <c r="AO40" s="526"/>
      <c r="AP40" s="527"/>
      <c r="AQ40" s="528" t="s">
        <v>20</v>
      </c>
      <c r="AR40" s="529"/>
      <c r="AS40" s="529"/>
      <c r="AT40" s="529"/>
      <c r="AU40" s="529"/>
      <c r="AV40" s="530"/>
      <c r="AW40" s="533" t="s">
        <v>20</v>
      </c>
      <c r="AX40" s="534"/>
      <c r="AY40" s="534"/>
      <c r="AZ40" s="534"/>
      <c r="BA40" s="534"/>
      <c r="BB40" s="535"/>
      <c r="BC40" s="531" t="s">
        <v>20</v>
      </c>
      <c r="BD40" s="532"/>
      <c r="BE40" s="532"/>
      <c r="BF40" s="532"/>
      <c r="BG40" s="532"/>
      <c r="BH40" s="532"/>
      <c r="BI40" s="523" t="s">
        <v>20</v>
      </c>
      <c r="BJ40" s="524"/>
      <c r="BK40" s="524"/>
      <c r="BL40" s="524"/>
      <c r="BM40" s="524"/>
      <c r="BN40" s="524"/>
    </row>
    <row r="41" spans="1:66" x14ac:dyDescent="0.2">
      <c r="A41" s="271"/>
      <c r="B41" s="267"/>
      <c r="C41" s="267"/>
      <c r="D41" s="267"/>
      <c r="E41" s="267"/>
      <c r="F41" s="268"/>
      <c r="G41" s="169"/>
      <c r="H41" s="624"/>
      <c r="I41" s="624"/>
      <c r="J41" s="624"/>
      <c r="K41" s="624"/>
      <c r="L41" s="240"/>
      <c r="M41" s="81"/>
      <c r="N41" s="78"/>
      <c r="O41" s="78"/>
      <c r="P41" s="78"/>
      <c r="Q41" s="78"/>
      <c r="R41" s="485"/>
      <c r="S41" s="446"/>
      <c r="T41" s="442"/>
      <c r="U41" s="442"/>
      <c r="V41" s="442"/>
      <c r="W41" s="442"/>
      <c r="X41" s="443"/>
      <c r="Y41" s="364"/>
      <c r="Z41" s="360"/>
      <c r="AA41" s="360"/>
      <c r="AB41" s="360"/>
      <c r="AC41" s="360"/>
      <c r="AD41" s="361"/>
      <c r="AE41" s="310"/>
      <c r="AF41" s="307"/>
      <c r="AG41" s="307"/>
      <c r="AH41" s="307"/>
      <c r="AI41" s="307"/>
      <c r="AJ41" s="308"/>
      <c r="AK41" s="200"/>
      <c r="AL41" s="197"/>
      <c r="AM41" s="197"/>
      <c r="AN41" s="197"/>
      <c r="AO41" s="197"/>
      <c r="AP41" s="228"/>
      <c r="AQ41" s="271"/>
      <c r="AR41" s="267"/>
      <c r="AS41" s="267"/>
      <c r="AT41" s="267"/>
      <c r="AU41" s="267"/>
      <c r="AV41" s="268"/>
      <c r="AW41" s="169"/>
      <c r="AX41" s="166"/>
      <c r="AY41" s="166"/>
      <c r="AZ41" s="166"/>
      <c r="BA41" s="166"/>
      <c r="BB41" s="240"/>
      <c r="BC41" s="116"/>
      <c r="BD41" s="113"/>
      <c r="BE41" s="113"/>
      <c r="BF41" s="113"/>
      <c r="BG41" s="113"/>
      <c r="BH41" s="113"/>
      <c r="BI41" s="81"/>
      <c r="BJ41" s="78"/>
      <c r="BK41" s="78"/>
      <c r="BL41" s="78"/>
      <c r="BM41" s="78"/>
      <c r="BN41" s="78"/>
    </row>
    <row r="42" spans="1:66" x14ac:dyDescent="0.2">
      <c r="A42" s="271"/>
      <c r="B42" s="267"/>
      <c r="C42" s="272"/>
      <c r="D42" s="272" t="s">
        <v>63</v>
      </c>
      <c r="E42" s="272" t="s">
        <v>22</v>
      </c>
      <c r="F42" s="268"/>
      <c r="G42" s="169"/>
      <c r="H42" s="624"/>
      <c r="I42" s="628"/>
      <c r="J42" s="628" t="s">
        <v>63</v>
      </c>
      <c r="K42" s="628" t="s">
        <v>22</v>
      </c>
      <c r="L42" s="240"/>
      <c r="M42" s="81"/>
      <c r="N42" s="78"/>
      <c r="O42" s="82"/>
      <c r="P42" s="82" t="s">
        <v>63</v>
      </c>
      <c r="Q42" s="82" t="s">
        <v>22</v>
      </c>
      <c r="R42" s="485"/>
      <c r="S42" s="446"/>
      <c r="T42" s="442"/>
      <c r="U42" s="447"/>
      <c r="V42" s="447" t="s">
        <v>63</v>
      </c>
      <c r="W42" s="447" t="s">
        <v>22</v>
      </c>
      <c r="X42" s="443"/>
      <c r="Y42" s="364"/>
      <c r="Z42" s="360"/>
      <c r="AA42" s="365"/>
      <c r="AB42" s="365" t="s">
        <v>63</v>
      </c>
      <c r="AC42" s="365" t="s">
        <v>22</v>
      </c>
      <c r="AD42" s="361"/>
      <c r="AE42" s="310"/>
      <c r="AF42" s="307"/>
      <c r="AG42" s="311"/>
      <c r="AH42" s="311" t="s">
        <v>63</v>
      </c>
      <c r="AI42" s="311" t="s">
        <v>22</v>
      </c>
      <c r="AJ42" s="308"/>
      <c r="AK42" s="200"/>
      <c r="AL42" s="197"/>
      <c r="AM42" s="201"/>
      <c r="AN42" s="201" t="s">
        <v>63</v>
      </c>
      <c r="AO42" s="201" t="s">
        <v>22</v>
      </c>
      <c r="AP42" s="228"/>
      <c r="AQ42" s="271"/>
      <c r="AR42" s="267"/>
      <c r="AS42" s="272"/>
      <c r="AT42" s="272" t="s">
        <v>63</v>
      </c>
      <c r="AU42" s="272" t="s">
        <v>22</v>
      </c>
      <c r="AV42" s="268"/>
      <c r="AW42" s="169"/>
      <c r="AX42" s="166"/>
      <c r="AY42" s="170"/>
      <c r="AZ42" s="170" t="s">
        <v>63</v>
      </c>
      <c r="BA42" s="170" t="s">
        <v>22</v>
      </c>
      <c r="BB42" s="240"/>
      <c r="BC42" s="116"/>
      <c r="BD42" s="113"/>
      <c r="BE42" s="117"/>
      <c r="BF42" s="117" t="s">
        <v>63</v>
      </c>
      <c r="BG42" s="117" t="s">
        <v>22</v>
      </c>
      <c r="BH42" s="113"/>
      <c r="BI42" s="81"/>
      <c r="BJ42" s="78"/>
      <c r="BK42" s="82"/>
      <c r="BL42" s="82" t="s">
        <v>63</v>
      </c>
      <c r="BM42" s="82" t="s">
        <v>22</v>
      </c>
      <c r="BN42" s="78"/>
    </row>
    <row r="43" spans="1:66" x14ac:dyDescent="0.2">
      <c r="A43" s="271"/>
      <c r="B43" s="267"/>
      <c r="C43" s="291" t="s">
        <v>30</v>
      </c>
      <c r="D43" s="291" t="s">
        <v>64</v>
      </c>
      <c r="E43" s="291" t="s">
        <v>28</v>
      </c>
      <c r="F43" s="268"/>
      <c r="G43" s="169"/>
      <c r="H43" s="624"/>
      <c r="I43" s="184" t="s">
        <v>30</v>
      </c>
      <c r="J43" s="184" t="s">
        <v>64</v>
      </c>
      <c r="K43" s="184" t="s">
        <v>28</v>
      </c>
      <c r="L43" s="240"/>
      <c r="M43" s="81"/>
      <c r="N43" s="78"/>
      <c r="O43" s="99" t="s">
        <v>30</v>
      </c>
      <c r="P43" s="99" t="s">
        <v>64</v>
      </c>
      <c r="Q43" s="99" t="s">
        <v>28</v>
      </c>
      <c r="R43" s="485"/>
      <c r="S43" s="446"/>
      <c r="T43" s="442"/>
      <c r="U43" s="474" t="s">
        <v>30</v>
      </c>
      <c r="V43" s="474" t="s">
        <v>64</v>
      </c>
      <c r="W43" s="474" t="s">
        <v>28</v>
      </c>
      <c r="X43" s="443"/>
      <c r="Y43" s="364"/>
      <c r="Z43" s="360"/>
      <c r="AA43" s="384" t="s">
        <v>30</v>
      </c>
      <c r="AB43" s="384" t="s">
        <v>64</v>
      </c>
      <c r="AC43" s="384" t="s">
        <v>28</v>
      </c>
      <c r="AD43" s="361"/>
      <c r="AE43" s="310"/>
      <c r="AF43" s="307"/>
      <c r="AG43" s="331" t="s">
        <v>30</v>
      </c>
      <c r="AH43" s="331" t="s">
        <v>64</v>
      </c>
      <c r="AI43" s="331" t="s">
        <v>28</v>
      </c>
      <c r="AJ43" s="308"/>
      <c r="AK43" s="200"/>
      <c r="AL43" s="197"/>
      <c r="AM43" s="215" t="s">
        <v>30</v>
      </c>
      <c r="AN43" s="215" t="s">
        <v>64</v>
      </c>
      <c r="AO43" s="215" t="s">
        <v>28</v>
      </c>
      <c r="AP43" s="228"/>
      <c r="AQ43" s="271"/>
      <c r="AR43" s="267"/>
      <c r="AS43" s="291" t="s">
        <v>30</v>
      </c>
      <c r="AT43" s="291" t="s">
        <v>64</v>
      </c>
      <c r="AU43" s="291" t="s">
        <v>28</v>
      </c>
      <c r="AV43" s="268"/>
      <c r="AW43" s="169"/>
      <c r="AX43" s="166"/>
      <c r="AY43" s="184" t="s">
        <v>30</v>
      </c>
      <c r="AZ43" s="184" t="s">
        <v>64</v>
      </c>
      <c r="BA43" s="184" t="s">
        <v>28</v>
      </c>
      <c r="BB43" s="240"/>
      <c r="BC43" s="116"/>
      <c r="BD43" s="113"/>
      <c r="BE43" s="134" t="s">
        <v>30</v>
      </c>
      <c r="BF43" s="134" t="s">
        <v>64</v>
      </c>
      <c r="BG43" s="134" t="s">
        <v>28</v>
      </c>
      <c r="BH43" s="113"/>
      <c r="BI43" s="81"/>
      <c r="BJ43" s="78"/>
      <c r="BK43" s="99" t="s">
        <v>30</v>
      </c>
      <c r="BL43" s="99" t="s">
        <v>64</v>
      </c>
      <c r="BM43" s="99" t="s">
        <v>28</v>
      </c>
      <c r="BN43" s="78"/>
    </row>
    <row r="44" spans="1:66" ht="16.5" x14ac:dyDescent="0.35">
      <c r="A44" s="274" t="str">
        <f>A10</f>
        <v>Projected Revenue Sep 2022-Aug 2023</v>
      </c>
      <c r="B44" s="275"/>
      <c r="C44" s="276"/>
      <c r="D44" s="276"/>
      <c r="E44" s="276"/>
      <c r="F44" s="268"/>
      <c r="G44" s="172" t="s">
        <v>170</v>
      </c>
      <c r="H44" s="630"/>
      <c r="I44" s="631"/>
      <c r="J44" s="631"/>
      <c r="K44" s="631"/>
      <c r="L44" s="240"/>
      <c r="M44" s="84" t="s">
        <v>163</v>
      </c>
      <c r="N44" s="78"/>
      <c r="O44" s="86"/>
      <c r="P44" s="86"/>
      <c r="Q44" s="86"/>
      <c r="R44" s="485"/>
      <c r="S44" s="449" t="str">
        <f>S10</f>
        <v>Projected Revenue Sep 2020-Aug 2021</v>
      </c>
      <c r="T44" s="450"/>
      <c r="U44" s="451"/>
      <c r="V44" s="451"/>
      <c r="W44" s="451"/>
      <c r="X44" s="443"/>
      <c r="Y44" s="367" t="str">
        <f>Y10</f>
        <v>Projected Revenue Sep 2019-Aug 2020</v>
      </c>
      <c r="Z44" s="368"/>
      <c r="AA44" s="369"/>
      <c r="AB44" s="369"/>
      <c r="AC44" s="369"/>
      <c r="AD44" s="361"/>
      <c r="AE44" s="313" t="str">
        <f>AE10</f>
        <v>Projected Revenue Sep 2018-Aug 2019</v>
      </c>
      <c r="AF44" s="314"/>
      <c r="AG44" s="315"/>
      <c r="AH44" s="315"/>
      <c r="AI44" s="315"/>
      <c r="AJ44" s="308"/>
      <c r="AK44" s="203" t="str">
        <f>AK10</f>
        <v>Projected Revenue Sep 2017-Aug 2018</v>
      </c>
      <c r="AL44" s="204"/>
      <c r="AM44" s="205"/>
      <c r="AN44" s="205"/>
      <c r="AO44" s="205"/>
      <c r="AP44" s="228"/>
      <c r="AQ44" s="274" t="str">
        <f>AQ10</f>
        <v>Projected Revenue Sep 2016-Aug 2017</v>
      </c>
      <c r="AR44" s="275"/>
      <c r="AS44" s="276"/>
      <c r="AT44" s="276"/>
      <c r="AU44" s="276"/>
      <c r="AV44" s="268"/>
      <c r="AW44" s="172" t="str">
        <f>AW10</f>
        <v>Projected Revenue Sep 2015-Aug 2016</v>
      </c>
      <c r="AX44" s="173"/>
      <c r="AY44" s="174"/>
      <c r="AZ44" s="174"/>
      <c r="BA44" s="174"/>
      <c r="BB44" s="240"/>
      <c r="BC44" s="119" t="str">
        <f>BC10</f>
        <v>Projected Revenue Sep 2014-Aug 2015</v>
      </c>
      <c r="BD44" s="120"/>
      <c r="BE44" s="121"/>
      <c r="BF44" s="121"/>
      <c r="BG44" s="121"/>
      <c r="BH44" s="113"/>
      <c r="BI44" s="84" t="str">
        <f>BI10</f>
        <v>Projected Revenue Sep 2013-Aug 2014</v>
      </c>
      <c r="BJ44" s="85"/>
      <c r="BK44" s="86"/>
      <c r="BL44" s="86"/>
      <c r="BM44" s="86"/>
      <c r="BN44" s="78"/>
    </row>
    <row r="45" spans="1:66" x14ac:dyDescent="0.2">
      <c r="A45" s="277" t="s">
        <v>65</v>
      </c>
      <c r="B45" s="281"/>
      <c r="C45" s="278">
        <f>+'MF Units'!C9+'MF Units'!C10</f>
        <v>10980.499999999995</v>
      </c>
      <c r="D45" s="279">
        <f>+J47</f>
        <v>0.63</v>
      </c>
      <c r="E45" s="278">
        <f>C45*D45</f>
        <v>6917.7149999999965</v>
      </c>
      <c r="F45" s="268"/>
      <c r="G45" s="175" t="s">
        <v>65</v>
      </c>
      <c r="H45" s="635"/>
      <c r="I45" s="632">
        <v>11458.540909090903</v>
      </c>
      <c r="J45" s="633">
        <v>0.51</v>
      </c>
      <c r="K45" s="632">
        <v>5843.8558636363605</v>
      </c>
      <c r="L45" s="240"/>
      <c r="M45" s="87" t="s">
        <v>65</v>
      </c>
      <c r="N45" s="78"/>
      <c r="O45" s="88">
        <v>11604.306818181813</v>
      </c>
      <c r="P45" s="486">
        <v>0.13</v>
      </c>
      <c r="Q45" s="88">
        <v>1508.5598863636358</v>
      </c>
      <c r="R45" s="485"/>
      <c r="S45" s="452" t="s">
        <v>65</v>
      </c>
      <c r="T45" s="456"/>
      <c r="U45" s="453">
        <v>12255</v>
      </c>
      <c r="V45" s="454">
        <f>+AB47</f>
        <v>0.28999999999999998</v>
      </c>
      <c r="W45" s="453">
        <f>U45*V45</f>
        <v>3553.95</v>
      </c>
      <c r="X45" s="443"/>
      <c r="Y45" s="370" t="s">
        <v>65</v>
      </c>
      <c r="Z45" s="374"/>
      <c r="AA45" s="371">
        <v>11910</v>
      </c>
      <c r="AB45" s="372">
        <f>+AH47</f>
        <v>0.28999999999999998</v>
      </c>
      <c r="AC45" s="371">
        <f>AA45*AB45</f>
        <v>3453.8999999999996</v>
      </c>
      <c r="AD45" s="361"/>
      <c r="AE45" s="316" t="s">
        <v>65</v>
      </c>
      <c r="AF45" s="320"/>
      <c r="AG45" s="317">
        <v>11761.868181818176</v>
      </c>
      <c r="AH45" s="332">
        <f>+AN47</f>
        <v>0.47</v>
      </c>
      <c r="AI45" s="317">
        <f>AG45*AH45</f>
        <v>5528.078045454542</v>
      </c>
      <c r="AJ45" s="308"/>
      <c r="AK45" s="206" t="s">
        <v>65</v>
      </c>
      <c r="AL45" s="210"/>
      <c r="AM45" s="207">
        <v>11389.822727272722</v>
      </c>
      <c r="AN45" s="216">
        <v>0.34</v>
      </c>
      <c r="AO45" s="207">
        <f>AM45*AN45</f>
        <v>3872.5397272727255</v>
      </c>
      <c r="AP45" s="228"/>
      <c r="AQ45" s="277" t="s">
        <v>65</v>
      </c>
      <c r="AR45" s="281"/>
      <c r="AS45" s="278">
        <v>12789</v>
      </c>
      <c r="AT45" s="292">
        <f>+AZ47</f>
        <v>0.39</v>
      </c>
      <c r="AU45" s="278">
        <f>AS45*AT45</f>
        <v>4987.71</v>
      </c>
      <c r="AV45" s="268"/>
      <c r="AW45" s="175" t="s">
        <v>65</v>
      </c>
      <c r="AX45" s="179"/>
      <c r="AY45" s="176">
        <v>12789</v>
      </c>
      <c r="AZ45" s="185">
        <v>0.39</v>
      </c>
      <c r="BA45" s="176">
        <f>AY45*AZ45</f>
        <v>4987.71</v>
      </c>
      <c r="BB45" s="240"/>
      <c r="BC45" s="122" t="s">
        <v>65</v>
      </c>
      <c r="BD45" s="125"/>
      <c r="BE45" s="123">
        <v>12902</v>
      </c>
      <c r="BF45" s="124">
        <f>+BL47</f>
        <v>0.35</v>
      </c>
      <c r="BG45" s="123">
        <f>BE45*BF45</f>
        <v>4515.7</v>
      </c>
      <c r="BH45" s="113"/>
      <c r="BI45" s="87" t="s">
        <v>65</v>
      </c>
      <c r="BJ45" s="90"/>
      <c r="BK45" s="88">
        <v>12916</v>
      </c>
      <c r="BL45" s="89">
        <v>0.5</v>
      </c>
      <c r="BM45" s="88">
        <f>BK45*BL45</f>
        <v>6458</v>
      </c>
      <c r="BN45" s="78"/>
    </row>
    <row r="46" spans="1:66" x14ac:dyDescent="0.2">
      <c r="A46" s="277"/>
      <c r="B46" s="281"/>
      <c r="C46" s="278"/>
      <c r="D46" s="279"/>
      <c r="E46" s="278"/>
      <c r="F46" s="268"/>
      <c r="G46" s="175"/>
      <c r="H46" s="635"/>
      <c r="I46" s="632"/>
      <c r="J46" s="633"/>
      <c r="K46" s="632"/>
      <c r="L46" s="240"/>
      <c r="M46" s="87"/>
      <c r="N46" s="78"/>
      <c r="O46" s="88"/>
      <c r="P46" s="486"/>
      <c r="Q46" s="88"/>
      <c r="R46" s="485"/>
      <c r="S46" s="452"/>
      <c r="T46" s="456"/>
      <c r="U46" s="453"/>
      <c r="V46" s="454"/>
      <c r="W46" s="453"/>
      <c r="X46" s="443"/>
      <c r="Y46" s="370"/>
      <c r="Z46" s="374"/>
      <c r="AA46" s="371"/>
      <c r="AB46" s="372"/>
      <c r="AC46" s="371"/>
      <c r="AD46" s="361"/>
      <c r="AE46" s="316"/>
      <c r="AF46" s="320"/>
      <c r="AG46" s="317"/>
      <c r="AH46" s="332"/>
      <c r="AI46" s="317"/>
      <c r="AJ46" s="308"/>
      <c r="AK46" s="206"/>
      <c r="AL46" s="210"/>
      <c r="AM46" s="207"/>
      <c r="AN46" s="216"/>
      <c r="AO46" s="207"/>
      <c r="AP46" s="228"/>
      <c r="AQ46" s="277"/>
      <c r="AR46" s="281"/>
      <c r="AS46" s="278"/>
      <c r="AT46" s="292"/>
      <c r="AU46" s="278"/>
      <c r="AV46" s="268"/>
      <c r="AW46" s="175"/>
      <c r="AX46" s="179"/>
      <c r="AY46" s="176"/>
      <c r="AZ46" s="185"/>
      <c r="BA46" s="176"/>
      <c r="BB46" s="240"/>
      <c r="BC46" s="122"/>
      <c r="BD46" s="125"/>
      <c r="BE46" s="123"/>
      <c r="BF46" s="124"/>
      <c r="BG46" s="123"/>
      <c r="BH46" s="113"/>
      <c r="BI46" s="87"/>
      <c r="BJ46" s="90"/>
      <c r="BK46" s="88"/>
      <c r="BL46" s="89"/>
      <c r="BM46" s="88"/>
      <c r="BN46" s="78"/>
    </row>
    <row r="47" spans="1:66" ht="15" x14ac:dyDescent="0.35">
      <c r="A47" s="277" t="s">
        <v>66</v>
      </c>
      <c r="B47" s="281"/>
      <c r="C47" s="282">
        <f>SUM('MF Units'!C11:C20)</f>
        <v>55975.72045454543</v>
      </c>
      <c r="D47" s="279">
        <f>+L64</f>
        <v>0.27</v>
      </c>
      <c r="E47" s="282">
        <f>C47*D47</f>
        <v>15113.444522727266</v>
      </c>
      <c r="F47" s="268"/>
      <c r="G47" s="175" t="s">
        <v>66</v>
      </c>
      <c r="H47" s="635"/>
      <c r="I47" s="636">
        <v>55406.143181818159</v>
      </c>
      <c r="J47" s="633">
        <v>0.63</v>
      </c>
      <c r="K47" s="636">
        <v>34905.870204545441</v>
      </c>
      <c r="L47" s="240"/>
      <c r="M47" s="87" t="s">
        <v>66</v>
      </c>
      <c r="N47" s="78"/>
      <c r="O47" s="91">
        <v>57066.227272727243</v>
      </c>
      <c r="P47" s="486">
        <v>0.51</v>
      </c>
      <c r="Q47" s="91">
        <v>29103.775909090895</v>
      </c>
      <c r="R47" s="485"/>
      <c r="S47" s="452" t="s">
        <v>66</v>
      </c>
      <c r="T47" s="456"/>
      <c r="U47" s="457">
        <v>60270</v>
      </c>
      <c r="V47" s="454">
        <f>+AD64</f>
        <v>0.13</v>
      </c>
      <c r="W47" s="457">
        <f>U47*V47</f>
        <v>7835.1</v>
      </c>
      <c r="X47" s="443"/>
      <c r="Y47" s="370" t="s">
        <v>66</v>
      </c>
      <c r="Z47" s="374"/>
      <c r="AA47" s="375">
        <v>60811</v>
      </c>
      <c r="AB47" s="372">
        <f>+AJ64</f>
        <v>0.28999999999999998</v>
      </c>
      <c r="AC47" s="375">
        <f>AA47*AB47</f>
        <v>17635.189999999999</v>
      </c>
      <c r="AD47" s="361"/>
      <c r="AE47" s="316" t="s">
        <v>66</v>
      </c>
      <c r="AF47" s="320"/>
      <c r="AG47" s="321">
        <v>59929.054545454521</v>
      </c>
      <c r="AH47" s="332">
        <f>+AP64</f>
        <v>0.28999999999999998</v>
      </c>
      <c r="AI47" s="321">
        <f>AG47*AH47</f>
        <v>17379.425818181811</v>
      </c>
      <c r="AJ47" s="308"/>
      <c r="AK47" s="206" t="s">
        <v>66</v>
      </c>
      <c r="AL47" s="210"/>
      <c r="AM47" s="211">
        <v>56963.338636363609</v>
      </c>
      <c r="AN47" s="216">
        <v>0.47</v>
      </c>
      <c r="AO47" s="211">
        <f>AM47*AN47</f>
        <v>26772.769159090894</v>
      </c>
      <c r="AP47" s="228"/>
      <c r="AQ47" s="277" t="s">
        <v>66</v>
      </c>
      <c r="AR47" s="281"/>
      <c r="AS47" s="282">
        <v>62797</v>
      </c>
      <c r="AT47" s="292">
        <f>+BB64</f>
        <v>0.34</v>
      </c>
      <c r="AU47" s="282">
        <f>AS47*AT47</f>
        <v>21350.980000000003</v>
      </c>
      <c r="AV47" s="268"/>
      <c r="AW47" s="175" t="s">
        <v>66</v>
      </c>
      <c r="AX47" s="179"/>
      <c r="AY47" s="180">
        <v>62774</v>
      </c>
      <c r="AZ47" s="185">
        <v>0.39</v>
      </c>
      <c r="BA47" s="180">
        <f>AY47*AZ47</f>
        <v>24481.86</v>
      </c>
      <c r="BB47" s="240"/>
      <c r="BC47" s="122" t="s">
        <v>66</v>
      </c>
      <c r="BD47" s="125"/>
      <c r="BE47" s="126">
        <v>64538</v>
      </c>
      <c r="BF47" s="124">
        <f>+BN64</f>
        <v>0.39292263980369369</v>
      </c>
      <c r="BG47" s="126">
        <f>BE47*BF47</f>
        <v>25358.441327650784</v>
      </c>
      <c r="BH47" s="113"/>
      <c r="BI47" s="87" t="s">
        <v>66</v>
      </c>
      <c r="BJ47" s="90"/>
      <c r="BK47" s="91">
        <v>64514</v>
      </c>
      <c r="BL47" s="89">
        <v>0.35</v>
      </c>
      <c r="BM47" s="91">
        <f>BK47*BL47</f>
        <v>22579.899999999998</v>
      </c>
      <c r="BN47" s="78"/>
    </row>
    <row r="48" spans="1:66" x14ac:dyDescent="0.2">
      <c r="A48" s="271" t="s">
        <v>22</v>
      </c>
      <c r="B48" s="267"/>
      <c r="C48" s="278">
        <f>SUM(C45:C47)</f>
        <v>66956.22045454543</v>
      </c>
      <c r="D48" s="267"/>
      <c r="E48" s="278">
        <f>SUM(E45:E47)</f>
        <v>22031.159522727263</v>
      </c>
      <c r="F48" s="268"/>
      <c r="G48" s="169" t="s">
        <v>22</v>
      </c>
      <c r="H48" s="624"/>
      <c r="I48" s="632">
        <v>66864.684090909068</v>
      </c>
      <c r="J48" s="624"/>
      <c r="K48" s="632">
        <v>40749.726068181801</v>
      </c>
      <c r="L48" s="240"/>
      <c r="M48" s="81" t="s">
        <v>22</v>
      </c>
      <c r="N48" s="78"/>
      <c r="O48" s="88">
        <v>68670.534090909059</v>
      </c>
      <c r="P48" s="78"/>
      <c r="Q48" s="88">
        <v>30612.335795454532</v>
      </c>
      <c r="R48" s="485"/>
      <c r="S48" s="446" t="s">
        <v>22</v>
      </c>
      <c r="T48" s="442"/>
      <c r="U48" s="453">
        <f>SUM(U45:U47)</f>
        <v>72525</v>
      </c>
      <c r="V48" s="442"/>
      <c r="W48" s="453">
        <f>SUM(W45:W47)</f>
        <v>11389.05</v>
      </c>
      <c r="X48" s="443"/>
      <c r="Y48" s="364" t="s">
        <v>22</v>
      </c>
      <c r="Z48" s="360"/>
      <c r="AA48" s="371">
        <f>SUM(AA45:AA47)</f>
        <v>72721</v>
      </c>
      <c r="AB48" s="360"/>
      <c r="AC48" s="371">
        <f>SUM(AC45:AC47)</f>
        <v>21089.089999999997</v>
      </c>
      <c r="AD48" s="361"/>
      <c r="AE48" s="310" t="s">
        <v>22</v>
      </c>
      <c r="AF48" s="307"/>
      <c r="AG48" s="317">
        <f>SUM(AG45:AG47)</f>
        <v>71690.9227272727</v>
      </c>
      <c r="AH48" s="307"/>
      <c r="AI48" s="317">
        <f>SUM(AI45:AI47)</f>
        <v>22907.503863636353</v>
      </c>
      <c r="AJ48" s="308"/>
      <c r="AK48" s="200" t="s">
        <v>22</v>
      </c>
      <c r="AL48" s="197"/>
      <c r="AM48" s="207">
        <f>SUM(AM45:AM47)</f>
        <v>68353.161363636333</v>
      </c>
      <c r="AN48" s="197"/>
      <c r="AO48" s="207">
        <f>SUM(AO45:AO47)</f>
        <v>30645.308886363619</v>
      </c>
      <c r="AP48" s="228"/>
      <c r="AQ48" s="271" t="s">
        <v>22</v>
      </c>
      <c r="AR48" s="267"/>
      <c r="AS48" s="278">
        <f>SUM(AS45:AS47)</f>
        <v>75586</v>
      </c>
      <c r="AT48" s="267"/>
      <c r="AU48" s="278">
        <f>SUM(AU45:AU47)</f>
        <v>26338.690000000002</v>
      </c>
      <c r="AV48" s="268"/>
      <c r="AW48" s="169" t="s">
        <v>22</v>
      </c>
      <c r="AX48" s="166"/>
      <c r="AY48" s="176">
        <f>SUM(AY45:AY47)</f>
        <v>75563</v>
      </c>
      <c r="AZ48" s="166"/>
      <c r="BA48" s="176">
        <f>SUM(BA45:BA47)</f>
        <v>29469.57</v>
      </c>
      <c r="BB48" s="240"/>
      <c r="BC48" s="116" t="s">
        <v>22</v>
      </c>
      <c r="BD48" s="113"/>
      <c r="BE48" s="123">
        <f>SUM(BE45:BE47)</f>
        <v>77440</v>
      </c>
      <c r="BF48" s="113"/>
      <c r="BG48" s="123">
        <f>SUM(BG45:BG47)</f>
        <v>29874.141327650785</v>
      </c>
      <c r="BH48" s="113"/>
      <c r="BI48" s="81" t="s">
        <v>22</v>
      </c>
      <c r="BJ48" s="78"/>
      <c r="BK48" s="88">
        <f>SUM(BK45:BK47)</f>
        <v>77430</v>
      </c>
      <c r="BL48" s="78"/>
      <c r="BM48" s="88">
        <f>SUM(BM45:BM47)</f>
        <v>29037.899999999998</v>
      </c>
      <c r="BN48" s="78"/>
    </row>
    <row r="49" spans="1:66" x14ac:dyDescent="0.2">
      <c r="A49" s="271"/>
      <c r="B49" s="267"/>
      <c r="C49" s="267"/>
      <c r="D49" s="267"/>
      <c r="E49" s="267"/>
      <c r="F49" s="268"/>
      <c r="G49" s="169"/>
      <c r="H49" s="624"/>
      <c r="I49" s="624"/>
      <c r="J49" s="624"/>
      <c r="K49" s="624"/>
      <c r="L49" s="240"/>
      <c r="M49" s="81"/>
      <c r="N49" s="78"/>
      <c r="O49" s="78"/>
      <c r="P49" s="78"/>
      <c r="Q49" s="78"/>
      <c r="R49" s="485"/>
      <c r="S49" s="446"/>
      <c r="T49" s="442"/>
      <c r="U49" s="442"/>
      <c r="V49" s="442"/>
      <c r="W49" s="442"/>
      <c r="X49" s="443"/>
      <c r="Y49" s="364"/>
      <c r="Z49" s="360"/>
      <c r="AA49" s="360"/>
      <c r="AB49" s="360"/>
      <c r="AC49" s="360"/>
      <c r="AD49" s="361"/>
      <c r="AE49" s="310"/>
      <c r="AF49" s="307"/>
      <c r="AG49" s="307"/>
      <c r="AH49" s="307"/>
      <c r="AI49" s="307"/>
      <c r="AJ49" s="308"/>
      <c r="AK49" s="200"/>
      <c r="AL49" s="197"/>
      <c r="AM49" s="197"/>
      <c r="AN49" s="197"/>
      <c r="AO49" s="197"/>
      <c r="AP49" s="228"/>
      <c r="AQ49" s="271"/>
      <c r="AR49" s="267"/>
      <c r="AS49" s="267"/>
      <c r="AT49" s="267"/>
      <c r="AU49" s="267"/>
      <c r="AV49" s="268"/>
      <c r="AW49" s="169"/>
      <c r="AX49" s="166"/>
      <c r="AY49" s="166"/>
      <c r="AZ49" s="166"/>
      <c r="BA49" s="166"/>
      <c r="BB49" s="240"/>
      <c r="BC49" s="116"/>
      <c r="BD49" s="113"/>
      <c r="BE49" s="113"/>
      <c r="BF49" s="113"/>
      <c r="BG49" s="113"/>
      <c r="BH49" s="113"/>
      <c r="BI49" s="81"/>
      <c r="BJ49" s="78"/>
      <c r="BK49" s="78"/>
      <c r="BL49" s="78"/>
      <c r="BM49" s="78"/>
      <c r="BN49" s="78"/>
    </row>
    <row r="50" spans="1:66" x14ac:dyDescent="0.2">
      <c r="A50" s="277" t="s">
        <v>67</v>
      </c>
      <c r="B50" s="267"/>
      <c r="C50" s="267"/>
      <c r="D50" s="267"/>
      <c r="E50" s="278">
        <f>+'Calculation of Revenue'!F45</f>
        <v>39170.396775465073</v>
      </c>
      <c r="F50" s="268"/>
      <c r="G50" s="175" t="s">
        <v>67</v>
      </c>
      <c r="H50" s="624"/>
      <c r="I50" s="624"/>
      <c r="J50" s="624"/>
      <c r="K50" s="632">
        <v>17843.17001399232</v>
      </c>
      <c r="L50" s="240"/>
      <c r="M50" s="87" t="s">
        <v>67</v>
      </c>
      <c r="N50" s="78"/>
      <c r="O50" s="78"/>
      <c r="P50" s="78"/>
      <c r="Q50" s="88">
        <v>43091.769618094171</v>
      </c>
      <c r="R50" s="485"/>
      <c r="S50" s="452" t="s">
        <v>67</v>
      </c>
      <c r="T50" s="442"/>
      <c r="U50" s="442"/>
      <c r="V50" s="442"/>
      <c r="W50" s="453">
        <v>37140</v>
      </c>
      <c r="X50" s="443"/>
      <c r="Y50" s="370" t="s">
        <v>67</v>
      </c>
      <c r="Z50" s="360"/>
      <c r="AA50" s="360"/>
      <c r="AB50" s="360"/>
      <c r="AC50" s="371">
        <v>9167</v>
      </c>
      <c r="AD50" s="361"/>
      <c r="AE50" s="316" t="s">
        <v>67</v>
      </c>
      <c r="AF50" s="307"/>
      <c r="AG50" s="307"/>
      <c r="AH50" s="307"/>
      <c r="AI50" s="317">
        <v>24111.722634559996</v>
      </c>
      <c r="AJ50" s="308"/>
      <c r="AK50" s="206" t="s">
        <v>67</v>
      </c>
      <c r="AL50" s="197"/>
      <c r="AM50" s="197"/>
      <c r="AN50" s="197"/>
      <c r="AO50" s="207">
        <v>23808.617180365382</v>
      </c>
      <c r="AP50" s="228"/>
      <c r="AQ50" s="277" t="s">
        <v>67</v>
      </c>
      <c r="AR50" s="267"/>
      <c r="AS50" s="267"/>
      <c r="AT50" s="267"/>
      <c r="AU50" s="278">
        <v>35869</v>
      </c>
      <c r="AV50" s="268"/>
      <c r="AW50" s="175" t="s">
        <v>67</v>
      </c>
      <c r="AX50" s="166"/>
      <c r="AY50" s="166"/>
      <c r="AZ50" s="166"/>
      <c r="BA50" s="176">
        <v>25821</v>
      </c>
      <c r="BB50" s="240"/>
      <c r="BC50" s="122" t="s">
        <v>67</v>
      </c>
      <c r="BD50" s="113"/>
      <c r="BE50" s="113"/>
      <c r="BF50" s="113"/>
      <c r="BG50" s="123">
        <v>30075.481689875349</v>
      </c>
      <c r="BH50" s="113"/>
      <c r="BI50" s="87" t="s">
        <v>67</v>
      </c>
      <c r="BJ50" s="78"/>
      <c r="BK50" s="78"/>
      <c r="BL50" s="78"/>
      <c r="BM50" s="88">
        <v>30424</v>
      </c>
      <c r="BN50" s="78"/>
    </row>
    <row r="51" spans="1:66" x14ac:dyDescent="0.2">
      <c r="A51" s="277"/>
      <c r="B51" s="267"/>
      <c r="C51" s="267"/>
      <c r="D51" s="285"/>
      <c r="E51" s="278"/>
      <c r="F51" s="268"/>
      <c r="G51" s="175"/>
      <c r="H51" s="624"/>
      <c r="I51" s="624"/>
      <c r="J51" s="638"/>
      <c r="K51" s="632"/>
      <c r="L51" s="240"/>
      <c r="M51" s="87"/>
      <c r="N51" s="78"/>
      <c r="O51" s="78"/>
      <c r="P51" s="93"/>
      <c r="Q51" s="88"/>
      <c r="R51" s="485"/>
      <c r="S51" s="452"/>
      <c r="T51" s="442"/>
      <c r="U51" s="442"/>
      <c r="V51" s="460"/>
      <c r="W51" s="453"/>
      <c r="X51" s="443"/>
      <c r="Y51" s="370"/>
      <c r="Z51" s="360"/>
      <c r="AA51" s="360"/>
      <c r="AB51" s="378"/>
      <c r="AC51" s="371"/>
      <c r="AD51" s="361"/>
      <c r="AE51" s="316"/>
      <c r="AF51" s="307"/>
      <c r="AG51" s="307"/>
      <c r="AH51" s="324"/>
      <c r="AI51" s="317"/>
      <c r="AJ51" s="308"/>
      <c r="AK51" s="206"/>
      <c r="AL51" s="197"/>
      <c r="AM51" s="197"/>
      <c r="AN51" s="213"/>
      <c r="AO51" s="207"/>
      <c r="AP51" s="228"/>
      <c r="AQ51" s="277"/>
      <c r="AR51" s="267"/>
      <c r="AS51" s="267"/>
      <c r="AT51" s="285"/>
      <c r="AU51" s="278"/>
      <c r="AV51" s="268"/>
      <c r="AW51" s="175"/>
      <c r="AX51" s="166"/>
      <c r="AY51" s="166"/>
      <c r="AZ51" s="182"/>
      <c r="BA51" s="176"/>
      <c r="BB51" s="240"/>
      <c r="BC51" s="122"/>
      <c r="BD51" s="113"/>
      <c r="BE51" s="113"/>
      <c r="BF51" s="128"/>
      <c r="BG51" s="123"/>
      <c r="BH51" s="113"/>
      <c r="BI51" s="87"/>
      <c r="BJ51" s="78"/>
      <c r="BK51" s="78"/>
      <c r="BL51" s="93"/>
      <c r="BM51" s="88"/>
      <c r="BN51" s="78"/>
    </row>
    <row r="52" spans="1:66" ht="15" x14ac:dyDescent="0.35">
      <c r="A52" s="277"/>
      <c r="B52" s="267"/>
      <c r="C52" s="267"/>
      <c r="D52" s="282"/>
      <c r="E52" s="278"/>
      <c r="F52" s="268"/>
      <c r="G52" s="175"/>
      <c r="H52" s="624"/>
      <c r="I52" s="624"/>
      <c r="J52" s="636"/>
      <c r="K52" s="632"/>
      <c r="L52" s="240"/>
      <c r="M52" s="87"/>
      <c r="N52" s="78"/>
      <c r="O52" s="78"/>
      <c r="P52" s="91"/>
      <c r="Q52" s="88"/>
      <c r="R52" s="485"/>
      <c r="S52" s="452"/>
      <c r="T52" s="442"/>
      <c r="U52" s="442"/>
      <c r="V52" s="457"/>
      <c r="W52" s="453"/>
      <c r="X52" s="443"/>
      <c r="Y52" s="370"/>
      <c r="Z52" s="360"/>
      <c r="AA52" s="360"/>
      <c r="AB52" s="375"/>
      <c r="AC52" s="371"/>
      <c r="AD52" s="361"/>
      <c r="AE52" s="316"/>
      <c r="AF52" s="307"/>
      <c r="AG52" s="307"/>
      <c r="AH52" s="321"/>
      <c r="AI52" s="317"/>
      <c r="AJ52" s="308"/>
      <c r="AK52" s="206"/>
      <c r="AL52" s="197"/>
      <c r="AM52" s="197"/>
      <c r="AN52" s="211"/>
      <c r="AO52" s="207"/>
      <c r="AP52" s="228"/>
      <c r="AQ52" s="277"/>
      <c r="AR52" s="267"/>
      <c r="AS52" s="267"/>
      <c r="AT52" s="282"/>
      <c r="AU52" s="278"/>
      <c r="AV52" s="268"/>
      <c r="AW52" s="175"/>
      <c r="AX52" s="166"/>
      <c r="AY52" s="166"/>
      <c r="AZ52" s="180"/>
      <c r="BA52" s="176"/>
      <c r="BB52" s="240"/>
      <c r="BC52" s="122"/>
      <c r="BD52" s="113"/>
      <c r="BE52" s="113"/>
      <c r="BF52" s="126"/>
      <c r="BG52" s="123"/>
      <c r="BH52" s="113"/>
      <c r="BI52" s="87"/>
      <c r="BJ52" s="78"/>
      <c r="BK52" s="78"/>
      <c r="BL52" s="91"/>
      <c r="BM52" s="88"/>
      <c r="BN52" s="78"/>
    </row>
    <row r="53" spans="1:66" ht="15" x14ac:dyDescent="0.35">
      <c r="A53" s="277"/>
      <c r="B53" s="267"/>
      <c r="C53" s="267"/>
      <c r="D53" s="267"/>
      <c r="E53" s="282"/>
      <c r="F53" s="268"/>
      <c r="G53" s="175"/>
      <c r="H53" s="624"/>
      <c r="I53" s="624"/>
      <c r="J53" s="624"/>
      <c r="K53" s="636"/>
      <c r="L53" s="240"/>
      <c r="M53" s="87"/>
      <c r="N53" s="78"/>
      <c r="O53" s="78"/>
      <c r="P53" s="78"/>
      <c r="Q53" s="91"/>
      <c r="R53" s="485"/>
      <c r="S53" s="452"/>
      <c r="T53" s="442"/>
      <c r="U53" s="442"/>
      <c r="V53" s="442"/>
      <c r="W53" s="457"/>
      <c r="X53" s="443"/>
      <c r="Y53" s="370"/>
      <c r="Z53" s="360"/>
      <c r="AA53" s="360"/>
      <c r="AB53" s="360"/>
      <c r="AC53" s="375"/>
      <c r="AD53" s="361"/>
      <c r="AE53" s="316"/>
      <c r="AF53" s="307"/>
      <c r="AG53" s="307"/>
      <c r="AH53" s="307"/>
      <c r="AI53" s="321"/>
      <c r="AJ53" s="308"/>
      <c r="AK53" s="206"/>
      <c r="AL53" s="197"/>
      <c r="AM53" s="197"/>
      <c r="AN53" s="197"/>
      <c r="AO53" s="211"/>
      <c r="AP53" s="228"/>
      <c r="AQ53" s="277"/>
      <c r="AR53" s="267"/>
      <c r="AS53" s="267"/>
      <c r="AT53" s="267"/>
      <c r="AU53" s="282"/>
      <c r="AV53" s="268"/>
      <c r="AW53" s="175"/>
      <c r="AX53" s="166"/>
      <c r="AY53" s="166"/>
      <c r="AZ53" s="166"/>
      <c r="BA53" s="180"/>
      <c r="BB53" s="240"/>
      <c r="BC53" s="122"/>
      <c r="BD53" s="113"/>
      <c r="BE53" s="113"/>
      <c r="BF53" s="113"/>
      <c r="BG53" s="126"/>
      <c r="BH53" s="113"/>
      <c r="BI53" s="87"/>
      <c r="BJ53" s="78"/>
      <c r="BK53" s="78"/>
      <c r="BL53" s="78"/>
      <c r="BM53" s="91"/>
      <c r="BN53" s="78"/>
    </row>
    <row r="54" spans="1:66" x14ac:dyDescent="0.2">
      <c r="A54" s="286"/>
      <c r="B54" s="267"/>
      <c r="C54" s="267"/>
      <c r="D54" s="267"/>
      <c r="E54" s="278"/>
      <c r="F54" s="268"/>
      <c r="G54" s="183"/>
      <c r="H54" s="624"/>
      <c r="I54" s="624"/>
      <c r="J54" s="624"/>
      <c r="K54" s="632"/>
      <c r="L54" s="240"/>
      <c r="M54" s="94"/>
      <c r="N54" s="78"/>
      <c r="O54" s="78"/>
      <c r="P54" s="78"/>
      <c r="Q54" s="88"/>
      <c r="R54" s="485"/>
      <c r="S54" s="461"/>
      <c r="T54" s="442"/>
      <c r="U54" s="442"/>
      <c r="V54" s="442"/>
      <c r="W54" s="453"/>
      <c r="X54" s="443"/>
      <c r="Y54" s="379"/>
      <c r="Z54" s="360"/>
      <c r="AA54" s="360"/>
      <c r="AB54" s="360"/>
      <c r="AC54" s="371"/>
      <c r="AD54" s="361"/>
      <c r="AE54" s="325"/>
      <c r="AF54" s="307"/>
      <c r="AG54" s="307"/>
      <c r="AH54" s="307"/>
      <c r="AI54" s="317"/>
      <c r="AJ54" s="308"/>
      <c r="AK54" s="214"/>
      <c r="AL54" s="197"/>
      <c r="AM54" s="197"/>
      <c r="AN54" s="197"/>
      <c r="AO54" s="207"/>
      <c r="AP54" s="228"/>
      <c r="AQ54" s="286"/>
      <c r="AR54" s="267"/>
      <c r="AS54" s="267"/>
      <c r="AT54" s="267"/>
      <c r="AU54" s="278"/>
      <c r="AV54" s="268"/>
      <c r="AW54" s="183"/>
      <c r="AX54" s="166"/>
      <c r="AY54" s="166"/>
      <c r="AZ54" s="166"/>
      <c r="BA54" s="176"/>
      <c r="BB54" s="240"/>
      <c r="BC54" s="129"/>
      <c r="BD54" s="113"/>
      <c r="BE54" s="113"/>
      <c r="BF54" s="113"/>
      <c r="BG54" s="123"/>
      <c r="BH54" s="113"/>
      <c r="BI54" s="94"/>
      <c r="BJ54" s="78"/>
      <c r="BK54" s="78"/>
      <c r="BL54" s="78"/>
      <c r="BM54" s="88"/>
      <c r="BN54" s="78"/>
    </row>
    <row r="55" spans="1:66" x14ac:dyDescent="0.2">
      <c r="A55" s="286"/>
      <c r="B55" s="267"/>
      <c r="C55" s="267"/>
      <c r="D55" s="267"/>
      <c r="E55" s="278"/>
      <c r="F55" s="268"/>
      <c r="G55" s="183"/>
      <c r="H55" s="624"/>
      <c r="I55" s="624"/>
      <c r="J55" s="624"/>
      <c r="K55" s="632"/>
      <c r="L55" s="240"/>
      <c r="M55" s="94"/>
      <c r="N55" s="78"/>
      <c r="O55" s="78"/>
      <c r="P55" s="78"/>
      <c r="Q55" s="88"/>
      <c r="R55" s="485"/>
      <c r="S55" s="461"/>
      <c r="T55" s="442"/>
      <c r="U55" s="442"/>
      <c r="V55" s="442"/>
      <c r="W55" s="453"/>
      <c r="X55" s="443"/>
      <c r="Y55" s="379"/>
      <c r="Z55" s="360"/>
      <c r="AA55" s="360"/>
      <c r="AB55" s="360"/>
      <c r="AC55" s="371"/>
      <c r="AD55" s="361"/>
      <c r="AE55" s="325"/>
      <c r="AF55" s="307"/>
      <c r="AG55" s="307"/>
      <c r="AH55" s="307"/>
      <c r="AI55" s="317"/>
      <c r="AJ55" s="308"/>
      <c r="AK55" s="214"/>
      <c r="AL55" s="197"/>
      <c r="AM55" s="197"/>
      <c r="AN55" s="197"/>
      <c r="AO55" s="207"/>
      <c r="AP55" s="228"/>
      <c r="AQ55" s="286"/>
      <c r="AR55" s="267"/>
      <c r="AS55" s="267"/>
      <c r="AT55" s="267"/>
      <c r="AU55" s="278"/>
      <c r="AV55" s="268"/>
      <c r="AW55" s="183"/>
      <c r="AX55" s="166"/>
      <c r="AY55" s="166"/>
      <c r="AZ55" s="166"/>
      <c r="BA55" s="176"/>
      <c r="BB55" s="240"/>
      <c r="BC55" s="129"/>
      <c r="BD55" s="113"/>
      <c r="BE55" s="113"/>
      <c r="BF55" s="113"/>
      <c r="BG55" s="123"/>
      <c r="BH55" s="113"/>
      <c r="BI55" s="94"/>
      <c r="BJ55" s="78"/>
      <c r="BK55" s="78"/>
      <c r="BL55" s="78"/>
      <c r="BM55" s="88"/>
      <c r="BN55" s="78"/>
    </row>
    <row r="56" spans="1:66" x14ac:dyDescent="0.2">
      <c r="A56" s="271" t="s">
        <v>68</v>
      </c>
      <c r="B56" s="267"/>
      <c r="C56" s="267"/>
      <c r="D56" s="267"/>
      <c r="E56" s="278">
        <f>E50-E48</f>
        <v>17139.23725273781</v>
      </c>
      <c r="F56" s="268"/>
      <c r="G56" s="169" t="s">
        <v>68</v>
      </c>
      <c r="H56" s="624"/>
      <c r="I56" s="624"/>
      <c r="J56" s="624"/>
      <c r="K56" s="632">
        <v>-22906.556054189481</v>
      </c>
      <c r="L56" s="240"/>
      <c r="M56" s="81" t="s">
        <v>68</v>
      </c>
      <c r="N56" s="78"/>
      <c r="O56" s="78"/>
      <c r="P56" s="78"/>
      <c r="Q56" s="88">
        <v>12479.433822639639</v>
      </c>
      <c r="R56" s="485"/>
      <c r="S56" s="446" t="s">
        <v>68</v>
      </c>
      <c r="T56" s="442"/>
      <c r="U56" s="442"/>
      <c r="V56" s="442"/>
      <c r="W56" s="453">
        <f>W50-W48</f>
        <v>25750.95</v>
      </c>
      <c r="X56" s="443"/>
      <c r="Y56" s="364" t="s">
        <v>68</v>
      </c>
      <c r="Z56" s="360"/>
      <c r="AA56" s="360"/>
      <c r="AB56" s="360"/>
      <c r="AC56" s="371">
        <f>AC50-AC48</f>
        <v>-11922.089999999997</v>
      </c>
      <c r="AD56" s="361"/>
      <c r="AE56" s="310" t="s">
        <v>68</v>
      </c>
      <c r="AF56" s="307"/>
      <c r="AG56" s="307"/>
      <c r="AH56" s="307"/>
      <c r="AI56" s="317">
        <f>AI50-AI48</f>
        <v>1204.2187709236423</v>
      </c>
      <c r="AJ56" s="308"/>
      <c r="AK56" s="200" t="s">
        <v>68</v>
      </c>
      <c r="AL56" s="197"/>
      <c r="AM56" s="197"/>
      <c r="AN56" s="197"/>
      <c r="AO56" s="207">
        <f>AO50-AO48</f>
        <v>-6836.691705998237</v>
      </c>
      <c r="AP56" s="228"/>
      <c r="AQ56" s="271" t="s">
        <v>68</v>
      </c>
      <c r="AR56" s="267"/>
      <c r="AS56" s="267"/>
      <c r="AT56" s="267"/>
      <c r="AU56" s="278">
        <f>AU50-AU48</f>
        <v>9530.3099999999977</v>
      </c>
      <c r="AV56" s="268"/>
      <c r="AW56" s="169" t="s">
        <v>68</v>
      </c>
      <c r="AX56" s="166"/>
      <c r="AY56" s="166"/>
      <c r="AZ56" s="166"/>
      <c r="BA56" s="176">
        <f>BA50-BA48</f>
        <v>-3648.5699999999997</v>
      </c>
      <c r="BB56" s="240"/>
      <c r="BC56" s="116" t="s">
        <v>68</v>
      </c>
      <c r="BD56" s="113"/>
      <c r="BE56" s="113"/>
      <c r="BF56" s="113"/>
      <c r="BG56" s="123">
        <f>BG50-BG48</f>
        <v>201.34036222456416</v>
      </c>
      <c r="BH56" s="113"/>
      <c r="BI56" s="81" t="s">
        <v>68</v>
      </c>
      <c r="BJ56" s="78"/>
      <c r="BK56" s="78"/>
      <c r="BL56" s="78"/>
      <c r="BM56" s="88">
        <f>BM50-BM48</f>
        <v>1386.1000000000022</v>
      </c>
      <c r="BN56" s="78"/>
    </row>
    <row r="57" spans="1:66" x14ac:dyDescent="0.2">
      <c r="A57" s="271"/>
      <c r="B57" s="267"/>
      <c r="C57" s="267"/>
      <c r="D57" s="267"/>
      <c r="E57" s="267"/>
      <c r="F57" s="268"/>
      <c r="G57" s="169"/>
      <c r="H57" s="624"/>
      <c r="I57" s="624"/>
      <c r="J57" s="624"/>
      <c r="K57" s="624"/>
      <c r="L57" s="240"/>
      <c r="M57" s="81"/>
      <c r="N57" s="78"/>
      <c r="O57" s="78"/>
      <c r="P57" s="78"/>
      <c r="Q57" s="78"/>
      <c r="R57" s="485"/>
      <c r="S57" s="446"/>
      <c r="T57" s="442"/>
      <c r="U57" s="442"/>
      <c r="V57" s="442"/>
      <c r="W57" s="442"/>
      <c r="X57" s="443"/>
      <c r="Y57" s="364"/>
      <c r="Z57" s="360"/>
      <c r="AA57" s="360"/>
      <c r="AB57" s="360"/>
      <c r="AC57" s="360"/>
      <c r="AD57" s="361"/>
      <c r="AE57" s="310"/>
      <c r="AF57" s="307"/>
      <c r="AG57" s="307"/>
      <c r="AH57" s="307"/>
      <c r="AI57" s="307"/>
      <c r="AJ57" s="308"/>
      <c r="AK57" s="200"/>
      <c r="AL57" s="197"/>
      <c r="AM57" s="197"/>
      <c r="AN57" s="197"/>
      <c r="AO57" s="197"/>
      <c r="AP57" s="228"/>
      <c r="AQ57" s="271"/>
      <c r="AR57" s="267"/>
      <c r="AS57" s="267"/>
      <c r="AT57" s="267"/>
      <c r="AU57" s="267"/>
      <c r="AV57" s="268"/>
      <c r="AW57" s="169"/>
      <c r="AX57" s="166"/>
      <c r="AY57" s="166"/>
      <c r="AZ57" s="166"/>
      <c r="BA57" s="166"/>
      <c r="BB57" s="240"/>
      <c r="BC57" s="116"/>
      <c r="BD57" s="113"/>
      <c r="BE57" s="113"/>
      <c r="BF57" s="113"/>
      <c r="BG57" s="113"/>
      <c r="BH57" s="113"/>
      <c r="BI57" s="81"/>
      <c r="BJ57" s="78"/>
      <c r="BK57" s="78"/>
      <c r="BL57" s="78"/>
      <c r="BM57" s="78"/>
      <c r="BN57" s="78"/>
    </row>
    <row r="58" spans="1:66" x14ac:dyDescent="0.2">
      <c r="A58" s="271" t="s">
        <v>69</v>
      </c>
      <c r="B58" s="267"/>
      <c r="C58" s="267"/>
      <c r="D58" s="267"/>
      <c r="E58" s="278">
        <f>+C48</f>
        <v>66956.22045454543</v>
      </c>
      <c r="F58" s="268"/>
      <c r="G58" s="169" t="s">
        <v>69</v>
      </c>
      <c r="H58" s="624"/>
      <c r="I58" s="624"/>
      <c r="J58" s="624"/>
      <c r="K58" s="632">
        <v>66864.684090909068</v>
      </c>
      <c r="L58" s="240"/>
      <c r="M58" s="81" t="s">
        <v>69</v>
      </c>
      <c r="N58" s="78"/>
      <c r="O58" s="78"/>
      <c r="P58" s="78"/>
      <c r="Q58" s="88">
        <v>68670.534090909059</v>
      </c>
      <c r="R58" s="485"/>
      <c r="S58" s="446" t="s">
        <v>69</v>
      </c>
      <c r="T58" s="442"/>
      <c r="U58" s="442"/>
      <c r="V58" s="442"/>
      <c r="W58" s="453">
        <f>+U48</f>
        <v>72525</v>
      </c>
      <c r="X58" s="443"/>
      <c r="Y58" s="364" t="s">
        <v>69</v>
      </c>
      <c r="Z58" s="360"/>
      <c r="AA58" s="360"/>
      <c r="AB58" s="360"/>
      <c r="AC58" s="371">
        <f>+AA48</f>
        <v>72721</v>
      </c>
      <c r="AD58" s="361"/>
      <c r="AE58" s="310" t="s">
        <v>69</v>
      </c>
      <c r="AF58" s="307"/>
      <c r="AG58" s="307"/>
      <c r="AH58" s="307"/>
      <c r="AI58" s="317">
        <f>+AG48</f>
        <v>71690.9227272727</v>
      </c>
      <c r="AJ58" s="308"/>
      <c r="AK58" s="200" t="s">
        <v>69</v>
      </c>
      <c r="AL58" s="197"/>
      <c r="AM58" s="197"/>
      <c r="AN58" s="197"/>
      <c r="AO58" s="207">
        <f>+AM48</f>
        <v>68353.161363636333</v>
      </c>
      <c r="AP58" s="228"/>
      <c r="AQ58" s="271" t="s">
        <v>69</v>
      </c>
      <c r="AR58" s="267"/>
      <c r="AS58" s="267"/>
      <c r="AT58" s="267"/>
      <c r="AU58" s="278">
        <f>+AS48</f>
        <v>75586</v>
      </c>
      <c r="AV58" s="268"/>
      <c r="AW58" s="169" t="s">
        <v>69</v>
      </c>
      <c r="AX58" s="166"/>
      <c r="AY58" s="166"/>
      <c r="AZ58" s="166"/>
      <c r="BA58" s="176">
        <f>+AY48</f>
        <v>75563</v>
      </c>
      <c r="BB58" s="240"/>
      <c r="BC58" s="116" t="s">
        <v>69</v>
      </c>
      <c r="BD58" s="113"/>
      <c r="BE58" s="113"/>
      <c r="BF58" s="113"/>
      <c r="BG58" s="123">
        <f>+BE48</f>
        <v>77440</v>
      </c>
      <c r="BH58" s="113"/>
      <c r="BI58" s="81" t="s">
        <v>69</v>
      </c>
      <c r="BJ58" s="78"/>
      <c r="BK58" s="78"/>
      <c r="BL58" s="78"/>
      <c r="BM58" s="88">
        <f>+BK48</f>
        <v>77430</v>
      </c>
      <c r="BN58" s="78"/>
    </row>
    <row r="59" spans="1:66" x14ac:dyDescent="0.2">
      <c r="A59" s="271"/>
      <c r="B59" s="267"/>
      <c r="C59" s="267"/>
      <c r="D59" s="267"/>
      <c r="E59" s="267"/>
      <c r="F59" s="268"/>
      <c r="G59" s="169"/>
      <c r="H59" s="624"/>
      <c r="I59" s="624"/>
      <c r="J59" s="624"/>
      <c r="K59" s="624"/>
      <c r="L59" s="240"/>
      <c r="M59" s="81"/>
      <c r="N59" s="78"/>
      <c r="O59" s="78"/>
      <c r="P59" s="78"/>
      <c r="Q59" s="78"/>
      <c r="R59" s="485"/>
      <c r="S59" s="446"/>
      <c r="T59" s="442"/>
      <c r="U59" s="442"/>
      <c r="V59" s="442"/>
      <c r="W59" s="442"/>
      <c r="X59" s="443"/>
      <c r="Y59" s="364"/>
      <c r="Z59" s="360"/>
      <c r="AA59" s="360"/>
      <c r="AB59" s="360"/>
      <c r="AC59" s="360"/>
      <c r="AD59" s="361"/>
      <c r="AE59" s="310"/>
      <c r="AF59" s="307"/>
      <c r="AG59" s="307"/>
      <c r="AH59" s="307"/>
      <c r="AI59" s="307"/>
      <c r="AJ59" s="308"/>
      <c r="AK59" s="200"/>
      <c r="AL59" s="197"/>
      <c r="AM59" s="197"/>
      <c r="AN59" s="197"/>
      <c r="AO59" s="197"/>
      <c r="AP59" s="228"/>
      <c r="AQ59" s="271"/>
      <c r="AR59" s="267"/>
      <c r="AS59" s="267"/>
      <c r="AT59" s="267"/>
      <c r="AU59" s="267"/>
      <c r="AV59" s="268"/>
      <c r="AW59" s="169"/>
      <c r="AX59" s="166"/>
      <c r="AY59" s="166"/>
      <c r="AZ59" s="166"/>
      <c r="BA59" s="166"/>
      <c r="BB59" s="240"/>
      <c r="BC59" s="116"/>
      <c r="BD59" s="113"/>
      <c r="BE59" s="113"/>
      <c r="BF59" s="113"/>
      <c r="BG59" s="113"/>
      <c r="BH59" s="113"/>
      <c r="BI59" s="81"/>
      <c r="BJ59" s="78"/>
      <c r="BK59" s="78"/>
      <c r="BL59" s="78"/>
      <c r="BM59" s="78"/>
      <c r="BN59" s="78"/>
    </row>
    <row r="60" spans="1:66" x14ac:dyDescent="0.2">
      <c r="A60" s="271" t="s">
        <v>70</v>
      </c>
      <c r="B60" s="267"/>
      <c r="C60" s="267"/>
      <c r="D60" s="267"/>
      <c r="E60" s="267"/>
      <c r="F60" s="293">
        <f>ROUND(E56/E58,2)</f>
        <v>0.26</v>
      </c>
      <c r="G60" s="169" t="s">
        <v>70</v>
      </c>
      <c r="H60" s="624"/>
      <c r="I60" s="624"/>
      <c r="J60" s="624"/>
      <c r="K60" s="624"/>
      <c r="L60" s="639">
        <v>-0.34</v>
      </c>
      <c r="M60" s="81" t="s">
        <v>70</v>
      </c>
      <c r="N60" s="100"/>
      <c r="O60" s="78"/>
      <c r="P60" s="78"/>
      <c r="Q60" s="78"/>
      <c r="R60" s="500">
        <v>0.18</v>
      </c>
      <c r="S60" s="446" t="s">
        <v>70</v>
      </c>
      <c r="T60" s="442"/>
      <c r="U60" s="442"/>
      <c r="V60" s="442"/>
      <c r="W60" s="442"/>
      <c r="X60" s="475">
        <f>ROUND(W56/W58,2)</f>
        <v>0.36</v>
      </c>
      <c r="Y60" s="364" t="s">
        <v>70</v>
      </c>
      <c r="Z60" s="360"/>
      <c r="AA60" s="360"/>
      <c r="AB60" s="360"/>
      <c r="AC60" s="360"/>
      <c r="AD60" s="385">
        <f>ROUND(AC56/AC58,2)</f>
        <v>-0.16</v>
      </c>
      <c r="AE60" s="310" t="s">
        <v>70</v>
      </c>
      <c r="AF60" s="307"/>
      <c r="AG60" s="307"/>
      <c r="AH60" s="307"/>
      <c r="AI60" s="307"/>
      <c r="AJ60" s="333">
        <f>ROUND(AI56/AI58,2)</f>
        <v>0.02</v>
      </c>
      <c r="AK60" s="200" t="s">
        <v>70</v>
      </c>
      <c r="AL60" s="197"/>
      <c r="AM60" s="197"/>
      <c r="AN60" s="197"/>
      <c r="AO60" s="197"/>
      <c r="AP60" s="234">
        <f>ROUND(AO56/AO58,2)</f>
        <v>-0.1</v>
      </c>
      <c r="AQ60" s="271" t="s">
        <v>70</v>
      </c>
      <c r="AR60" s="267"/>
      <c r="AS60" s="267"/>
      <c r="AT60" s="267"/>
      <c r="AU60" s="267"/>
      <c r="AV60" s="293">
        <f>ROUND(AU56/AU58,2)</f>
        <v>0.13</v>
      </c>
      <c r="AW60" s="169" t="s">
        <v>70</v>
      </c>
      <c r="AX60" s="166"/>
      <c r="AY60" s="166"/>
      <c r="AZ60" s="166"/>
      <c r="BA60" s="166"/>
      <c r="BB60" s="246">
        <f>ROUND(BA56/BA58,2)</f>
        <v>-0.05</v>
      </c>
      <c r="BC60" s="116" t="s">
        <v>70</v>
      </c>
      <c r="BD60" s="113"/>
      <c r="BE60" s="113"/>
      <c r="BF60" s="113"/>
      <c r="BG60" s="113"/>
      <c r="BH60" s="135">
        <f>ROUND(BG56/BG58,2)</f>
        <v>0</v>
      </c>
      <c r="BI60" s="81" t="s">
        <v>70</v>
      </c>
      <c r="BJ60" s="78"/>
      <c r="BK60" s="78"/>
      <c r="BL60" s="78"/>
      <c r="BM60" s="78"/>
      <c r="BN60" s="100">
        <f>ROUND(BM56/BM58,2)</f>
        <v>0.02</v>
      </c>
    </row>
    <row r="61" spans="1:66" x14ac:dyDescent="0.2">
      <c r="A61" s="271"/>
      <c r="B61" s="267"/>
      <c r="C61" s="267"/>
      <c r="D61" s="267"/>
      <c r="E61" s="278"/>
      <c r="F61" s="268"/>
      <c r="G61" s="169"/>
      <c r="H61" s="624"/>
      <c r="I61" s="624"/>
      <c r="J61" s="624"/>
      <c r="K61" s="632"/>
      <c r="L61" s="240"/>
      <c r="M61" s="81"/>
      <c r="N61" s="78"/>
      <c r="O61" s="78"/>
      <c r="P61" s="78"/>
      <c r="Q61" s="88"/>
      <c r="R61" s="485"/>
      <c r="S61" s="446"/>
      <c r="T61" s="442"/>
      <c r="U61" s="442"/>
      <c r="V61" s="442"/>
      <c r="W61" s="453"/>
      <c r="X61" s="443"/>
      <c r="Y61" s="364"/>
      <c r="Z61" s="360"/>
      <c r="AA61" s="360"/>
      <c r="AB61" s="360"/>
      <c r="AC61" s="371"/>
      <c r="AD61" s="361"/>
      <c r="AE61" s="310"/>
      <c r="AF61" s="307"/>
      <c r="AG61" s="307"/>
      <c r="AH61" s="307"/>
      <c r="AI61" s="317"/>
      <c r="AJ61" s="308"/>
      <c r="AK61" s="200"/>
      <c r="AL61" s="197"/>
      <c r="AM61" s="197"/>
      <c r="AN61" s="197"/>
      <c r="AO61" s="207"/>
      <c r="AP61" s="228"/>
      <c r="AQ61" s="271"/>
      <c r="AR61" s="267"/>
      <c r="AS61" s="267"/>
      <c r="AT61" s="267"/>
      <c r="AU61" s="278"/>
      <c r="AV61" s="268"/>
      <c r="AW61" s="169"/>
      <c r="AX61" s="166"/>
      <c r="AY61" s="166"/>
      <c r="AZ61" s="166"/>
      <c r="BA61" s="176"/>
      <c r="BB61" s="240"/>
      <c r="BC61" s="116"/>
      <c r="BD61" s="113"/>
      <c r="BE61" s="113"/>
      <c r="BF61" s="113"/>
      <c r="BG61" s="123"/>
      <c r="BH61" s="113"/>
      <c r="BI61" s="81"/>
      <c r="BJ61" s="78"/>
      <c r="BK61" s="78"/>
      <c r="BL61" s="78"/>
      <c r="BM61" s="88"/>
      <c r="BN61" s="78"/>
    </row>
    <row r="62" spans="1:66" ht="16.5" x14ac:dyDescent="0.35">
      <c r="A62" s="274" t="str">
        <f>A28</f>
        <v>Projected Revenue Sep 2023-Aug 2024</v>
      </c>
      <c r="B62" s="275"/>
      <c r="C62" s="267"/>
      <c r="D62" s="267"/>
      <c r="E62" s="294">
        <f>+E50</f>
        <v>39170.396775465073</v>
      </c>
      <c r="F62" s="268"/>
      <c r="G62" s="172" t="s">
        <v>171</v>
      </c>
      <c r="H62" s="630"/>
      <c r="I62" s="624"/>
      <c r="J62" s="624"/>
      <c r="K62" s="647">
        <v>17843.17001399232</v>
      </c>
      <c r="L62" s="240"/>
      <c r="M62" s="84" t="s">
        <v>167</v>
      </c>
      <c r="N62" s="78"/>
      <c r="O62" s="78"/>
      <c r="P62" s="78"/>
      <c r="Q62" s="101">
        <v>43091.769618094171</v>
      </c>
      <c r="R62" s="485"/>
      <c r="S62" s="449" t="str">
        <f>S28</f>
        <v xml:space="preserve">Projected Revenue Sep 2021-Aug 2022 </v>
      </c>
      <c r="T62" s="450"/>
      <c r="U62" s="442"/>
      <c r="V62" s="442"/>
      <c r="W62" s="476">
        <f>+W50</f>
        <v>37140</v>
      </c>
      <c r="X62" s="443"/>
      <c r="Y62" s="367" t="str">
        <f>Y28</f>
        <v xml:space="preserve">Projected Revenue Sep 2020-Aug 2021 </v>
      </c>
      <c r="Z62" s="368"/>
      <c r="AA62" s="360"/>
      <c r="AB62" s="360"/>
      <c r="AC62" s="386">
        <f>+AC50</f>
        <v>9167</v>
      </c>
      <c r="AD62" s="361"/>
      <c r="AE62" s="313" t="str">
        <f>AE28</f>
        <v>Projected Revenue Sep 2019-Aug 2020 (annualization of most recent six months)</v>
      </c>
      <c r="AF62" s="314"/>
      <c r="AG62" s="307"/>
      <c r="AH62" s="307"/>
      <c r="AI62" s="334">
        <v>20456.041750600001</v>
      </c>
      <c r="AJ62" s="308"/>
      <c r="AK62" s="203" t="str">
        <f>AK28</f>
        <v>Projected Revenue Sep 2018-Aug 2019 (annualization of most recent six months)</v>
      </c>
      <c r="AL62" s="204"/>
      <c r="AM62" s="197"/>
      <c r="AN62" s="197"/>
      <c r="AO62" s="217">
        <v>19998.544344284699</v>
      </c>
      <c r="AP62" s="228"/>
      <c r="AQ62" s="274" t="str">
        <f>AQ28</f>
        <v>Projected Revenue Sep 2017-Aug 2018</v>
      </c>
      <c r="AR62" s="275"/>
      <c r="AS62" s="267"/>
      <c r="AT62" s="267"/>
      <c r="AU62" s="294">
        <f>+AU50</f>
        <v>35869</v>
      </c>
      <c r="AV62" s="268"/>
      <c r="AW62" s="172" t="str">
        <f>AW28</f>
        <v>Projected Revenue Sep 2016-Aug 2017</v>
      </c>
      <c r="AX62" s="173"/>
      <c r="AY62" s="166"/>
      <c r="AZ62" s="166"/>
      <c r="BA62" s="186">
        <f>+BA50</f>
        <v>25821</v>
      </c>
      <c r="BB62" s="240"/>
      <c r="BC62" s="119" t="str">
        <f>BC28</f>
        <v>Projected Revenue Sep 2015-Aug 2016</v>
      </c>
      <c r="BD62" s="120"/>
      <c r="BE62" s="113"/>
      <c r="BF62" s="113"/>
      <c r="BG62" s="136">
        <f>+BG50</f>
        <v>30075.481689875349</v>
      </c>
      <c r="BH62" s="113"/>
      <c r="BI62" s="84" t="str">
        <f>BI28</f>
        <v>Projected Revenue Sep 2014-Aug 2015</v>
      </c>
      <c r="BJ62" s="85"/>
      <c r="BK62" s="78"/>
      <c r="BL62" s="78"/>
      <c r="BM62" s="101">
        <f>+BM50</f>
        <v>30424</v>
      </c>
      <c r="BN62" s="78"/>
    </row>
    <row r="63" spans="1:66" x14ac:dyDescent="0.2">
      <c r="A63" s="271" t="s">
        <v>69</v>
      </c>
      <c r="B63" s="267"/>
      <c r="C63" s="267"/>
      <c r="D63" s="267"/>
      <c r="E63" s="278">
        <f>+C48</f>
        <v>66956.22045454543</v>
      </c>
      <c r="F63" s="268"/>
      <c r="G63" s="169" t="s">
        <v>69</v>
      </c>
      <c r="H63" s="624"/>
      <c r="I63" s="624"/>
      <c r="J63" s="624"/>
      <c r="K63" s="632">
        <v>66864.684090909068</v>
      </c>
      <c r="L63" s="240"/>
      <c r="M63" s="81" t="s">
        <v>69</v>
      </c>
      <c r="N63" s="78"/>
      <c r="O63" s="78"/>
      <c r="P63" s="78"/>
      <c r="Q63" s="88">
        <v>68670.534090909059</v>
      </c>
      <c r="R63" s="485"/>
      <c r="S63" s="446" t="s">
        <v>69</v>
      </c>
      <c r="T63" s="442"/>
      <c r="U63" s="442"/>
      <c r="V63" s="442"/>
      <c r="W63" s="453">
        <f>+U48</f>
        <v>72525</v>
      </c>
      <c r="X63" s="443"/>
      <c r="Y63" s="364" t="s">
        <v>69</v>
      </c>
      <c r="Z63" s="360"/>
      <c r="AA63" s="360"/>
      <c r="AB63" s="360"/>
      <c r="AC63" s="371">
        <f>+AA48</f>
        <v>72721</v>
      </c>
      <c r="AD63" s="361"/>
      <c r="AE63" s="310" t="s">
        <v>69</v>
      </c>
      <c r="AF63" s="307"/>
      <c r="AG63" s="307"/>
      <c r="AH63" s="307"/>
      <c r="AI63" s="317">
        <f>+AG48</f>
        <v>71690.9227272727</v>
      </c>
      <c r="AJ63" s="308"/>
      <c r="AK63" s="200" t="s">
        <v>69</v>
      </c>
      <c r="AL63" s="197"/>
      <c r="AM63" s="197"/>
      <c r="AN63" s="197"/>
      <c r="AO63" s="207">
        <f>+AM48</f>
        <v>68353.161363636333</v>
      </c>
      <c r="AP63" s="228"/>
      <c r="AQ63" s="271" t="s">
        <v>69</v>
      </c>
      <c r="AR63" s="267"/>
      <c r="AS63" s="267"/>
      <c r="AT63" s="267"/>
      <c r="AU63" s="278">
        <f>+AS48</f>
        <v>75586</v>
      </c>
      <c r="AV63" s="268"/>
      <c r="AW63" s="169" t="s">
        <v>69</v>
      </c>
      <c r="AX63" s="166"/>
      <c r="AY63" s="166"/>
      <c r="AZ63" s="166"/>
      <c r="BA63" s="176">
        <f>+AY48</f>
        <v>75563</v>
      </c>
      <c r="BB63" s="240"/>
      <c r="BC63" s="116" t="s">
        <v>69</v>
      </c>
      <c r="BD63" s="113"/>
      <c r="BE63" s="113"/>
      <c r="BF63" s="113"/>
      <c r="BG63" s="123">
        <f>+BE48</f>
        <v>77440</v>
      </c>
      <c r="BH63" s="113"/>
      <c r="BI63" s="81" t="s">
        <v>69</v>
      </c>
      <c r="BJ63" s="78"/>
      <c r="BK63" s="78"/>
      <c r="BL63" s="78"/>
      <c r="BM63" s="88">
        <f>+BK48</f>
        <v>77430</v>
      </c>
      <c r="BN63" s="78"/>
    </row>
    <row r="64" spans="1:66" ht="15" x14ac:dyDescent="0.35">
      <c r="A64" s="271" t="s">
        <v>71</v>
      </c>
      <c r="B64" s="267"/>
      <c r="C64" s="267"/>
      <c r="D64" s="267"/>
      <c r="E64" s="267"/>
      <c r="F64" s="621">
        <f>ROUND(+E62/E63,2)</f>
        <v>0.59</v>
      </c>
      <c r="G64" s="169" t="s">
        <v>71</v>
      </c>
      <c r="H64" s="624"/>
      <c r="I64" s="624"/>
      <c r="J64" s="624"/>
      <c r="K64" s="624"/>
      <c r="L64" s="640">
        <v>0.27</v>
      </c>
      <c r="M64" s="81" t="s">
        <v>71</v>
      </c>
      <c r="N64" s="550"/>
      <c r="O64" s="78"/>
      <c r="P64" s="78"/>
      <c r="Q64" s="78"/>
      <c r="R64" s="501">
        <v>0.63</v>
      </c>
      <c r="S64" s="446" t="s">
        <v>71</v>
      </c>
      <c r="T64" s="442"/>
      <c r="U64" s="442"/>
      <c r="V64" s="442"/>
      <c r="W64" s="442"/>
      <c r="X64" s="477">
        <f>ROUND(+W62/W63,2)</f>
        <v>0.51</v>
      </c>
      <c r="Y64" s="364" t="s">
        <v>71</v>
      </c>
      <c r="Z64" s="360"/>
      <c r="AA64" s="360"/>
      <c r="AB64" s="360"/>
      <c r="AC64" s="360"/>
      <c r="AD64" s="387">
        <f>ROUND(+AC62/AC63,2)</f>
        <v>0.13</v>
      </c>
      <c r="AE64" s="310" t="s">
        <v>71</v>
      </c>
      <c r="AF64" s="307"/>
      <c r="AG64" s="307"/>
      <c r="AH64" s="307"/>
      <c r="AI64" s="307"/>
      <c r="AJ64" s="335">
        <f>ROUND(+AI62/AI63,2)</f>
        <v>0.28999999999999998</v>
      </c>
      <c r="AK64" s="200" t="s">
        <v>71</v>
      </c>
      <c r="AL64" s="197"/>
      <c r="AM64" s="197"/>
      <c r="AN64" s="197"/>
      <c r="AO64" s="197"/>
      <c r="AP64" s="255">
        <f>ROUND(+AO62/AO63,2)</f>
        <v>0.28999999999999998</v>
      </c>
      <c r="AQ64" s="271" t="s">
        <v>71</v>
      </c>
      <c r="AR64" s="267"/>
      <c r="AS64" s="267"/>
      <c r="AT64" s="267"/>
      <c r="AU64" s="267"/>
      <c r="AV64" s="295">
        <f>ROUND(+AU62/AU63,2)</f>
        <v>0.47</v>
      </c>
      <c r="AW64" s="169" t="s">
        <v>71</v>
      </c>
      <c r="AX64" s="166"/>
      <c r="AY64" s="166"/>
      <c r="AZ64" s="166"/>
      <c r="BA64" s="166"/>
      <c r="BB64" s="247">
        <f>ROUND(+BA62/BA63,2)</f>
        <v>0.34</v>
      </c>
      <c r="BC64" s="116" t="s">
        <v>71</v>
      </c>
      <c r="BD64" s="113"/>
      <c r="BE64" s="113"/>
      <c r="BF64" s="113"/>
      <c r="BG64" s="113"/>
      <c r="BH64" s="137">
        <f>ROUND(+BG62/BG63,2)</f>
        <v>0.39</v>
      </c>
      <c r="BI64" s="81" t="s">
        <v>71</v>
      </c>
      <c r="BJ64" s="78"/>
      <c r="BK64" s="78"/>
      <c r="BL64" s="78"/>
      <c r="BM64" s="78"/>
      <c r="BN64" s="102">
        <f>+BM62/BM63</f>
        <v>0.39292263980369369</v>
      </c>
    </row>
    <row r="65" spans="1:66" x14ac:dyDescent="0.2">
      <c r="A65" s="271"/>
      <c r="B65" s="267"/>
      <c r="C65" s="267"/>
      <c r="D65" s="267"/>
      <c r="E65" s="267"/>
      <c r="F65" s="268"/>
      <c r="G65" s="169"/>
      <c r="H65" s="624"/>
      <c r="I65" s="624"/>
      <c r="J65" s="624"/>
      <c r="K65" s="624"/>
      <c r="L65" s="240"/>
      <c r="M65" s="81"/>
      <c r="N65" s="78"/>
      <c r="O65" s="78"/>
      <c r="P65" s="78"/>
      <c r="Q65" s="78"/>
      <c r="R65" s="485"/>
      <c r="S65" s="446"/>
      <c r="T65" s="442"/>
      <c r="U65" s="442"/>
      <c r="V65" s="442"/>
      <c r="W65" s="442"/>
      <c r="X65" s="443"/>
      <c r="Y65" s="364"/>
      <c r="Z65" s="360"/>
      <c r="AA65" s="360"/>
      <c r="AB65" s="360"/>
      <c r="AC65" s="360"/>
      <c r="AD65" s="361"/>
      <c r="AE65" s="310"/>
      <c r="AF65" s="307"/>
      <c r="AG65" s="307"/>
      <c r="AH65" s="307"/>
      <c r="AI65" s="307"/>
      <c r="AJ65" s="308"/>
      <c r="AK65" s="200"/>
      <c r="AL65" s="197"/>
      <c r="AM65" s="197"/>
      <c r="AN65" s="197"/>
      <c r="AO65" s="197"/>
      <c r="AP65" s="228"/>
      <c r="AQ65" s="271"/>
      <c r="AR65" s="267"/>
      <c r="AS65" s="267"/>
      <c r="AT65" s="267"/>
      <c r="AU65" s="267"/>
      <c r="AV65" s="268"/>
      <c r="AW65" s="169"/>
      <c r="AX65" s="166"/>
      <c r="AY65" s="166"/>
      <c r="AZ65" s="166"/>
      <c r="BA65" s="166"/>
      <c r="BB65" s="240"/>
      <c r="BC65" s="116"/>
      <c r="BD65" s="113"/>
      <c r="BE65" s="113"/>
      <c r="BF65" s="113"/>
      <c r="BG65" s="113"/>
      <c r="BH65" s="113"/>
      <c r="BI65" s="81"/>
      <c r="BJ65" s="78"/>
      <c r="BK65" s="78"/>
      <c r="BL65" s="78"/>
      <c r="BM65" s="78"/>
      <c r="BN65" s="78"/>
    </row>
    <row r="66" spans="1:66" ht="18.75" thickBot="1" x14ac:dyDescent="0.4">
      <c r="A66" s="264" t="s">
        <v>152</v>
      </c>
      <c r="B66" s="265"/>
      <c r="C66" s="267"/>
      <c r="D66" s="267"/>
      <c r="E66" s="267"/>
      <c r="F66" s="296">
        <f>+F64+F60</f>
        <v>0.85</v>
      </c>
      <c r="G66" s="163" t="s">
        <v>152</v>
      </c>
      <c r="H66" s="622"/>
      <c r="I66" s="624"/>
      <c r="J66" s="624"/>
      <c r="K66" s="624"/>
      <c r="L66" s="641">
        <v>-7.0000000000000007E-2</v>
      </c>
      <c r="M66" s="75" t="s">
        <v>152</v>
      </c>
      <c r="N66" s="104"/>
      <c r="O66" s="78"/>
      <c r="P66" s="78"/>
      <c r="Q66" s="78"/>
      <c r="R66" s="502">
        <v>0.81</v>
      </c>
      <c r="S66" s="439" t="s">
        <v>152</v>
      </c>
      <c r="T66" s="440"/>
      <c r="U66" s="442"/>
      <c r="V66" s="442"/>
      <c r="W66" s="442"/>
      <c r="X66" s="478">
        <f>+X64+X60</f>
        <v>0.87</v>
      </c>
      <c r="Y66" s="357" t="s">
        <v>152</v>
      </c>
      <c r="Z66" s="358"/>
      <c r="AA66" s="360"/>
      <c r="AB66" s="360"/>
      <c r="AC66" s="360"/>
      <c r="AD66" s="388">
        <f>+AD64+AD60</f>
        <v>-0.03</v>
      </c>
      <c r="AE66" s="304" t="s">
        <v>73</v>
      </c>
      <c r="AF66" s="305"/>
      <c r="AG66" s="307"/>
      <c r="AH66" s="307"/>
      <c r="AI66" s="307"/>
      <c r="AJ66" s="336">
        <f>+AJ64+AJ60</f>
        <v>0.31</v>
      </c>
      <c r="AK66" s="194" t="s">
        <v>73</v>
      </c>
      <c r="AL66" s="195"/>
      <c r="AM66" s="197"/>
      <c r="AN66" s="197"/>
      <c r="AO66" s="197"/>
      <c r="AP66" s="235">
        <f>+AP64+AP60</f>
        <v>0.18999999999999997</v>
      </c>
      <c r="AQ66" s="264" t="s">
        <v>73</v>
      </c>
      <c r="AR66" s="265"/>
      <c r="AS66" s="267"/>
      <c r="AT66" s="267"/>
      <c r="AU66" s="267"/>
      <c r="AV66" s="296">
        <f>+AV64+AV60</f>
        <v>0.6</v>
      </c>
      <c r="AW66" s="163" t="s">
        <v>73</v>
      </c>
      <c r="AX66" s="164"/>
      <c r="AY66" s="166"/>
      <c r="AZ66" s="166"/>
      <c r="BA66" s="166"/>
      <c r="BB66" s="248">
        <f>+BB64+BB60</f>
        <v>0.29000000000000004</v>
      </c>
      <c r="BC66" s="110" t="s">
        <v>73</v>
      </c>
      <c r="BD66" s="111"/>
      <c r="BE66" s="113"/>
      <c r="BF66" s="113"/>
      <c r="BG66" s="113"/>
      <c r="BH66" s="138">
        <f>+BH64+BH60</f>
        <v>0.39</v>
      </c>
      <c r="BI66" s="75" t="s">
        <v>73</v>
      </c>
      <c r="BJ66" s="76"/>
      <c r="BK66" s="78"/>
      <c r="BL66" s="78"/>
      <c r="BM66" s="78"/>
      <c r="BN66" s="103">
        <f>+BN64+BN60</f>
        <v>0.4129226398036937</v>
      </c>
    </row>
    <row r="67" spans="1:66" ht="19.5" thickTop="1" thickBot="1" x14ac:dyDescent="0.4">
      <c r="A67" s="297"/>
      <c r="B67" s="298"/>
      <c r="C67" s="299"/>
      <c r="D67" s="299"/>
      <c r="E67" s="299"/>
      <c r="F67" s="300"/>
      <c r="G67" s="249"/>
      <c r="H67" s="250"/>
      <c r="I67" s="187"/>
      <c r="J67" s="187"/>
      <c r="K67" s="187"/>
      <c r="L67" s="648"/>
      <c r="M67" s="404"/>
      <c r="N67" s="551"/>
      <c r="O67" s="406"/>
      <c r="P67" s="406"/>
      <c r="Q67" s="406"/>
      <c r="R67" s="503"/>
      <c r="S67" s="479"/>
      <c r="T67" s="480"/>
      <c r="U67" s="472"/>
      <c r="V67" s="472"/>
      <c r="W67" s="472"/>
      <c r="X67" s="481"/>
      <c r="Y67" s="389"/>
      <c r="Z67" s="390"/>
      <c r="AA67" s="391"/>
      <c r="AB67" s="391"/>
      <c r="AC67" s="391"/>
      <c r="AD67" s="392"/>
      <c r="AE67" s="337"/>
      <c r="AF67" s="338"/>
      <c r="AG67" s="339"/>
      <c r="AH67" s="339"/>
      <c r="AI67" s="339"/>
      <c r="AJ67" s="340"/>
      <c r="AK67" s="236"/>
      <c r="AL67" s="237"/>
      <c r="AM67" s="218"/>
      <c r="AN67" s="218"/>
      <c r="AO67" s="218"/>
      <c r="AP67" s="238"/>
      <c r="AQ67" s="297"/>
      <c r="AR67" s="298"/>
      <c r="AS67" s="299"/>
      <c r="AT67" s="299"/>
      <c r="AU67" s="299"/>
      <c r="AV67" s="300"/>
      <c r="AW67" s="249"/>
      <c r="AX67" s="250"/>
      <c r="AY67" s="187"/>
      <c r="AZ67" s="187"/>
      <c r="BA67" s="187"/>
      <c r="BB67" s="251"/>
      <c r="BC67" s="110"/>
      <c r="BD67" s="111"/>
      <c r="BE67" s="113"/>
      <c r="BF67" s="113"/>
      <c r="BG67" s="113"/>
      <c r="BH67" s="139"/>
      <c r="BI67" s="75"/>
      <c r="BJ67" s="76"/>
      <c r="BK67" s="78"/>
      <c r="BL67" s="78"/>
      <c r="BM67" s="78"/>
      <c r="BN67" s="104"/>
    </row>
    <row r="72" spans="1:66" x14ac:dyDescent="0.2">
      <c r="M72" s="555">
        <v>45209</v>
      </c>
    </row>
    <row r="73" spans="1:66" x14ac:dyDescent="0.2">
      <c r="M73" s="555">
        <f>M72+45</f>
        <v>45254</v>
      </c>
    </row>
  </sheetData>
  <mergeCells count="18">
    <mergeCell ref="A4:F4"/>
    <mergeCell ref="A6:F6"/>
    <mergeCell ref="Y4:AD4"/>
    <mergeCell ref="Y6:AD6"/>
    <mergeCell ref="AE4:AJ4"/>
    <mergeCell ref="AE6:AJ6"/>
    <mergeCell ref="S4:X4"/>
    <mergeCell ref="S6:X6"/>
    <mergeCell ref="BI4:BN4"/>
    <mergeCell ref="BI6:BN6"/>
    <mergeCell ref="AK4:AP4"/>
    <mergeCell ref="AK6:AP6"/>
    <mergeCell ref="AQ4:AV4"/>
    <mergeCell ref="AQ6:AV6"/>
    <mergeCell ref="BC4:BH4"/>
    <mergeCell ref="BC6:BH6"/>
    <mergeCell ref="AW4:BB4"/>
    <mergeCell ref="AW6:BB6"/>
  </mergeCells>
  <pageMargins left="0.7" right="0.45" top="0.5" bottom="0.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7"/>
  <sheetViews>
    <sheetView workbookViewId="0">
      <selection activeCell="M11" sqref="M11:M12"/>
    </sheetView>
  </sheetViews>
  <sheetFormatPr defaultRowHeight="12.75" x14ac:dyDescent="0.2"/>
  <cols>
    <col min="1" max="1" width="18" customWidth="1"/>
    <col min="2" max="2" width="6.7109375" customWidth="1"/>
    <col min="3" max="3" width="10.42578125" bestFit="1" customWidth="1"/>
    <col min="4" max="4" width="10.28515625" bestFit="1" customWidth="1"/>
    <col min="5" max="5" width="9.7109375" bestFit="1" customWidth="1"/>
    <col min="6" max="6" width="11.28515625" bestFit="1" customWidth="1"/>
    <col min="7" max="8" width="9.5703125" bestFit="1" customWidth="1"/>
    <col min="9" max="9" width="11.28515625" bestFit="1" customWidth="1"/>
    <col min="10" max="10" width="3" customWidth="1"/>
    <col min="11" max="11" width="9.5703125" bestFit="1" customWidth="1"/>
    <col min="12" max="12" width="2.7109375" customWidth="1"/>
    <col min="13" max="13" width="11.28515625" bestFit="1" customWidth="1"/>
    <col min="232" max="232" width="18" customWidth="1"/>
    <col min="233" max="233" width="7.85546875" customWidth="1"/>
    <col min="234" max="234" width="11.28515625" bestFit="1" customWidth="1"/>
    <col min="235" max="235" width="10.5703125" bestFit="1" customWidth="1"/>
    <col min="236" max="236" width="10.28515625" customWidth="1"/>
    <col min="237" max="237" width="12.5703125" bestFit="1" customWidth="1"/>
    <col min="238" max="238" width="10.5703125" bestFit="1" customWidth="1"/>
    <col min="239" max="239" width="9.85546875" bestFit="1" customWidth="1"/>
    <col min="240" max="240" width="13" bestFit="1" customWidth="1"/>
    <col min="241" max="241" width="2.140625" customWidth="1"/>
    <col min="242" max="242" width="10.5703125" bestFit="1" customWidth="1"/>
    <col min="243" max="243" width="7.85546875" bestFit="1" customWidth="1"/>
    <col min="244" max="244" width="9.85546875" bestFit="1" customWidth="1"/>
    <col min="245" max="245" width="11.28515625" bestFit="1" customWidth="1"/>
    <col min="246" max="247" width="9.85546875" bestFit="1" customWidth="1"/>
    <col min="248" max="248" width="12" bestFit="1" customWidth="1"/>
    <col min="249" max="249" width="1.85546875" customWidth="1"/>
    <col min="251" max="251" width="3" customWidth="1"/>
    <col min="488" max="488" width="18" customWidth="1"/>
    <col min="489" max="489" width="7.85546875" customWidth="1"/>
    <col min="490" max="490" width="11.28515625" bestFit="1" customWidth="1"/>
    <col min="491" max="491" width="10.5703125" bestFit="1" customWidth="1"/>
    <col min="492" max="492" width="10.28515625" customWidth="1"/>
    <col min="493" max="493" width="12.5703125" bestFit="1" customWidth="1"/>
    <col min="494" max="494" width="10.5703125" bestFit="1" customWidth="1"/>
    <col min="495" max="495" width="9.85546875" bestFit="1" customWidth="1"/>
    <col min="496" max="496" width="13" bestFit="1" customWidth="1"/>
    <col min="497" max="497" width="2.140625" customWidth="1"/>
    <col min="498" max="498" width="10.5703125" bestFit="1" customWidth="1"/>
    <col min="499" max="499" width="7.85546875" bestFit="1" customWidth="1"/>
    <col min="500" max="500" width="9.85546875" bestFit="1" customWidth="1"/>
    <col min="501" max="501" width="11.28515625" bestFit="1" customWidth="1"/>
    <col min="502" max="503" width="9.85546875" bestFit="1" customWidth="1"/>
    <col min="504" max="504" width="12" bestFit="1" customWidth="1"/>
    <col min="505" max="505" width="1.85546875" customWidth="1"/>
    <col min="507" max="507" width="3" customWidth="1"/>
    <col min="744" max="744" width="18" customWidth="1"/>
    <col min="745" max="745" width="7.85546875" customWidth="1"/>
    <col min="746" max="746" width="11.28515625" bestFit="1" customWidth="1"/>
    <col min="747" max="747" width="10.5703125" bestFit="1" customWidth="1"/>
    <col min="748" max="748" width="10.28515625" customWidth="1"/>
    <col min="749" max="749" width="12.5703125" bestFit="1" customWidth="1"/>
    <col min="750" max="750" width="10.5703125" bestFit="1" customWidth="1"/>
    <col min="751" max="751" width="9.85546875" bestFit="1" customWidth="1"/>
    <col min="752" max="752" width="13" bestFit="1" customWidth="1"/>
    <col min="753" max="753" width="2.140625" customWidth="1"/>
    <col min="754" max="754" width="10.5703125" bestFit="1" customWidth="1"/>
    <col min="755" max="755" width="7.85546875" bestFit="1" customWidth="1"/>
    <col min="756" max="756" width="9.85546875" bestFit="1" customWidth="1"/>
    <col min="757" max="757" width="11.28515625" bestFit="1" customWidth="1"/>
    <col min="758" max="759" width="9.85546875" bestFit="1" customWidth="1"/>
    <col min="760" max="760" width="12" bestFit="1" customWidth="1"/>
    <col min="761" max="761" width="1.85546875" customWidth="1"/>
    <col min="763" max="763" width="3" customWidth="1"/>
    <col min="1000" max="1000" width="18" customWidth="1"/>
    <col min="1001" max="1001" width="7.85546875" customWidth="1"/>
    <col min="1002" max="1002" width="11.28515625" bestFit="1" customWidth="1"/>
    <col min="1003" max="1003" width="10.5703125" bestFit="1" customWidth="1"/>
    <col min="1004" max="1004" width="10.28515625" customWidth="1"/>
    <col min="1005" max="1005" width="12.5703125" bestFit="1" customWidth="1"/>
    <col min="1006" max="1006" width="10.5703125" bestFit="1" customWidth="1"/>
    <col min="1007" max="1007" width="9.85546875" bestFit="1" customWidth="1"/>
    <col min="1008" max="1008" width="13" bestFit="1" customWidth="1"/>
    <col min="1009" max="1009" width="2.140625" customWidth="1"/>
    <col min="1010" max="1010" width="10.5703125" bestFit="1" customWidth="1"/>
    <col min="1011" max="1011" width="7.85546875" bestFit="1" customWidth="1"/>
    <col min="1012" max="1012" width="9.85546875" bestFit="1" customWidth="1"/>
    <col min="1013" max="1013" width="11.28515625" bestFit="1" customWidth="1"/>
    <col min="1014" max="1015" width="9.85546875" bestFit="1" customWidth="1"/>
    <col min="1016" max="1016" width="12" bestFit="1" customWidth="1"/>
    <col min="1017" max="1017" width="1.85546875" customWidth="1"/>
    <col min="1019" max="1019" width="3" customWidth="1"/>
    <col min="1256" max="1256" width="18" customWidth="1"/>
    <col min="1257" max="1257" width="7.85546875" customWidth="1"/>
    <col min="1258" max="1258" width="11.28515625" bestFit="1" customWidth="1"/>
    <col min="1259" max="1259" width="10.5703125" bestFit="1" customWidth="1"/>
    <col min="1260" max="1260" width="10.28515625" customWidth="1"/>
    <col min="1261" max="1261" width="12.5703125" bestFit="1" customWidth="1"/>
    <col min="1262" max="1262" width="10.5703125" bestFit="1" customWidth="1"/>
    <col min="1263" max="1263" width="9.85546875" bestFit="1" customWidth="1"/>
    <col min="1264" max="1264" width="13" bestFit="1" customWidth="1"/>
    <col min="1265" max="1265" width="2.140625" customWidth="1"/>
    <col min="1266" max="1266" width="10.5703125" bestFit="1" customWidth="1"/>
    <col min="1267" max="1267" width="7.85546875" bestFit="1" customWidth="1"/>
    <col min="1268" max="1268" width="9.85546875" bestFit="1" customWidth="1"/>
    <col min="1269" max="1269" width="11.28515625" bestFit="1" customWidth="1"/>
    <col min="1270" max="1271" width="9.85546875" bestFit="1" customWidth="1"/>
    <col min="1272" max="1272" width="12" bestFit="1" customWidth="1"/>
    <col min="1273" max="1273" width="1.85546875" customWidth="1"/>
    <col min="1275" max="1275" width="3" customWidth="1"/>
    <col min="1512" max="1512" width="18" customWidth="1"/>
    <col min="1513" max="1513" width="7.85546875" customWidth="1"/>
    <col min="1514" max="1514" width="11.28515625" bestFit="1" customWidth="1"/>
    <col min="1515" max="1515" width="10.5703125" bestFit="1" customWidth="1"/>
    <col min="1516" max="1516" width="10.28515625" customWidth="1"/>
    <col min="1517" max="1517" width="12.5703125" bestFit="1" customWidth="1"/>
    <col min="1518" max="1518" width="10.5703125" bestFit="1" customWidth="1"/>
    <col min="1519" max="1519" width="9.85546875" bestFit="1" customWidth="1"/>
    <col min="1520" max="1520" width="13" bestFit="1" customWidth="1"/>
    <col min="1521" max="1521" width="2.140625" customWidth="1"/>
    <col min="1522" max="1522" width="10.5703125" bestFit="1" customWidth="1"/>
    <col min="1523" max="1523" width="7.85546875" bestFit="1" customWidth="1"/>
    <col min="1524" max="1524" width="9.85546875" bestFit="1" customWidth="1"/>
    <col min="1525" max="1525" width="11.28515625" bestFit="1" customWidth="1"/>
    <col min="1526" max="1527" width="9.85546875" bestFit="1" customWidth="1"/>
    <col min="1528" max="1528" width="12" bestFit="1" customWidth="1"/>
    <col min="1529" max="1529" width="1.85546875" customWidth="1"/>
    <col min="1531" max="1531" width="3" customWidth="1"/>
    <col min="1768" max="1768" width="18" customWidth="1"/>
    <col min="1769" max="1769" width="7.85546875" customWidth="1"/>
    <col min="1770" max="1770" width="11.28515625" bestFit="1" customWidth="1"/>
    <col min="1771" max="1771" width="10.5703125" bestFit="1" customWidth="1"/>
    <col min="1772" max="1772" width="10.28515625" customWidth="1"/>
    <col min="1773" max="1773" width="12.5703125" bestFit="1" customWidth="1"/>
    <col min="1774" max="1774" width="10.5703125" bestFit="1" customWidth="1"/>
    <col min="1775" max="1775" width="9.85546875" bestFit="1" customWidth="1"/>
    <col min="1776" max="1776" width="13" bestFit="1" customWidth="1"/>
    <col min="1777" max="1777" width="2.140625" customWidth="1"/>
    <col min="1778" max="1778" width="10.5703125" bestFit="1" customWidth="1"/>
    <col min="1779" max="1779" width="7.85546875" bestFit="1" customWidth="1"/>
    <col min="1780" max="1780" width="9.85546875" bestFit="1" customWidth="1"/>
    <col min="1781" max="1781" width="11.28515625" bestFit="1" customWidth="1"/>
    <col min="1782" max="1783" width="9.85546875" bestFit="1" customWidth="1"/>
    <col min="1784" max="1784" width="12" bestFit="1" customWidth="1"/>
    <col min="1785" max="1785" width="1.85546875" customWidth="1"/>
    <col min="1787" max="1787" width="3" customWidth="1"/>
    <col min="2024" max="2024" width="18" customWidth="1"/>
    <col min="2025" max="2025" width="7.85546875" customWidth="1"/>
    <col min="2026" max="2026" width="11.28515625" bestFit="1" customWidth="1"/>
    <col min="2027" max="2027" width="10.5703125" bestFit="1" customWidth="1"/>
    <col min="2028" max="2028" width="10.28515625" customWidth="1"/>
    <col min="2029" max="2029" width="12.5703125" bestFit="1" customWidth="1"/>
    <col min="2030" max="2030" width="10.5703125" bestFit="1" customWidth="1"/>
    <col min="2031" max="2031" width="9.85546875" bestFit="1" customWidth="1"/>
    <col min="2032" max="2032" width="13" bestFit="1" customWidth="1"/>
    <col min="2033" max="2033" width="2.140625" customWidth="1"/>
    <col min="2034" max="2034" width="10.5703125" bestFit="1" customWidth="1"/>
    <col min="2035" max="2035" width="7.85546875" bestFit="1" customWidth="1"/>
    <col min="2036" max="2036" width="9.85546875" bestFit="1" customWidth="1"/>
    <col min="2037" max="2037" width="11.28515625" bestFit="1" customWidth="1"/>
    <col min="2038" max="2039" width="9.85546875" bestFit="1" customWidth="1"/>
    <col min="2040" max="2040" width="12" bestFit="1" customWidth="1"/>
    <col min="2041" max="2041" width="1.85546875" customWidth="1"/>
    <col min="2043" max="2043" width="3" customWidth="1"/>
    <col min="2280" max="2280" width="18" customWidth="1"/>
    <col min="2281" max="2281" width="7.85546875" customWidth="1"/>
    <col min="2282" max="2282" width="11.28515625" bestFit="1" customWidth="1"/>
    <col min="2283" max="2283" width="10.5703125" bestFit="1" customWidth="1"/>
    <col min="2284" max="2284" width="10.28515625" customWidth="1"/>
    <col min="2285" max="2285" width="12.5703125" bestFit="1" customWidth="1"/>
    <col min="2286" max="2286" width="10.5703125" bestFit="1" customWidth="1"/>
    <col min="2287" max="2287" width="9.85546875" bestFit="1" customWidth="1"/>
    <col min="2288" max="2288" width="13" bestFit="1" customWidth="1"/>
    <col min="2289" max="2289" width="2.140625" customWidth="1"/>
    <col min="2290" max="2290" width="10.5703125" bestFit="1" customWidth="1"/>
    <col min="2291" max="2291" width="7.85546875" bestFit="1" customWidth="1"/>
    <col min="2292" max="2292" width="9.85546875" bestFit="1" customWidth="1"/>
    <col min="2293" max="2293" width="11.28515625" bestFit="1" customWidth="1"/>
    <col min="2294" max="2295" width="9.85546875" bestFit="1" customWidth="1"/>
    <col min="2296" max="2296" width="12" bestFit="1" customWidth="1"/>
    <col min="2297" max="2297" width="1.85546875" customWidth="1"/>
    <col min="2299" max="2299" width="3" customWidth="1"/>
    <col min="2536" max="2536" width="18" customWidth="1"/>
    <col min="2537" max="2537" width="7.85546875" customWidth="1"/>
    <col min="2538" max="2538" width="11.28515625" bestFit="1" customWidth="1"/>
    <col min="2539" max="2539" width="10.5703125" bestFit="1" customWidth="1"/>
    <col min="2540" max="2540" width="10.28515625" customWidth="1"/>
    <col min="2541" max="2541" width="12.5703125" bestFit="1" customWidth="1"/>
    <col min="2542" max="2542" width="10.5703125" bestFit="1" customWidth="1"/>
    <col min="2543" max="2543" width="9.85546875" bestFit="1" customWidth="1"/>
    <col min="2544" max="2544" width="13" bestFit="1" customWidth="1"/>
    <col min="2545" max="2545" width="2.140625" customWidth="1"/>
    <col min="2546" max="2546" width="10.5703125" bestFit="1" customWidth="1"/>
    <col min="2547" max="2547" width="7.85546875" bestFit="1" customWidth="1"/>
    <col min="2548" max="2548" width="9.85546875" bestFit="1" customWidth="1"/>
    <col min="2549" max="2549" width="11.28515625" bestFit="1" customWidth="1"/>
    <col min="2550" max="2551" width="9.85546875" bestFit="1" customWidth="1"/>
    <col min="2552" max="2552" width="12" bestFit="1" customWidth="1"/>
    <col min="2553" max="2553" width="1.85546875" customWidth="1"/>
    <col min="2555" max="2555" width="3" customWidth="1"/>
    <col min="2792" max="2792" width="18" customWidth="1"/>
    <col min="2793" max="2793" width="7.85546875" customWidth="1"/>
    <col min="2794" max="2794" width="11.28515625" bestFit="1" customWidth="1"/>
    <col min="2795" max="2795" width="10.5703125" bestFit="1" customWidth="1"/>
    <col min="2796" max="2796" width="10.28515625" customWidth="1"/>
    <col min="2797" max="2797" width="12.5703125" bestFit="1" customWidth="1"/>
    <col min="2798" max="2798" width="10.5703125" bestFit="1" customWidth="1"/>
    <col min="2799" max="2799" width="9.85546875" bestFit="1" customWidth="1"/>
    <col min="2800" max="2800" width="13" bestFit="1" customWidth="1"/>
    <col min="2801" max="2801" width="2.140625" customWidth="1"/>
    <col min="2802" max="2802" width="10.5703125" bestFit="1" customWidth="1"/>
    <col min="2803" max="2803" width="7.85546875" bestFit="1" customWidth="1"/>
    <col min="2804" max="2804" width="9.85546875" bestFit="1" customWidth="1"/>
    <col min="2805" max="2805" width="11.28515625" bestFit="1" customWidth="1"/>
    <col min="2806" max="2807" width="9.85546875" bestFit="1" customWidth="1"/>
    <col min="2808" max="2808" width="12" bestFit="1" customWidth="1"/>
    <col min="2809" max="2809" width="1.85546875" customWidth="1"/>
    <col min="2811" max="2811" width="3" customWidth="1"/>
    <col min="3048" max="3048" width="18" customWidth="1"/>
    <col min="3049" max="3049" width="7.85546875" customWidth="1"/>
    <col min="3050" max="3050" width="11.28515625" bestFit="1" customWidth="1"/>
    <col min="3051" max="3051" width="10.5703125" bestFit="1" customWidth="1"/>
    <col min="3052" max="3052" width="10.28515625" customWidth="1"/>
    <col min="3053" max="3053" width="12.5703125" bestFit="1" customWidth="1"/>
    <col min="3054" max="3054" width="10.5703125" bestFit="1" customWidth="1"/>
    <col min="3055" max="3055" width="9.85546875" bestFit="1" customWidth="1"/>
    <col min="3056" max="3056" width="13" bestFit="1" customWidth="1"/>
    <col min="3057" max="3057" width="2.140625" customWidth="1"/>
    <col min="3058" max="3058" width="10.5703125" bestFit="1" customWidth="1"/>
    <col min="3059" max="3059" width="7.85546875" bestFit="1" customWidth="1"/>
    <col min="3060" max="3060" width="9.85546875" bestFit="1" customWidth="1"/>
    <col min="3061" max="3061" width="11.28515625" bestFit="1" customWidth="1"/>
    <col min="3062" max="3063" width="9.85546875" bestFit="1" customWidth="1"/>
    <col min="3064" max="3064" width="12" bestFit="1" customWidth="1"/>
    <col min="3065" max="3065" width="1.85546875" customWidth="1"/>
    <col min="3067" max="3067" width="3" customWidth="1"/>
    <col min="3304" max="3304" width="18" customWidth="1"/>
    <col min="3305" max="3305" width="7.85546875" customWidth="1"/>
    <col min="3306" max="3306" width="11.28515625" bestFit="1" customWidth="1"/>
    <col min="3307" max="3307" width="10.5703125" bestFit="1" customWidth="1"/>
    <col min="3308" max="3308" width="10.28515625" customWidth="1"/>
    <col min="3309" max="3309" width="12.5703125" bestFit="1" customWidth="1"/>
    <col min="3310" max="3310" width="10.5703125" bestFit="1" customWidth="1"/>
    <col min="3311" max="3311" width="9.85546875" bestFit="1" customWidth="1"/>
    <col min="3312" max="3312" width="13" bestFit="1" customWidth="1"/>
    <col min="3313" max="3313" width="2.140625" customWidth="1"/>
    <col min="3314" max="3314" width="10.5703125" bestFit="1" customWidth="1"/>
    <col min="3315" max="3315" width="7.85546875" bestFit="1" customWidth="1"/>
    <col min="3316" max="3316" width="9.85546875" bestFit="1" customWidth="1"/>
    <col min="3317" max="3317" width="11.28515625" bestFit="1" customWidth="1"/>
    <col min="3318" max="3319" width="9.85546875" bestFit="1" customWidth="1"/>
    <col min="3320" max="3320" width="12" bestFit="1" customWidth="1"/>
    <col min="3321" max="3321" width="1.85546875" customWidth="1"/>
    <col min="3323" max="3323" width="3" customWidth="1"/>
    <col min="3560" max="3560" width="18" customWidth="1"/>
    <col min="3561" max="3561" width="7.85546875" customWidth="1"/>
    <col min="3562" max="3562" width="11.28515625" bestFit="1" customWidth="1"/>
    <col min="3563" max="3563" width="10.5703125" bestFit="1" customWidth="1"/>
    <col min="3564" max="3564" width="10.28515625" customWidth="1"/>
    <col min="3565" max="3565" width="12.5703125" bestFit="1" customWidth="1"/>
    <col min="3566" max="3566" width="10.5703125" bestFit="1" customWidth="1"/>
    <col min="3567" max="3567" width="9.85546875" bestFit="1" customWidth="1"/>
    <col min="3568" max="3568" width="13" bestFit="1" customWidth="1"/>
    <col min="3569" max="3569" width="2.140625" customWidth="1"/>
    <col min="3570" max="3570" width="10.5703125" bestFit="1" customWidth="1"/>
    <col min="3571" max="3571" width="7.85546875" bestFit="1" customWidth="1"/>
    <col min="3572" max="3572" width="9.85546875" bestFit="1" customWidth="1"/>
    <col min="3573" max="3573" width="11.28515625" bestFit="1" customWidth="1"/>
    <col min="3574" max="3575" width="9.85546875" bestFit="1" customWidth="1"/>
    <col min="3576" max="3576" width="12" bestFit="1" customWidth="1"/>
    <col min="3577" max="3577" width="1.85546875" customWidth="1"/>
    <col min="3579" max="3579" width="3" customWidth="1"/>
    <col min="3816" max="3816" width="18" customWidth="1"/>
    <col min="3817" max="3817" width="7.85546875" customWidth="1"/>
    <col min="3818" max="3818" width="11.28515625" bestFit="1" customWidth="1"/>
    <col min="3819" max="3819" width="10.5703125" bestFit="1" customWidth="1"/>
    <col min="3820" max="3820" width="10.28515625" customWidth="1"/>
    <col min="3821" max="3821" width="12.5703125" bestFit="1" customWidth="1"/>
    <col min="3822" max="3822" width="10.5703125" bestFit="1" customWidth="1"/>
    <col min="3823" max="3823" width="9.85546875" bestFit="1" customWidth="1"/>
    <col min="3824" max="3824" width="13" bestFit="1" customWidth="1"/>
    <col min="3825" max="3825" width="2.140625" customWidth="1"/>
    <col min="3826" max="3826" width="10.5703125" bestFit="1" customWidth="1"/>
    <col min="3827" max="3827" width="7.85546875" bestFit="1" customWidth="1"/>
    <col min="3828" max="3828" width="9.85546875" bestFit="1" customWidth="1"/>
    <col min="3829" max="3829" width="11.28515625" bestFit="1" customWidth="1"/>
    <col min="3830" max="3831" width="9.85546875" bestFit="1" customWidth="1"/>
    <col min="3832" max="3832" width="12" bestFit="1" customWidth="1"/>
    <col min="3833" max="3833" width="1.85546875" customWidth="1"/>
    <col min="3835" max="3835" width="3" customWidth="1"/>
    <col min="4072" max="4072" width="18" customWidth="1"/>
    <col min="4073" max="4073" width="7.85546875" customWidth="1"/>
    <col min="4074" max="4074" width="11.28515625" bestFit="1" customWidth="1"/>
    <col min="4075" max="4075" width="10.5703125" bestFit="1" customWidth="1"/>
    <col min="4076" max="4076" width="10.28515625" customWidth="1"/>
    <col min="4077" max="4077" width="12.5703125" bestFit="1" customWidth="1"/>
    <col min="4078" max="4078" width="10.5703125" bestFit="1" customWidth="1"/>
    <col min="4079" max="4079" width="9.85546875" bestFit="1" customWidth="1"/>
    <col min="4080" max="4080" width="13" bestFit="1" customWidth="1"/>
    <col min="4081" max="4081" width="2.140625" customWidth="1"/>
    <col min="4082" max="4082" width="10.5703125" bestFit="1" customWidth="1"/>
    <col min="4083" max="4083" width="7.85546875" bestFit="1" customWidth="1"/>
    <col min="4084" max="4084" width="9.85546875" bestFit="1" customWidth="1"/>
    <col min="4085" max="4085" width="11.28515625" bestFit="1" customWidth="1"/>
    <col min="4086" max="4087" width="9.85546875" bestFit="1" customWidth="1"/>
    <col min="4088" max="4088" width="12" bestFit="1" customWidth="1"/>
    <col min="4089" max="4089" width="1.85546875" customWidth="1"/>
    <col min="4091" max="4091" width="3" customWidth="1"/>
    <col min="4328" max="4328" width="18" customWidth="1"/>
    <col min="4329" max="4329" width="7.85546875" customWidth="1"/>
    <col min="4330" max="4330" width="11.28515625" bestFit="1" customWidth="1"/>
    <col min="4331" max="4331" width="10.5703125" bestFit="1" customWidth="1"/>
    <col min="4332" max="4332" width="10.28515625" customWidth="1"/>
    <col min="4333" max="4333" width="12.5703125" bestFit="1" customWidth="1"/>
    <col min="4334" max="4334" width="10.5703125" bestFit="1" customWidth="1"/>
    <col min="4335" max="4335" width="9.85546875" bestFit="1" customWidth="1"/>
    <col min="4336" max="4336" width="13" bestFit="1" customWidth="1"/>
    <col min="4337" max="4337" width="2.140625" customWidth="1"/>
    <col min="4338" max="4338" width="10.5703125" bestFit="1" customWidth="1"/>
    <col min="4339" max="4339" width="7.85546875" bestFit="1" customWidth="1"/>
    <col min="4340" max="4340" width="9.85546875" bestFit="1" customWidth="1"/>
    <col min="4341" max="4341" width="11.28515625" bestFit="1" customWidth="1"/>
    <col min="4342" max="4343" width="9.85546875" bestFit="1" customWidth="1"/>
    <col min="4344" max="4344" width="12" bestFit="1" customWidth="1"/>
    <col min="4345" max="4345" width="1.85546875" customWidth="1"/>
    <col min="4347" max="4347" width="3" customWidth="1"/>
    <col min="4584" max="4584" width="18" customWidth="1"/>
    <col min="4585" max="4585" width="7.85546875" customWidth="1"/>
    <col min="4586" max="4586" width="11.28515625" bestFit="1" customWidth="1"/>
    <col min="4587" max="4587" width="10.5703125" bestFit="1" customWidth="1"/>
    <col min="4588" max="4588" width="10.28515625" customWidth="1"/>
    <col min="4589" max="4589" width="12.5703125" bestFit="1" customWidth="1"/>
    <col min="4590" max="4590" width="10.5703125" bestFit="1" customWidth="1"/>
    <col min="4591" max="4591" width="9.85546875" bestFit="1" customWidth="1"/>
    <col min="4592" max="4592" width="13" bestFit="1" customWidth="1"/>
    <col min="4593" max="4593" width="2.140625" customWidth="1"/>
    <col min="4594" max="4594" width="10.5703125" bestFit="1" customWidth="1"/>
    <col min="4595" max="4595" width="7.85546875" bestFit="1" customWidth="1"/>
    <col min="4596" max="4596" width="9.85546875" bestFit="1" customWidth="1"/>
    <col min="4597" max="4597" width="11.28515625" bestFit="1" customWidth="1"/>
    <col min="4598" max="4599" width="9.85546875" bestFit="1" customWidth="1"/>
    <col min="4600" max="4600" width="12" bestFit="1" customWidth="1"/>
    <col min="4601" max="4601" width="1.85546875" customWidth="1"/>
    <col min="4603" max="4603" width="3" customWidth="1"/>
    <col min="4840" max="4840" width="18" customWidth="1"/>
    <col min="4841" max="4841" width="7.85546875" customWidth="1"/>
    <col min="4842" max="4842" width="11.28515625" bestFit="1" customWidth="1"/>
    <col min="4843" max="4843" width="10.5703125" bestFit="1" customWidth="1"/>
    <col min="4844" max="4844" width="10.28515625" customWidth="1"/>
    <col min="4845" max="4845" width="12.5703125" bestFit="1" customWidth="1"/>
    <col min="4846" max="4846" width="10.5703125" bestFit="1" customWidth="1"/>
    <col min="4847" max="4847" width="9.85546875" bestFit="1" customWidth="1"/>
    <col min="4848" max="4848" width="13" bestFit="1" customWidth="1"/>
    <col min="4849" max="4849" width="2.140625" customWidth="1"/>
    <col min="4850" max="4850" width="10.5703125" bestFit="1" customWidth="1"/>
    <col min="4851" max="4851" width="7.85546875" bestFit="1" customWidth="1"/>
    <col min="4852" max="4852" width="9.85546875" bestFit="1" customWidth="1"/>
    <col min="4853" max="4853" width="11.28515625" bestFit="1" customWidth="1"/>
    <col min="4854" max="4855" width="9.85546875" bestFit="1" customWidth="1"/>
    <col min="4856" max="4856" width="12" bestFit="1" customWidth="1"/>
    <col min="4857" max="4857" width="1.85546875" customWidth="1"/>
    <col min="4859" max="4859" width="3" customWidth="1"/>
    <col min="5096" max="5096" width="18" customWidth="1"/>
    <col min="5097" max="5097" width="7.85546875" customWidth="1"/>
    <col min="5098" max="5098" width="11.28515625" bestFit="1" customWidth="1"/>
    <col min="5099" max="5099" width="10.5703125" bestFit="1" customWidth="1"/>
    <col min="5100" max="5100" width="10.28515625" customWidth="1"/>
    <col min="5101" max="5101" width="12.5703125" bestFit="1" customWidth="1"/>
    <col min="5102" max="5102" width="10.5703125" bestFit="1" customWidth="1"/>
    <col min="5103" max="5103" width="9.85546875" bestFit="1" customWidth="1"/>
    <col min="5104" max="5104" width="13" bestFit="1" customWidth="1"/>
    <col min="5105" max="5105" width="2.140625" customWidth="1"/>
    <col min="5106" max="5106" width="10.5703125" bestFit="1" customWidth="1"/>
    <col min="5107" max="5107" width="7.85546875" bestFit="1" customWidth="1"/>
    <col min="5108" max="5108" width="9.85546875" bestFit="1" customWidth="1"/>
    <col min="5109" max="5109" width="11.28515625" bestFit="1" customWidth="1"/>
    <col min="5110" max="5111" width="9.85546875" bestFit="1" customWidth="1"/>
    <col min="5112" max="5112" width="12" bestFit="1" customWidth="1"/>
    <col min="5113" max="5113" width="1.85546875" customWidth="1"/>
    <col min="5115" max="5115" width="3" customWidth="1"/>
    <col min="5352" max="5352" width="18" customWidth="1"/>
    <col min="5353" max="5353" width="7.85546875" customWidth="1"/>
    <col min="5354" max="5354" width="11.28515625" bestFit="1" customWidth="1"/>
    <col min="5355" max="5355" width="10.5703125" bestFit="1" customWidth="1"/>
    <col min="5356" max="5356" width="10.28515625" customWidth="1"/>
    <col min="5357" max="5357" width="12.5703125" bestFit="1" customWidth="1"/>
    <col min="5358" max="5358" width="10.5703125" bestFit="1" customWidth="1"/>
    <col min="5359" max="5359" width="9.85546875" bestFit="1" customWidth="1"/>
    <col min="5360" max="5360" width="13" bestFit="1" customWidth="1"/>
    <col min="5361" max="5361" width="2.140625" customWidth="1"/>
    <col min="5362" max="5362" width="10.5703125" bestFit="1" customWidth="1"/>
    <col min="5363" max="5363" width="7.85546875" bestFit="1" customWidth="1"/>
    <col min="5364" max="5364" width="9.85546875" bestFit="1" customWidth="1"/>
    <col min="5365" max="5365" width="11.28515625" bestFit="1" customWidth="1"/>
    <col min="5366" max="5367" width="9.85546875" bestFit="1" customWidth="1"/>
    <col min="5368" max="5368" width="12" bestFit="1" customWidth="1"/>
    <col min="5369" max="5369" width="1.85546875" customWidth="1"/>
    <col min="5371" max="5371" width="3" customWidth="1"/>
    <col min="5608" max="5608" width="18" customWidth="1"/>
    <col min="5609" max="5609" width="7.85546875" customWidth="1"/>
    <col min="5610" max="5610" width="11.28515625" bestFit="1" customWidth="1"/>
    <col min="5611" max="5611" width="10.5703125" bestFit="1" customWidth="1"/>
    <col min="5612" max="5612" width="10.28515625" customWidth="1"/>
    <col min="5613" max="5613" width="12.5703125" bestFit="1" customWidth="1"/>
    <col min="5614" max="5614" width="10.5703125" bestFit="1" customWidth="1"/>
    <col min="5615" max="5615" width="9.85546875" bestFit="1" customWidth="1"/>
    <col min="5616" max="5616" width="13" bestFit="1" customWidth="1"/>
    <col min="5617" max="5617" width="2.140625" customWidth="1"/>
    <col min="5618" max="5618" width="10.5703125" bestFit="1" customWidth="1"/>
    <col min="5619" max="5619" width="7.85546875" bestFit="1" customWidth="1"/>
    <col min="5620" max="5620" width="9.85546875" bestFit="1" customWidth="1"/>
    <col min="5621" max="5621" width="11.28515625" bestFit="1" customWidth="1"/>
    <col min="5622" max="5623" width="9.85546875" bestFit="1" customWidth="1"/>
    <col min="5624" max="5624" width="12" bestFit="1" customWidth="1"/>
    <col min="5625" max="5625" width="1.85546875" customWidth="1"/>
    <col min="5627" max="5627" width="3" customWidth="1"/>
    <col min="5864" max="5864" width="18" customWidth="1"/>
    <col min="5865" max="5865" width="7.85546875" customWidth="1"/>
    <col min="5866" max="5866" width="11.28515625" bestFit="1" customWidth="1"/>
    <col min="5867" max="5867" width="10.5703125" bestFit="1" customWidth="1"/>
    <col min="5868" max="5868" width="10.28515625" customWidth="1"/>
    <col min="5869" max="5869" width="12.5703125" bestFit="1" customWidth="1"/>
    <col min="5870" max="5870" width="10.5703125" bestFit="1" customWidth="1"/>
    <col min="5871" max="5871" width="9.85546875" bestFit="1" customWidth="1"/>
    <col min="5872" max="5872" width="13" bestFit="1" customWidth="1"/>
    <col min="5873" max="5873" width="2.140625" customWidth="1"/>
    <col min="5874" max="5874" width="10.5703125" bestFit="1" customWidth="1"/>
    <col min="5875" max="5875" width="7.85546875" bestFit="1" customWidth="1"/>
    <col min="5876" max="5876" width="9.85546875" bestFit="1" customWidth="1"/>
    <col min="5877" max="5877" width="11.28515625" bestFit="1" customWidth="1"/>
    <col min="5878" max="5879" width="9.85546875" bestFit="1" customWidth="1"/>
    <col min="5880" max="5880" width="12" bestFit="1" customWidth="1"/>
    <col min="5881" max="5881" width="1.85546875" customWidth="1"/>
    <col min="5883" max="5883" width="3" customWidth="1"/>
    <col min="6120" max="6120" width="18" customWidth="1"/>
    <col min="6121" max="6121" width="7.85546875" customWidth="1"/>
    <col min="6122" max="6122" width="11.28515625" bestFit="1" customWidth="1"/>
    <col min="6123" max="6123" width="10.5703125" bestFit="1" customWidth="1"/>
    <col min="6124" max="6124" width="10.28515625" customWidth="1"/>
    <col min="6125" max="6125" width="12.5703125" bestFit="1" customWidth="1"/>
    <col min="6126" max="6126" width="10.5703125" bestFit="1" customWidth="1"/>
    <col min="6127" max="6127" width="9.85546875" bestFit="1" customWidth="1"/>
    <col min="6128" max="6128" width="13" bestFit="1" customWidth="1"/>
    <col min="6129" max="6129" width="2.140625" customWidth="1"/>
    <col min="6130" max="6130" width="10.5703125" bestFit="1" customWidth="1"/>
    <col min="6131" max="6131" width="7.85546875" bestFit="1" customWidth="1"/>
    <col min="6132" max="6132" width="9.85546875" bestFit="1" customWidth="1"/>
    <col min="6133" max="6133" width="11.28515625" bestFit="1" customWidth="1"/>
    <col min="6134" max="6135" width="9.85546875" bestFit="1" customWidth="1"/>
    <col min="6136" max="6136" width="12" bestFit="1" customWidth="1"/>
    <col min="6137" max="6137" width="1.85546875" customWidth="1"/>
    <col min="6139" max="6139" width="3" customWidth="1"/>
    <col min="6376" max="6376" width="18" customWidth="1"/>
    <col min="6377" max="6377" width="7.85546875" customWidth="1"/>
    <col min="6378" max="6378" width="11.28515625" bestFit="1" customWidth="1"/>
    <col min="6379" max="6379" width="10.5703125" bestFit="1" customWidth="1"/>
    <col min="6380" max="6380" width="10.28515625" customWidth="1"/>
    <col min="6381" max="6381" width="12.5703125" bestFit="1" customWidth="1"/>
    <col min="6382" max="6382" width="10.5703125" bestFit="1" customWidth="1"/>
    <col min="6383" max="6383" width="9.85546875" bestFit="1" customWidth="1"/>
    <col min="6384" max="6384" width="13" bestFit="1" customWidth="1"/>
    <col min="6385" max="6385" width="2.140625" customWidth="1"/>
    <col min="6386" max="6386" width="10.5703125" bestFit="1" customWidth="1"/>
    <col min="6387" max="6387" width="7.85546875" bestFit="1" customWidth="1"/>
    <col min="6388" max="6388" width="9.85546875" bestFit="1" customWidth="1"/>
    <col min="6389" max="6389" width="11.28515625" bestFit="1" customWidth="1"/>
    <col min="6390" max="6391" width="9.85546875" bestFit="1" customWidth="1"/>
    <col min="6392" max="6392" width="12" bestFit="1" customWidth="1"/>
    <col min="6393" max="6393" width="1.85546875" customWidth="1"/>
    <col min="6395" max="6395" width="3" customWidth="1"/>
    <col min="6632" max="6632" width="18" customWidth="1"/>
    <col min="6633" max="6633" width="7.85546875" customWidth="1"/>
    <col min="6634" max="6634" width="11.28515625" bestFit="1" customWidth="1"/>
    <col min="6635" max="6635" width="10.5703125" bestFit="1" customWidth="1"/>
    <col min="6636" max="6636" width="10.28515625" customWidth="1"/>
    <col min="6637" max="6637" width="12.5703125" bestFit="1" customWidth="1"/>
    <col min="6638" max="6638" width="10.5703125" bestFit="1" customWidth="1"/>
    <col min="6639" max="6639" width="9.85546875" bestFit="1" customWidth="1"/>
    <col min="6640" max="6640" width="13" bestFit="1" customWidth="1"/>
    <col min="6641" max="6641" width="2.140625" customWidth="1"/>
    <col min="6642" max="6642" width="10.5703125" bestFit="1" customWidth="1"/>
    <col min="6643" max="6643" width="7.85546875" bestFit="1" customWidth="1"/>
    <col min="6644" max="6644" width="9.85546875" bestFit="1" customWidth="1"/>
    <col min="6645" max="6645" width="11.28515625" bestFit="1" customWidth="1"/>
    <col min="6646" max="6647" width="9.85546875" bestFit="1" customWidth="1"/>
    <col min="6648" max="6648" width="12" bestFit="1" customWidth="1"/>
    <col min="6649" max="6649" width="1.85546875" customWidth="1"/>
    <col min="6651" max="6651" width="3" customWidth="1"/>
    <col min="6888" max="6888" width="18" customWidth="1"/>
    <col min="6889" max="6889" width="7.85546875" customWidth="1"/>
    <col min="6890" max="6890" width="11.28515625" bestFit="1" customWidth="1"/>
    <col min="6891" max="6891" width="10.5703125" bestFit="1" customWidth="1"/>
    <col min="6892" max="6892" width="10.28515625" customWidth="1"/>
    <col min="6893" max="6893" width="12.5703125" bestFit="1" customWidth="1"/>
    <col min="6894" max="6894" width="10.5703125" bestFit="1" customWidth="1"/>
    <col min="6895" max="6895" width="9.85546875" bestFit="1" customWidth="1"/>
    <col min="6896" max="6896" width="13" bestFit="1" customWidth="1"/>
    <col min="6897" max="6897" width="2.140625" customWidth="1"/>
    <col min="6898" max="6898" width="10.5703125" bestFit="1" customWidth="1"/>
    <col min="6899" max="6899" width="7.85546875" bestFit="1" customWidth="1"/>
    <col min="6900" max="6900" width="9.85546875" bestFit="1" customWidth="1"/>
    <col min="6901" max="6901" width="11.28515625" bestFit="1" customWidth="1"/>
    <col min="6902" max="6903" width="9.85546875" bestFit="1" customWidth="1"/>
    <col min="6904" max="6904" width="12" bestFit="1" customWidth="1"/>
    <col min="6905" max="6905" width="1.85546875" customWidth="1"/>
    <col min="6907" max="6907" width="3" customWidth="1"/>
    <col min="7144" max="7144" width="18" customWidth="1"/>
    <col min="7145" max="7145" width="7.85546875" customWidth="1"/>
    <col min="7146" max="7146" width="11.28515625" bestFit="1" customWidth="1"/>
    <col min="7147" max="7147" width="10.5703125" bestFit="1" customWidth="1"/>
    <col min="7148" max="7148" width="10.28515625" customWidth="1"/>
    <col min="7149" max="7149" width="12.5703125" bestFit="1" customWidth="1"/>
    <col min="7150" max="7150" width="10.5703125" bestFit="1" customWidth="1"/>
    <col min="7151" max="7151" width="9.85546875" bestFit="1" customWidth="1"/>
    <col min="7152" max="7152" width="13" bestFit="1" customWidth="1"/>
    <col min="7153" max="7153" width="2.140625" customWidth="1"/>
    <col min="7154" max="7154" width="10.5703125" bestFit="1" customWidth="1"/>
    <col min="7155" max="7155" width="7.85546875" bestFit="1" customWidth="1"/>
    <col min="7156" max="7156" width="9.85546875" bestFit="1" customWidth="1"/>
    <col min="7157" max="7157" width="11.28515625" bestFit="1" customWidth="1"/>
    <col min="7158" max="7159" width="9.85546875" bestFit="1" customWidth="1"/>
    <col min="7160" max="7160" width="12" bestFit="1" customWidth="1"/>
    <col min="7161" max="7161" width="1.85546875" customWidth="1"/>
    <col min="7163" max="7163" width="3" customWidth="1"/>
    <col min="7400" max="7400" width="18" customWidth="1"/>
    <col min="7401" max="7401" width="7.85546875" customWidth="1"/>
    <col min="7402" max="7402" width="11.28515625" bestFit="1" customWidth="1"/>
    <col min="7403" max="7403" width="10.5703125" bestFit="1" customWidth="1"/>
    <col min="7404" max="7404" width="10.28515625" customWidth="1"/>
    <col min="7405" max="7405" width="12.5703125" bestFit="1" customWidth="1"/>
    <col min="7406" max="7406" width="10.5703125" bestFit="1" customWidth="1"/>
    <col min="7407" max="7407" width="9.85546875" bestFit="1" customWidth="1"/>
    <col min="7408" max="7408" width="13" bestFit="1" customWidth="1"/>
    <col min="7409" max="7409" width="2.140625" customWidth="1"/>
    <col min="7410" max="7410" width="10.5703125" bestFit="1" customWidth="1"/>
    <col min="7411" max="7411" width="7.85546875" bestFit="1" customWidth="1"/>
    <col min="7412" max="7412" width="9.85546875" bestFit="1" customWidth="1"/>
    <col min="7413" max="7413" width="11.28515625" bestFit="1" customWidth="1"/>
    <col min="7414" max="7415" width="9.85546875" bestFit="1" customWidth="1"/>
    <col min="7416" max="7416" width="12" bestFit="1" customWidth="1"/>
    <col min="7417" max="7417" width="1.85546875" customWidth="1"/>
    <col min="7419" max="7419" width="3" customWidth="1"/>
    <col min="7656" max="7656" width="18" customWidth="1"/>
    <col min="7657" max="7657" width="7.85546875" customWidth="1"/>
    <col min="7658" max="7658" width="11.28515625" bestFit="1" customWidth="1"/>
    <col min="7659" max="7659" width="10.5703125" bestFit="1" customWidth="1"/>
    <col min="7660" max="7660" width="10.28515625" customWidth="1"/>
    <col min="7661" max="7661" width="12.5703125" bestFit="1" customWidth="1"/>
    <col min="7662" max="7662" width="10.5703125" bestFit="1" customWidth="1"/>
    <col min="7663" max="7663" width="9.85546875" bestFit="1" customWidth="1"/>
    <col min="7664" max="7664" width="13" bestFit="1" customWidth="1"/>
    <col min="7665" max="7665" width="2.140625" customWidth="1"/>
    <col min="7666" max="7666" width="10.5703125" bestFit="1" customWidth="1"/>
    <col min="7667" max="7667" width="7.85546875" bestFit="1" customWidth="1"/>
    <col min="7668" max="7668" width="9.85546875" bestFit="1" customWidth="1"/>
    <col min="7669" max="7669" width="11.28515625" bestFit="1" customWidth="1"/>
    <col min="7670" max="7671" width="9.85546875" bestFit="1" customWidth="1"/>
    <col min="7672" max="7672" width="12" bestFit="1" customWidth="1"/>
    <col min="7673" max="7673" width="1.85546875" customWidth="1"/>
    <col min="7675" max="7675" width="3" customWidth="1"/>
    <col min="7912" max="7912" width="18" customWidth="1"/>
    <col min="7913" max="7913" width="7.85546875" customWidth="1"/>
    <col min="7914" max="7914" width="11.28515625" bestFit="1" customWidth="1"/>
    <col min="7915" max="7915" width="10.5703125" bestFit="1" customWidth="1"/>
    <col min="7916" max="7916" width="10.28515625" customWidth="1"/>
    <col min="7917" max="7917" width="12.5703125" bestFit="1" customWidth="1"/>
    <col min="7918" max="7918" width="10.5703125" bestFit="1" customWidth="1"/>
    <col min="7919" max="7919" width="9.85546875" bestFit="1" customWidth="1"/>
    <col min="7920" max="7920" width="13" bestFit="1" customWidth="1"/>
    <col min="7921" max="7921" width="2.140625" customWidth="1"/>
    <col min="7922" max="7922" width="10.5703125" bestFit="1" customWidth="1"/>
    <col min="7923" max="7923" width="7.85546875" bestFit="1" customWidth="1"/>
    <col min="7924" max="7924" width="9.85546875" bestFit="1" customWidth="1"/>
    <col min="7925" max="7925" width="11.28515625" bestFit="1" customWidth="1"/>
    <col min="7926" max="7927" width="9.85546875" bestFit="1" customWidth="1"/>
    <col min="7928" max="7928" width="12" bestFit="1" customWidth="1"/>
    <col min="7929" max="7929" width="1.85546875" customWidth="1"/>
    <col min="7931" max="7931" width="3" customWidth="1"/>
    <col min="8168" max="8168" width="18" customWidth="1"/>
    <col min="8169" max="8169" width="7.85546875" customWidth="1"/>
    <col min="8170" max="8170" width="11.28515625" bestFit="1" customWidth="1"/>
    <col min="8171" max="8171" width="10.5703125" bestFit="1" customWidth="1"/>
    <col min="8172" max="8172" width="10.28515625" customWidth="1"/>
    <col min="8173" max="8173" width="12.5703125" bestFit="1" customWidth="1"/>
    <col min="8174" max="8174" width="10.5703125" bestFit="1" customWidth="1"/>
    <col min="8175" max="8175" width="9.85546875" bestFit="1" customWidth="1"/>
    <col min="8176" max="8176" width="13" bestFit="1" customWidth="1"/>
    <col min="8177" max="8177" width="2.140625" customWidth="1"/>
    <col min="8178" max="8178" width="10.5703125" bestFit="1" customWidth="1"/>
    <col min="8179" max="8179" width="7.85546875" bestFit="1" customWidth="1"/>
    <col min="8180" max="8180" width="9.85546875" bestFit="1" customWidth="1"/>
    <col min="8181" max="8181" width="11.28515625" bestFit="1" customWidth="1"/>
    <col min="8182" max="8183" width="9.85546875" bestFit="1" customWidth="1"/>
    <col min="8184" max="8184" width="12" bestFit="1" customWidth="1"/>
    <col min="8185" max="8185" width="1.85546875" customWidth="1"/>
    <col min="8187" max="8187" width="3" customWidth="1"/>
    <col min="8424" max="8424" width="18" customWidth="1"/>
    <col min="8425" max="8425" width="7.85546875" customWidth="1"/>
    <col min="8426" max="8426" width="11.28515625" bestFit="1" customWidth="1"/>
    <col min="8427" max="8427" width="10.5703125" bestFit="1" customWidth="1"/>
    <col min="8428" max="8428" width="10.28515625" customWidth="1"/>
    <col min="8429" max="8429" width="12.5703125" bestFit="1" customWidth="1"/>
    <col min="8430" max="8430" width="10.5703125" bestFit="1" customWidth="1"/>
    <col min="8431" max="8431" width="9.85546875" bestFit="1" customWidth="1"/>
    <col min="8432" max="8432" width="13" bestFit="1" customWidth="1"/>
    <col min="8433" max="8433" width="2.140625" customWidth="1"/>
    <col min="8434" max="8434" width="10.5703125" bestFit="1" customWidth="1"/>
    <col min="8435" max="8435" width="7.85546875" bestFit="1" customWidth="1"/>
    <col min="8436" max="8436" width="9.85546875" bestFit="1" customWidth="1"/>
    <col min="8437" max="8437" width="11.28515625" bestFit="1" customWidth="1"/>
    <col min="8438" max="8439" width="9.85546875" bestFit="1" customWidth="1"/>
    <col min="8440" max="8440" width="12" bestFit="1" customWidth="1"/>
    <col min="8441" max="8441" width="1.85546875" customWidth="1"/>
    <col min="8443" max="8443" width="3" customWidth="1"/>
    <col min="8680" max="8680" width="18" customWidth="1"/>
    <col min="8681" max="8681" width="7.85546875" customWidth="1"/>
    <col min="8682" max="8682" width="11.28515625" bestFit="1" customWidth="1"/>
    <col min="8683" max="8683" width="10.5703125" bestFit="1" customWidth="1"/>
    <col min="8684" max="8684" width="10.28515625" customWidth="1"/>
    <col min="8685" max="8685" width="12.5703125" bestFit="1" customWidth="1"/>
    <col min="8686" max="8686" width="10.5703125" bestFit="1" customWidth="1"/>
    <col min="8687" max="8687" width="9.85546875" bestFit="1" customWidth="1"/>
    <col min="8688" max="8688" width="13" bestFit="1" customWidth="1"/>
    <col min="8689" max="8689" width="2.140625" customWidth="1"/>
    <col min="8690" max="8690" width="10.5703125" bestFit="1" customWidth="1"/>
    <col min="8691" max="8691" width="7.85546875" bestFit="1" customWidth="1"/>
    <col min="8692" max="8692" width="9.85546875" bestFit="1" customWidth="1"/>
    <col min="8693" max="8693" width="11.28515625" bestFit="1" customWidth="1"/>
    <col min="8694" max="8695" width="9.85546875" bestFit="1" customWidth="1"/>
    <col min="8696" max="8696" width="12" bestFit="1" customWidth="1"/>
    <col min="8697" max="8697" width="1.85546875" customWidth="1"/>
    <col min="8699" max="8699" width="3" customWidth="1"/>
    <col min="8936" max="8936" width="18" customWidth="1"/>
    <col min="8937" max="8937" width="7.85546875" customWidth="1"/>
    <col min="8938" max="8938" width="11.28515625" bestFit="1" customWidth="1"/>
    <col min="8939" max="8939" width="10.5703125" bestFit="1" customWidth="1"/>
    <col min="8940" max="8940" width="10.28515625" customWidth="1"/>
    <col min="8941" max="8941" width="12.5703125" bestFit="1" customWidth="1"/>
    <col min="8942" max="8942" width="10.5703125" bestFit="1" customWidth="1"/>
    <col min="8943" max="8943" width="9.85546875" bestFit="1" customWidth="1"/>
    <col min="8944" max="8944" width="13" bestFit="1" customWidth="1"/>
    <col min="8945" max="8945" width="2.140625" customWidth="1"/>
    <col min="8946" max="8946" width="10.5703125" bestFit="1" customWidth="1"/>
    <col min="8947" max="8947" width="7.85546875" bestFit="1" customWidth="1"/>
    <col min="8948" max="8948" width="9.85546875" bestFit="1" customWidth="1"/>
    <col min="8949" max="8949" width="11.28515625" bestFit="1" customWidth="1"/>
    <col min="8950" max="8951" width="9.85546875" bestFit="1" customWidth="1"/>
    <col min="8952" max="8952" width="12" bestFit="1" customWidth="1"/>
    <col min="8953" max="8953" width="1.85546875" customWidth="1"/>
    <col min="8955" max="8955" width="3" customWidth="1"/>
    <col min="9192" max="9192" width="18" customWidth="1"/>
    <col min="9193" max="9193" width="7.85546875" customWidth="1"/>
    <col min="9194" max="9194" width="11.28515625" bestFit="1" customWidth="1"/>
    <col min="9195" max="9195" width="10.5703125" bestFit="1" customWidth="1"/>
    <col min="9196" max="9196" width="10.28515625" customWidth="1"/>
    <col min="9197" max="9197" width="12.5703125" bestFit="1" customWidth="1"/>
    <col min="9198" max="9198" width="10.5703125" bestFit="1" customWidth="1"/>
    <col min="9199" max="9199" width="9.85546875" bestFit="1" customWidth="1"/>
    <col min="9200" max="9200" width="13" bestFit="1" customWidth="1"/>
    <col min="9201" max="9201" width="2.140625" customWidth="1"/>
    <col min="9202" max="9202" width="10.5703125" bestFit="1" customWidth="1"/>
    <col min="9203" max="9203" width="7.85546875" bestFit="1" customWidth="1"/>
    <col min="9204" max="9204" width="9.85546875" bestFit="1" customWidth="1"/>
    <col min="9205" max="9205" width="11.28515625" bestFit="1" customWidth="1"/>
    <col min="9206" max="9207" width="9.85546875" bestFit="1" customWidth="1"/>
    <col min="9208" max="9208" width="12" bestFit="1" customWidth="1"/>
    <col min="9209" max="9209" width="1.85546875" customWidth="1"/>
    <col min="9211" max="9211" width="3" customWidth="1"/>
    <col min="9448" max="9448" width="18" customWidth="1"/>
    <col min="9449" max="9449" width="7.85546875" customWidth="1"/>
    <col min="9450" max="9450" width="11.28515625" bestFit="1" customWidth="1"/>
    <col min="9451" max="9451" width="10.5703125" bestFit="1" customWidth="1"/>
    <col min="9452" max="9452" width="10.28515625" customWidth="1"/>
    <col min="9453" max="9453" width="12.5703125" bestFit="1" customWidth="1"/>
    <col min="9454" max="9454" width="10.5703125" bestFit="1" customWidth="1"/>
    <col min="9455" max="9455" width="9.85546875" bestFit="1" customWidth="1"/>
    <col min="9456" max="9456" width="13" bestFit="1" customWidth="1"/>
    <col min="9457" max="9457" width="2.140625" customWidth="1"/>
    <col min="9458" max="9458" width="10.5703125" bestFit="1" customWidth="1"/>
    <col min="9459" max="9459" width="7.85546875" bestFit="1" customWidth="1"/>
    <col min="9460" max="9460" width="9.85546875" bestFit="1" customWidth="1"/>
    <col min="9461" max="9461" width="11.28515625" bestFit="1" customWidth="1"/>
    <col min="9462" max="9463" width="9.85546875" bestFit="1" customWidth="1"/>
    <col min="9464" max="9464" width="12" bestFit="1" customWidth="1"/>
    <col min="9465" max="9465" width="1.85546875" customWidth="1"/>
    <col min="9467" max="9467" width="3" customWidth="1"/>
    <col min="9704" max="9704" width="18" customWidth="1"/>
    <col min="9705" max="9705" width="7.85546875" customWidth="1"/>
    <col min="9706" max="9706" width="11.28515625" bestFit="1" customWidth="1"/>
    <col min="9707" max="9707" width="10.5703125" bestFit="1" customWidth="1"/>
    <col min="9708" max="9708" width="10.28515625" customWidth="1"/>
    <col min="9709" max="9709" width="12.5703125" bestFit="1" customWidth="1"/>
    <col min="9710" max="9710" width="10.5703125" bestFit="1" customWidth="1"/>
    <col min="9711" max="9711" width="9.85546875" bestFit="1" customWidth="1"/>
    <col min="9712" max="9712" width="13" bestFit="1" customWidth="1"/>
    <col min="9713" max="9713" width="2.140625" customWidth="1"/>
    <col min="9714" max="9714" width="10.5703125" bestFit="1" customWidth="1"/>
    <col min="9715" max="9715" width="7.85546875" bestFit="1" customWidth="1"/>
    <col min="9716" max="9716" width="9.85546875" bestFit="1" customWidth="1"/>
    <col min="9717" max="9717" width="11.28515625" bestFit="1" customWidth="1"/>
    <col min="9718" max="9719" width="9.85546875" bestFit="1" customWidth="1"/>
    <col min="9720" max="9720" width="12" bestFit="1" customWidth="1"/>
    <col min="9721" max="9721" width="1.85546875" customWidth="1"/>
    <col min="9723" max="9723" width="3" customWidth="1"/>
    <col min="9960" max="9960" width="18" customWidth="1"/>
    <col min="9961" max="9961" width="7.85546875" customWidth="1"/>
    <col min="9962" max="9962" width="11.28515625" bestFit="1" customWidth="1"/>
    <col min="9963" max="9963" width="10.5703125" bestFit="1" customWidth="1"/>
    <col min="9964" max="9964" width="10.28515625" customWidth="1"/>
    <col min="9965" max="9965" width="12.5703125" bestFit="1" customWidth="1"/>
    <col min="9966" max="9966" width="10.5703125" bestFit="1" customWidth="1"/>
    <col min="9967" max="9967" width="9.85546875" bestFit="1" customWidth="1"/>
    <col min="9968" max="9968" width="13" bestFit="1" customWidth="1"/>
    <col min="9969" max="9969" width="2.140625" customWidth="1"/>
    <col min="9970" max="9970" width="10.5703125" bestFit="1" customWidth="1"/>
    <col min="9971" max="9971" width="7.85546875" bestFit="1" customWidth="1"/>
    <col min="9972" max="9972" width="9.85546875" bestFit="1" customWidth="1"/>
    <col min="9973" max="9973" width="11.28515625" bestFit="1" customWidth="1"/>
    <col min="9974" max="9975" width="9.85546875" bestFit="1" customWidth="1"/>
    <col min="9976" max="9976" width="12" bestFit="1" customWidth="1"/>
    <col min="9977" max="9977" width="1.85546875" customWidth="1"/>
    <col min="9979" max="9979" width="3" customWidth="1"/>
    <col min="10216" max="10216" width="18" customWidth="1"/>
    <col min="10217" max="10217" width="7.85546875" customWidth="1"/>
    <col min="10218" max="10218" width="11.28515625" bestFit="1" customWidth="1"/>
    <col min="10219" max="10219" width="10.5703125" bestFit="1" customWidth="1"/>
    <col min="10220" max="10220" width="10.28515625" customWidth="1"/>
    <col min="10221" max="10221" width="12.5703125" bestFit="1" customWidth="1"/>
    <col min="10222" max="10222" width="10.5703125" bestFit="1" customWidth="1"/>
    <col min="10223" max="10223" width="9.85546875" bestFit="1" customWidth="1"/>
    <col min="10224" max="10224" width="13" bestFit="1" customWidth="1"/>
    <col min="10225" max="10225" width="2.140625" customWidth="1"/>
    <col min="10226" max="10226" width="10.5703125" bestFit="1" customWidth="1"/>
    <col min="10227" max="10227" width="7.85546875" bestFit="1" customWidth="1"/>
    <col min="10228" max="10228" width="9.85546875" bestFit="1" customWidth="1"/>
    <col min="10229" max="10229" width="11.28515625" bestFit="1" customWidth="1"/>
    <col min="10230" max="10231" width="9.85546875" bestFit="1" customWidth="1"/>
    <col min="10232" max="10232" width="12" bestFit="1" customWidth="1"/>
    <col min="10233" max="10233" width="1.85546875" customWidth="1"/>
    <col min="10235" max="10235" width="3" customWidth="1"/>
    <col min="10472" max="10472" width="18" customWidth="1"/>
    <col min="10473" max="10473" width="7.85546875" customWidth="1"/>
    <col min="10474" max="10474" width="11.28515625" bestFit="1" customWidth="1"/>
    <col min="10475" max="10475" width="10.5703125" bestFit="1" customWidth="1"/>
    <col min="10476" max="10476" width="10.28515625" customWidth="1"/>
    <col min="10477" max="10477" width="12.5703125" bestFit="1" customWidth="1"/>
    <col min="10478" max="10478" width="10.5703125" bestFit="1" customWidth="1"/>
    <col min="10479" max="10479" width="9.85546875" bestFit="1" customWidth="1"/>
    <col min="10480" max="10480" width="13" bestFit="1" customWidth="1"/>
    <col min="10481" max="10481" width="2.140625" customWidth="1"/>
    <col min="10482" max="10482" width="10.5703125" bestFit="1" customWidth="1"/>
    <col min="10483" max="10483" width="7.85546875" bestFit="1" customWidth="1"/>
    <col min="10484" max="10484" width="9.85546875" bestFit="1" customWidth="1"/>
    <col min="10485" max="10485" width="11.28515625" bestFit="1" customWidth="1"/>
    <col min="10486" max="10487" width="9.85546875" bestFit="1" customWidth="1"/>
    <col min="10488" max="10488" width="12" bestFit="1" customWidth="1"/>
    <col min="10489" max="10489" width="1.85546875" customWidth="1"/>
    <col min="10491" max="10491" width="3" customWidth="1"/>
    <col min="10728" max="10728" width="18" customWidth="1"/>
    <col min="10729" max="10729" width="7.85546875" customWidth="1"/>
    <col min="10730" max="10730" width="11.28515625" bestFit="1" customWidth="1"/>
    <col min="10731" max="10731" width="10.5703125" bestFit="1" customWidth="1"/>
    <col min="10732" max="10732" width="10.28515625" customWidth="1"/>
    <col min="10733" max="10733" width="12.5703125" bestFit="1" customWidth="1"/>
    <col min="10734" max="10734" width="10.5703125" bestFit="1" customWidth="1"/>
    <col min="10735" max="10735" width="9.85546875" bestFit="1" customWidth="1"/>
    <col min="10736" max="10736" width="13" bestFit="1" customWidth="1"/>
    <col min="10737" max="10737" width="2.140625" customWidth="1"/>
    <col min="10738" max="10738" width="10.5703125" bestFit="1" customWidth="1"/>
    <col min="10739" max="10739" width="7.85546875" bestFit="1" customWidth="1"/>
    <col min="10740" max="10740" width="9.85546875" bestFit="1" customWidth="1"/>
    <col min="10741" max="10741" width="11.28515625" bestFit="1" customWidth="1"/>
    <col min="10742" max="10743" width="9.85546875" bestFit="1" customWidth="1"/>
    <col min="10744" max="10744" width="12" bestFit="1" customWidth="1"/>
    <col min="10745" max="10745" width="1.85546875" customWidth="1"/>
    <col min="10747" max="10747" width="3" customWidth="1"/>
    <col min="10984" max="10984" width="18" customWidth="1"/>
    <col min="10985" max="10985" width="7.85546875" customWidth="1"/>
    <col min="10986" max="10986" width="11.28515625" bestFit="1" customWidth="1"/>
    <col min="10987" max="10987" width="10.5703125" bestFit="1" customWidth="1"/>
    <col min="10988" max="10988" width="10.28515625" customWidth="1"/>
    <col min="10989" max="10989" width="12.5703125" bestFit="1" customWidth="1"/>
    <col min="10990" max="10990" width="10.5703125" bestFit="1" customWidth="1"/>
    <col min="10991" max="10991" width="9.85546875" bestFit="1" customWidth="1"/>
    <col min="10992" max="10992" width="13" bestFit="1" customWidth="1"/>
    <col min="10993" max="10993" width="2.140625" customWidth="1"/>
    <col min="10994" max="10994" width="10.5703125" bestFit="1" customWidth="1"/>
    <col min="10995" max="10995" width="7.85546875" bestFit="1" customWidth="1"/>
    <col min="10996" max="10996" width="9.85546875" bestFit="1" customWidth="1"/>
    <col min="10997" max="10997" width="11.28515625" bestFit="1" customWidth="1"/>
    <col min="10998" max="10999" width="9.85546875" bestFit="1" customWidth="1"/>
    <col min="11000" max="11000" width="12" bestFit="1" customWidth="1"/>
    <col min="11001" max="11001" width="1.85546875" customWidth="1"/>
    <col min="11003" max="11003" width="3" customWidth="1"/>
    <col min="11240" max="11240" width="18" customWidth="1"/>
    <col min="11241" max="11241" width="7.85546875" customWidth="1"/>
    <col min="11242" max="11242" width="11.28515625" bestFit="1" customWidth="1"/>
    <col min="11243" max="11243" width="10.5703125" bestFit="1" customWidth="1"/>
    <col min="11244" max="11244" width="10.28515625" customWidth="1"/>
    <col min="11245" max="11245" width="12.5703125" bestFit="1" customWidth="1"/>
    <col min="11246" max="11246" width="10.5703125" bestFit="1" customWidth="1"/>
    <col min="11247" max="11247" width="9.85546875" bestFit="1" customWidth="1"/>
    <col min="11248" max="11248" width="13" bestFit="1" customWidth="1"/>
    <col min="11249" max="11249" width="2.140625" customWidth="1"/>
    <col min="11250" max="11250" width="10.5703125" bestFit="1" customWidth="1"/>
    <col min="11251" max="11251" width="7.85546875" bestFit="1" customWidth="1"/>
    <col min="11252" max="11252" width="9.85546875" bestFit="1" customWidth="1"/>
    <col min="11253" max="11253" width="11.28515625" bestFit="1" customWidth="1"/>
    <col min="11254" max="11255" width="9.85546875" bestFit="1" customWidth="1"/>
    <col min="11256" max="11256" width="12" bestFit="1" customWidth="1"/>
    <col min="11257" max="11257" width="1.85546875" customWidth="1"/>
    <col min="11259" max="11259" width="3" customWidth="1"/>
    <col min="11496" max="11496" width="18" customWidth="1"/>
    <col min="11497" max="11497" width="7.85546875" customWidth="1"/>
    <col min="11498" max="11498" width="11.28515625" bestFit="1" customWidth="1"/>
    <col min="11499" max="11499" width="10.5703125" bestFit="1" customWidth="1"/>
    <col min="11500" max="11500" width="10.28515625" customWidth="1"/>
    <col min="11501" max="11501" width="12.5703125" bestFit="1" customWidth="1"/>
    <col min="11502" max="11502" width="10.5703125" bestFit="1" customWidth="1"/>
    <col min="11503" max="11503" width="9.85546875" bestFit="1" customWidth="1"/>
    <col min="11504" max="11504" width="13" bestFit="1" customWidth="1"/>
    <col min="11505" max="11505" width="2.140625" customWidth="1"/>
    <col min="11506" max="11506" width="10.5703125" bestFit="1" customWidth="1"/>
    <col min="11507" max="11507" width="7.85546875" bestFit="1" customWidth="1"/>
    <col min="11508" max="11508" width="9.85546875" bestFit="1" customWidth="1"/>
    <col min="11509" max="11509" width="11.28515625" bestFit="1" customWidth="1"/>
    <col min="11510" max="11511" width="9.85546875" bestFit="1" customWidth="1"/>
    <col min="11512" max="11512" width="12" bestFit="1" customWidth="1"/>
    <col min="11513" max="11513" width="1.85546875" customWidth="1"/>
    <col min="11515" max="11515" width="3" customWidth="1"/>
    <col min="11752" max="11752" width="18" customWidth="1"/>
    <col min="11753" max="11753" width="7.85546875" customWidth="1"/>
    <col min="11754" max="11754" width="11.28515625" bestFit="1" customWidth="1"/>
    <col min="11755" max="11755" width="10.5703125" bestFit="1" customWidth="1"/>
    <col min="11756" max="11756" width="10.28515625" customWidth="1"/>
    <col min="11757" max="11757" width="12.5703125" bestFit="1" customWidth="1"/>
    <col min="11758" max="11758" width="10.5703125" bestFit="1" customWidth="1"/>
    <col min="11759" max="11759" width="9.85546875" bestFit="1" customWidth="1"/>
    <col min="11760" max="11760" width="13" bestFit="1" customWidth="1"/>
    <col min="11761" max="11761" width="2.140625" customWidth="1"/>
    <col min="11762" max="11762" width="10.5703125" bestFit="1" customWidth="1"/>
    <col min="11763" max="11763" width="7.85546875" bestFit="1" customWidth="1"/>
    <col min="11764" max="11764" width="9.85546875" bestFit="1" customWidth="1"/>
    <col min="11765" max="11765" width="11.28515625" bestFit="1" customWidth="1"/>
    <col min="11766" max="11767" width="9.85546875" bestFit="1" customWidth="1"/>
    <col min="11768" max="11768" width="12" bestFit="1" customWidth="1"/>
    <col min="11769" max="11769" width="1.85546875" customWidth="1"/>
    <col min="11771" max="11771" width="3" customWidth="1"/>
    <col min="12008" max="12008" width="18" customWidth="1"/>
    <col min="12009" max="12009" width="7.85546875" customWidth="1"/>
    <col min="12010" max="12010" width="11.28515625" bestFit="1" customWidth="1"/>
    <col min="12011" max="12011" width="10.5703125" bestFit="1" customWidth="1"/>
    <col min="12012" max="12012" width="10.28515625" customWidth="1"/>
    <col min="12013" max="12013" width="12.5703125" bestFit="1" customWidth="1"/>
    <col min="12014" max="12014" width="10.5703125" bestFit="1" customWidth="1"/>
    <col min="12015" max="12015" width="9.85546875" bestFit="1" customWidth="1"/>
    <col min="12016" max="12016" width="13" bestFit="1" customWidth="1"/>
    <col min="12017" max="12017" width="2.140625" customWidth="1"/>
    <col min="12018" max="12018" width="10.5703125" bestFit="1" customWidth="1"/>
    <col min="12019" max="12019" width="7.85546875" bestFit="1" customWidth="1"/>
    <col min="12020" max="12020" width="9.85546875" bestFit="1" customWidth="1"/>
    <col min="12021" max="12021" width="11.28515625" bestFit="1" customWidth="1"/>
    <col min="12022" max="12023" width="9.85546875" bestFit="1" customWidth="1"/>
    <col min="12024" max="12024" width="12" bestFit="1" customWidth="1"/>
    <col min="12025" max="12025" width="1.85546875" customWidth="1"/>
    <col min="12027" max="12027" width="3" customWidth="1"/>
    <col min="12264" max="12264" width="18" customWidth="1"/>
    <col min="12265" max="12265" width="7.85546875" customWidth="1"/>
    <col min="12266" max="12266" width="11.28515625" bestFit="1" customWidth="1"/>
    <col min="12267" max="12267" width="10.5703125" bestFit="1" customWidth="1"/>
    <col min="12268" max="12268" width="10.28515625" customWidth="1"/>
    <col min="12269" max="12269" width="12.5703125" bestFit="1" customWidth="1"/>
    <col min="12270" max="12270" width="10.5703125" bestFit="1" customWidth="1"/>
    <col min="12271" max="12271" width="9.85546875" bestFit="1" customWidth="1"/>
    <col min="12272" max="12272" width="13" bestFit="1" customWidth="1"/>
    <col min="12273" max="12273" width="2.140625" customWidth="1"/>
    <col min="12274" max="12274" width="10.5703125" bestFit="1" customWidth="1"/>
    <col min="12275" max="12275" width="7.85546875" bestFit="1" customWidth="1"/>
    <col min="12276" max="12276" width="9.85546875" bestFit="1" customWidth="1"/>
    <col min="12277" max="12277" width="11.28515625" bestFit="1" customWidth="1"/>
    <col min="12278" max="12279" width="9.85546875" bestFit="1" customWidth="1"/>
    <col min="12280" max="12280" width="12" bestFit="1" customWidth="1"/>
    <col min="12281" max="12281" width="1.85546875" customWidth="1"/>
    <col min="12283" max="12283" width="3" customWidth="1"/>
    <col min="12520" max="12520" width="18" customWidth="1"/>
    <col min="12521" max="12521" width="7.85546875" customWidth="1"/>
    <col min="12522" max="12522" width="11.28515625" bestFit="1" customWidth="1"/>
    <col min="12523" max="12523" width="10.5703125" bestFit="1" customWidth="1"/>
    <col min="12524" max="12524" width="10.28515625" customWidth="1"/>
    <col min="12525" max="12525" width="12.5703125" bestFit="1" customWidth="1"/>
    <col min="12526" max="12526" width="10.5703125" bestFit="1" customWidth="1"/>
    <col min="12527" max="12527" width="9.85546875" bestFit="1" customWidth="1"/>
    <col min="12528" max="12528" width="13" bestFit="1" customWidth="1"/>
    <col min="12529" max="12529" width="2.140625" customWidth="1"/>
    <col min="12530" max="12530" width="10.5703125" bestFit="1" customWidth="1"/>
    <col min="12531" max="12531" width="7.85546875" bestFit="1" customWidth="1"/>
    <col min="12532" max="12532" width="9.85546875" bestFit="1" customWidth="1"/>
    <col min="12533" max="12533" width="11.28515625" bestFit="1" customWidth="1"/>
    <col min="12534" max="12535" width="9.85546875" bestFit="1" customWidth="1"/>
    <col min="12536" max="12536" width="12" bestFit="1" customWidth="1"/>
    <col min="12537" max="12537" width="1.85546875" customWidth="1"/>
    <col min="12539" max="12539" width="3" customWidth="1"/>
    <col min="12776" max="12776" width="18" customWidth="1"/>
    <col min="12777" max="12777" width="7.85546875" customWidth="1"/>
    <col min="12778" max="12778" width="11.28515625" bestFit="1" customWidth="1"/>
    <col min="12779" max="12779" width="10.5703125" bestFit="1" customWidth="1"/>
    <col min="12780" max="12780" width="10.28515625" customWidth="1"/>
    <col min="12781" max="12781" width="12.5703125" bestFit="1" customWidth="1"/>
    <col min="12782" max="12782" width="10.5703125" bestFit="1" customWidth="1"/>
    <col min="12783" max="12783" width="9.85546875" bestFit="1" customWidth="1"/>
    <col min="12784" max="12784" width="13" bestFit="1" customWidth="1"/>
    <col min="12785" max="12785" width="2.140625" customWidth="1"/>
    <col min="12786" max="12786" width="10.5703125" bestFit="1" customWidth="1"/>
    <col min="12787" max="12787" width="7.85546875" bestFit="1" customWidth="1"/>
    <col min="12788" max="12788" width="9.85546875" bestFit="1" customWidth="1"/>
    <col min="12789" max="12789" width="11.28515625" bestFit="1" customWidth="1"/>
    <col min="12790" max="12791" width="9.85546875" bestFit="1" customWidth="1"/>
    <col min="12792" max="12792" width="12" bestFit="1" customWidth="1"/>
    <col min="12793" max="12793" width="1.85546875" customWidth="1"/>
    <col min="12795" max="12795" width="3" customWidth="1"/>
    <col min="13032" max="13032" width="18" customWidth="1"/>
    <col min="13033" max="13033" width="7.85546875" customWidth="1"/>
    <col min="13034" max="13034" width="11.28515625" bestFit="1" customWidth="1"/>
    <col min="13035" max="13035" width="10.5703125" bestFit="1" customWidth="1"/>
    <col min="13036" max="13036" width="10.28515625" customWidth="1"/>
    <col min="13037" max="13037" width="12.5703125" bestFit="1" customWidth="1"/>
    <col min="13038" max="13038" width="10.5703125" bestFit="1" customWidth="1"/>
    <col min="13039" max="13039" width="9.85546875" bestFit="1" customWidth="1"/>
    <col min="13040" max="13040" width="13" bestFit="1" customWidth="1"/>
    <col min="13041" max="13041" width="2.140625" customWidth="1"/>
    <col min="13042" max="13042" width="10.5703125" bestFit="1" customWidth="1"/>
    <col min="13043" max="13043" width="7.85546875" bestFit="1" customWidth="1"/>
    <col min="13044" max="13044" width="9.85546875" bestFit="1" customWidth="1"/>
    <col min="13045" max="13045" width="11.28515625" bestFit="1" customWidth="1"/>
    <col min="13046" max="13047" width="9.85546875" bestFit="1" customWidth="1"/>
    <col min="13048" max="13048" width="12" bestFit="1" customWidth="1"/>
    <col min="13049" max="13049" width="1.85546875" customWidth="1"/>
    <col min="13051" max="13051" width="3" customWidth="1"/>
    <col min="13288" max="13288" width="18" customWidth="1"/>
    <col min="13289" max="13289" width="7.85546875" customWidth="1"/>
    <col min="13290" max="13290" width="11.28515625" bestFit="1" customWidth="1"/>
    <col min="13291" max="13291" width="10.5703125" bestFit="1" customWidth="1"/>
    <col min="13292" max="13292" width="10.28515625" customWidth="1"/>
    <col min="13293" max="13293" width="12.5703125" bestFit="1" customWidth="1"/>
    <col min="13294" max="13294" width="10.5703125" bestFit="1" customWidth="1"/>
    <col min="13295" max="13295" width="9.85546875" bestFit="1" customWidth="1"/>
    <col min="13296" max="13296" width="13" bestFit="1" customWidth="1"/>
    <col min="13297" max="13297" width="2.140625" customWidth="1"/>
    <col min="13298" max="13298" width="10.5703125" bestFit="1" customWidth="1"/>
    <col min="13299" max="13299" width="7.85546875" bestFit="1" customWidth="1"/>
    <col min="13300" max="13300" width="9.85546875" bestFit="1" customWidth="1"/>
    <col min="13301" max="13301" width="11.28515625" bestFit="1" customWidth="1"/>
    <col min="13302" max="13303" width="9.85546875" bestFit="1" customWidth="1"/>
    <col min="13304" max="13304" width="12" bestFit="1" customWidth="1"/>
    <col min="13305" max="13305" width="1.85546875" customWidth="1"/>
    <col min="13307" max="13307" width="3" customWidth="1"/>
    <col min="13544" max="13544" width="18" customWidth="1"/>
    <col min="13545" max="13545" width="7.85546875" customWidth="1"/>
    <col min="13546" max="13546" width="11.28515625" bestFit="1" customWidth="1"/>
    <col min="13547" max="13547" width="10.5703125" bestFit="1" customWidth="1"/>
    <col min="13548" max="13548" width="10.28515625" customWidth="1"/>
    <col min="13549" max="13549" width="12.5703125" bestFit="1" customWidth="1"/>
    <col min="13550" max="13550" width="10.5703125" bestFit="1" customWidth="1"/>
    <col min="13551" max="13551" width="9.85546875" bestFit="1" customWidth="1"/>
    <col min="13552" max="13552" width="13" bestFit="1" customWidth="1"/>
    <col min="13553" max="13553" width="2.140625" customWidth="1"/>
    <col min="13554" max="13554" width="10.5703125" bestFit="1" customWidth="1"/>
    <col min="13555" max="13555" width="7.85546875" bestFit="1" customWidth="1"/>
    <col min="13556" max="13556" width="9.85546875" bestFit="1" customWidth="1"/>
    <col min="13557" max="13557" width="11.28515625" bestFit="1" customWidth="1"/>
    <col min="13558" max="13559" width="9.85546875" bestFit="1" customWidth="1"/>
    <col min="13560" max="13560" width="12" bestFit="1" customWidth="1"/>
    <col min="13561" max="13561" width="1.85546875" customWidth="1"/>
    <col min="13563" max="13563" width="3" customWidth="1"/>
    <col min="13800" max="13800" width="18" customWidth="1"/>
    <col min="13801" max="13801" width="7.85546875" customWidth="1"/>
    <col min="13802" max="13802" width="11.28515625" bestFit="1" customWidth="1"/>
    <col min="13803" max="13803" width="10.5703125" bestFit="1" customWidth="1"/>
    <col min="13804" max="13804" width="10.28515625" customWidth="1"/>
    <col min="13805" max="13805" width="12.5703125" bestFit="1" customWidth="1"/>
    <col min="13806" max="13806" width="10.5703125" bestFit="1" customWidth="1"/>
    <col min="13807" max="13807" width="9.85546875" bestFit="1" customWidth="1"/>
    <col min="13808" max="13808" width="13" bestFit="1" customWidth="1"/>
    <col min="13809" max="13809" width="2.140625" customWidth="1"/>
    <col min="13810" max="13810" width="10.5703125" bestFit="1" customWidth="1"/>
    <col min="13811" max="13811" width="7.85546875" bestFit="1" customWidth="1"/>
    <col min="13812" max="13812" width="9.85546875" bestFit="1" customWidth="1"/>
    <col min="13813" max="13813" width="11.28515625" bestFit="1" customWidth="1"/>
    <col min="13814" max="13815" width="9.85546875" bestFit="1" customWidth="1"/>
    <col min="13816" max="13816" width="12" bestFit="1" customWidth="1"/>
    <col min="13817" max="13817" width="1.85546875" customWidth="1"/>
    <col min="13819" max="13819" width="3" customWidth="1"/>
    <col min="14056" max="14056" width="18" customWidth="1"/>
    <col min="14057" max="14057" width="7.85546875" customWidth="1"/>
    <col min="14058" max="14058" width="11.28515625" bestFit="1" customWidth="1"/>
    <col min="14059" max="14059" width="10.5703125" bestFit="1" customWidth="1"/>
    <col min="14060" max="14060" width="10.28515625" customWidth="1"/>
    <col min="14061" max="14061" width="12.5703125" bestFit="1" customWidth="1"/>
    <col min="14062" max="14062" width="10.5703125" bestFit="1" customWidth="1"/>
    <col min="14063" max="14063" width="9.85546875" bestFit="1" customWidth="1"/>
    <col min="14064" max="14064" width="13" bestFit="1" customWidth="1"/>
    <col min="14065" max="14065" width="2.140625" customWidth="1"/>
    <col min="14066" max="14066" width="10.5703125" bestFit="1" customWidth="1"/>
    <col min="14067" max="14067" width="7.85546875" bestFit="1" customWidth="1"/>
    <col min="14068" max="14068" width="9.85546875" bestFit="1" customWidth="1"/>
    <col min="14069" max="14069" width="11.28515625" bestFit="1" customWidth="1"/>
    <col min="14070" max="14071" width="9.85546875" bestFit="1" customWidth="1"/>
    <col min="14072" max="14072" width="12" bestFit="1" customWidth="1"/>
    <col min="14073" max="14073" width="1.85546875" customWidth="1"/>
    <col min="14075" max="14075" width="3" customWidth="1"/>
    <col min="14312" max="14312" width="18" customWidth="1"/>
    <col min="14313" max="14313" width="7.85546875" customWidth="1"/>
    <col min="14314" max="14314" width="11.28515625" bestFit="1" customWidth="1"/>
    <col min="14315" max="14315" width="10.5703125" bestFit="1" customWidth="1"/>
    <col min="14316" max="14316" width="10.28515625" customWidth="1"/>
    <col min="14317" max="14317" width="12.5703125" bestFit="1" customWidth="1"/>
    <col min="14318" max="14318" width="10.5703125" bestFit="1" customWidth="1"/>
    <col min="14319" max="14319" width="9.85546875" bestFit="1" customWidth="1"/>
    <col min="14320" max="14320" width="13" bestFit="1" customWidth="1"/>
    <col min="14321" max="14321" width="2.140625" customWidth="1"/>
    <col min="14322" max="14322" width="10.5703125" bestFit="1" customWidth="1"/>
    <col min="14323" max="14323" width="7.85546875" bestFit="1" customWidth="1"/>
    <col min="14324" max="14324" width="9.85546875" bestFit="1" customWidth="1"/>
    <col min="14325" max="14325" width="11.28515625" bestFit="1" customWidth="1"/>
    <col min="14326" max="14327" width="9.85546875" bestFit="1" customWidth="1"/>
    <col min="14328" max="14328" width="12" bestFit="1" customWidth="1"/>
    <col min="14329" max="14329" width="1.85546875" customWidth="1"/>
    <col min="14331" max="14331" width="3" customWidth="1"/>
    <col min="14568" max="14568" width="18" customWidth="1"/>
    <col min="14569" max="14569" width="7.85546875" customWidth="1"/>
    <col min="14570" max="14570" width="11.28515625" bestFit="1" customWidth="1"/>
    <col min="14571" max="14571" width="10.5703125" bestFit="1" customWidth="1"/>
    <col min="14572" max="14572" width="10.28515625" customWidth="1"/>
    <col min="14573" max="14573" width="12.5703125" bestFit="1" customWidth="1"/>
    <col min="14574" max="14574" width="10.5703125" bestFit="1" customWidth="1"/>
    <col min="14575" max="14575" width="9.85546875" bestFit="1" customWidth="1"/>
    <col min="14576" max="14576" width="13" bestFit="1" customWidth="1"/>
    <col min="14577" max="14577" width="2.140625" customWidth="1"/>
    <col min="14578" max="14578" width="10.5703125" bestFit="1" customWidth="1"/>
    <col min="14579" max="14579" width="7.85546875" bestFit="1" customWidth="1"/>
    <col min="14580" max="14580" width="9.85546875" bestFit="1" customWidth="1"/>
    <col min="14581" max="14581" width="11.28515625" bestFit="1" customWidth="1"/>
    <col min="14582" max="14583" width="9.85546875" bestFit="1" customWidth="1"/>
    <col min="14584" max="14584" width="12" bestFit="1" customWidth="1"/>
    <col min="14585" max="14585" width="1.85546875" customWidth="1"/>
    <col min="14587" max="14587" width="3" customWidth="1"/>
    <col min="14824" max="14824" width="18" customWidth="1"/>
    <col min="14825" max="14825" width="7.85546875" customWidth="1"/>
    <col min="14826" max="14826" width="11.28515625" bestFit="1" customWidth="1"/>
    <col min="14827" max="14827" width="10.5703125" bestFit="1" customWidth="1"/>
    <col min="14828" max="14828" width="10.28515625" customWidth="1"/>
    <col min="14829" max="14829" width="12.5703125" bestFit="1" customWidth="1"/>
    <col min="14830" max="14830" width="10.5703125" bestFit="1" customWidth="1"/>
    <col min="14831" max="14831" width="9.85546875" bestFit="1" customWidth="1"/>
    <col min="14832" max="14832" width="13" bestFit="1" customWidth="1"/>
    <col min="14833" max="14833" width="2.140625" customWidth="1"/>
    <col min="14834" max="14834" width="10.5703125" bestFit="1" customWidth="1"/>
    <col min="14835" max="14835" width="7.85546875" bestFit="1" customWidth="1"/>
    <col min="14836" max="14836" width="9.85546875" bestFit="1" customWidth="1"/>
    <col min="14837" max="14837" width="11.28515625" bestFit="1" customWidth="1"/>
    <col min="14838" max="14839" width="9.85546875" bestFit="1" customWidth="1"/>
    <col min="14840" max="14840" width="12" bestFit="1" customWidth="1"/>
    <col min="14841" max="14841" width="1.85546875" customWidth="1"/>
    <col min="14843" max="14843" width="3" customWidth="1"/>
    <col min="15080" max="15080" width="18" customWidth="1"/>
    <col min="15081" max="15081" width="7.85546875" customWidth="1"/>
    <col min="15082" max="15082" width="11.28515625" bestFit="1" customWidth="1"/>
    <col min="15083" max="15083" width="10.5703125" bestFit="1" customWidth="1"/>
    <col min="15084" max="15084" width="10.28515625" customWidth="1"/>
    <col min="15085" max="15085" width="12.5703125" bestFit="1" customWidth="1"/>
    <col min="15086" max="15086" width="10.5703125" bestFit="1" customWidth="1"/>
    <col min="15087" max="15087" width="9.85546875" bestFit="1" customWidth="1"/>
    <col min="15088" max="15088" width="13" bestFit="1" customWidth="1"/>
    <col min="15089" max="15089" width="2.140625" customWidth="1"/>
    <col min="15090" max="15090" width="10.5703125" bestFit="1" customWidth="1"/>
    <col min="15091" max="15091" width="7.85546875" bestFit="1" customWidth="1"/>
    <col min="15092" max="15092" width="9.85546875" bestFit="1" customWidth="1"/>
    <col min="15093" max="15093" width="11.28515625" bestFit="1" customWidth="1"/>
    <col min="15094" max="15095" width="9.85546875" bestFit="1" customWidth="1"/>
    <col min="15096" max="15096" width="12" bestFit="1" customWidth="1"/>
    <col min="15097" max="15097" width="1.85546875" customWidth="1"/>
    <col min="15099" max="15099" width="3" customWidth="1"/>
    <col min="15336" max="15336" width="18" customWidth="1"/>
    <col min="15337" max="15337" width="7.85546875" customWidth="1"/>
    <col min="15338" max="15338" width="11.28515625" bestFit="1" customWidth="1"/>
    <col min="15339" max="15339" width="10.5703125" bestFit="1" customWidth="1"/>
    <col min="15340" max="15340" width="10.28515625" customWidth="1"/>
    <col min="15341" max="15341" width="12.5703125" bestFit="1" customWidth="1"/>
    <col min="15342" max="15342" width="10.5703125" bestFit="1" customWidth="1"/>
    <col min="15343" max="15343" width="9.85546875" bestFit="1" customWidth="1"/>
    <col min="15344" max="15344" width="13" bestFit="1" customWidth="1"/>
    <col min="15345" max="15345" width="2.140625" customWidth="1"/>
    <col min="15346" max="15346" width="10.5703125" bestFit="1" customWidth="1"/>
    <col min="15347" max="15347" width="7.85546875" bestFit="1" customWidth="1"/>
    <col min="15348" max="15348" width="9.85546875" bestFit="1" customWidth="1"/>
    <col min="15349" max="15349" width="11.28515625" bestFit="1" customWidth="1"/>
    <col min="15350" max="15351" width="9.85546875" bestFit="1" customWidth="1"/>
    <col min="15352" max="15352" width="12" bestFit="1" customWidth="1"/>
    <col min="15353" max="15353" width="1.85546875" customWidth="1"/>
    <col min="15355" max="15355" width="3" customWidth="1"/>
    <col min="15592" max="15592" width="18" customWidth="1"/>
    <col min="15593" max="15593" width="7.85546875" customWidth="1"/>
    <col min="15594" max="15594" width="11.28515625" bestFit="1" customWidth="1"/>
    <col min="15595" max="15595" width="10.5703125" bestFit="1" customWidth="1"/>
    <col min="15596" max="15596" width="10.28515625" customWidth="1"/>
    <col min="15597" max="15597" width="12.5703125" bestFit="1" customWidth="1"/>
    <col min="15598" max="15598" width="10.5703125" bestFit="1" customWidth="1"/>
    <col min="15599" max="15599" width="9.85546875" bestFit="1" customWidth="1"/>
    <col min="15600" max="15600" width="13" bestFit="1" customWidth="1"/>
    <col min="15601" max="15601" width="2.140625" customWidth="1"/>
    <col min="15602" max="15602" width="10.5703125" bestFit="1" customWidth="1"/>
    <col min="15603" max="15603" width="7.85546875" bestFit="1" customWidth="1"/>
    <col min="15604" max="15604" width="9.85546875" bestFit="1" customWidth="1"/>
    <col min="15605" max="15605" width="11.28515625" bestFit="1" customWidth="1"/>
    <col min="15606" max="15607" width="9.85546875" bestFit="1" customWidth="1"/>
    <col min="15608" max="15608" width="12" bestFit="1" customWidth="1"/>
    <col min="15609" max="15609" width="1.85546875" customWidth="1"/>
    <col min="15611" max="15611" width="3" customWidth="1"/>
    <col min="15848" max="15848" width="18" customWidth="1"/>
    <col min="15849" max="15849" width="7.85546875" customWidth="1"/>
    <col min="15850" max="15850" width="11.28515625" bestFit="1" customWidth="1"/>
    <col min="15851" max="15851" width="10.5703125" bestFit="1" customWidth="1"/>
    <col min="15852" max="15852" width="10.28515625" customWidth="1"/>
    <col min="15853" max="15853" width="12.5703125" bestFit="1" customWidth="1"/>
    <col min="15854" max="15854" width="10.5703125" bestFit="1" customWidth="1"/>
    <col min="15855" max="15855" width="9.85546875" bestFit="1" customWidth="1"/>
    <col min="15856" max="15856" width="13" bestFit="1" customWidth="1"/>
    <col min="15857" max="15857" width="2.140625" customWidth="1"/>
    <col min="15858" max="15858" width="10.5703125" bestFit="1" customWidth="1"/>
    <col min="15859" max="15859" width="7.85546875" bestFit="1" customWidth="1"/>
    <col min="15860" max="15860" width="9.85546875" bestFit="1" customWidth="1"/>
    <col min="15861" max="15861" width="11.28515625" bestFit="1" customWidth="1"/>
    <col min="15862" max="15863" width="9.85546875" bestFit="1" customWidth="1"/>
    <col min="15864" max="15864" width="12" bestFit="1" customWidth="1"/>
    <col min="15865" max="15865" width="1.85546875" customWidth="1"/>
    <col min="15867" max="15867" width="3" customWidth="1"/>
    <col min="16104" max="16104" width="18" customWidth="1"/>
    <col min="16105" max="16105" width="7.85546875" customWidth="1"/>
    <col min="16106" max="16106" width="11.28515625" bestFit="1" customWidth="1"/>
    <col min="16107" max="16107" width="10.5703125" bestFit="1" customWidth="1"/>
    <col min="16108" max="16108" width="10.28515625" customWidth="1"/>
    <col min="16109" max="16109" width="12.5703125" bestFit="1" customWidth="1"/>
    <col min="16110" max="16110" width="10.5703125" bestFit="1" customWidth="1"/>
    <col min="16111" max="16111" width="9.85546875" bestFit="1" customWidth="1"/>
    <col min="16112" max="16112" width="13" bestFit="1" customWidth="1"/>
    <col min="16113" max="16113" width="2.140625" customWidth="1"/>
    <col min="16114" max="16114" width="10.5703125" bestFit="1" customWidth="1"/>
    <col min="16115" max="16115" width="7.85546875" bestFit="1" customWidth="1"/>
    <col min="16116" max="16116" width="9.85546875" bestFit="1" customWidth="1"/>
    <col min="16117" max="16117" width="11.28515625" bestFit="1" customWidth="1"/>
    <col min="16118" max="16119" width="9.85546875" bestFit="1" customWidth="1"/>
    <col min="16120" max="16120" width="12" bestFit="1" customWidth="1"/>
    <col min="16121" max="16121" width="1.85546875" customWidth="1"/>
    <col min="16123" max="16123" width="3" customWidth="1"/>
  </cols>
  <sheetData>
    <row r="1" spans="1:11" ht="26.25" x14ac:dyDescent="0.4">
      <c r="A1" s="7" t="s">
        <v>18</v>
      </c>
    </row>
    <row r="2" spans="1:11" ht="15" x14ac:dyDescent="0.25">
      <c r="A2" s="8" t="s">
        <v>105</v>
      </c>
    </row>
    <row r="6" spans="1:11" ht="15" x14ac:dyDescent="0.2">
      <c r="A6" s="66" t="s">
        <v>19</v>
      </c>
      <c r="B6" s="60"/>
      <c r="C6" s="60"/>
      <c r="D6" s="60"/>
      <c r="E6" s="60"/>
      <c r="F6" s="60"/>
      <c r="G6" s="60"/>
    </row>
    <row r="7" spans="1:11" x14ac:dyDescent="0.2">
      <c r="D7" s="9"/>
      <c r="E7" s="2" t="s">
        <v>21</v>
      </c>
      <c r="F7" s="9"/>
      <c r="H7" s="4"/>
      <c r="I7" s="2" t="s">
        <v>22</v>
      </c>
      <c r="J7" s="4"/>
      <c r="K7" s="2" t="s">
        <v>23</v>
      </c>
    </row>
    <row r="8" spans="1:11" x14ac:dyDescent="0.2">
      <c r="D8" s="2" t="s">
        <v>0</v>
      </c>
      <c r="E8" s="2" t="s">
        <v>25</v>
      </c>
      <c r="F8" s="9"/>
      <c r="G8" s="2" t="s">
        <v>26</v>
      </c>
      <c r="H8" s="11" t="s">
        <v>27</v>
      </c>
      <c r="I8" s="11" t="s">
        <v>28</v>
      </c>
      <c r="J8" s="4"/>
      <c r="K8" s="11" t="s">
        <v>29</v>
      </c>
    </row>
    <row r="9" spans="1:11" x14ac:dyDescent="0.2">
      <c r="C9" s="12" t="s">
        <v>30</v>
      </c>
      <c r="D9" s="10" t="s">
        <v>128</v>
      </c>
      <c r="E9" s="10" t="s">
        <v>31</v>
      </c>
      <c r="F9" s="10" t="s">
        <v>7</v>
      </c>
      <c r="G9" s="10" t="s">
        <v>32</v>
      </c>
      <c r="H9" s="13" t="s">
        <v>32</v>
      </c>
      <c r="I9" s="13" t="s">
        <v>33</v>
      </c>
      <c r="K9" s="13" t="s">
        <v>32</v>
      </c>
    </row>
    <row r="10" spans="1:11" x14ac:dyDescent="0.2">
      <c r="A10" s="14"/>
    </row>
    <row r="11" spans="1:11" x14ac:dyDescent="0.2">
      <c r="A11" s="15" t="s">
        <v>174</v>
      </c>
      <c r="C11" s="16">
        <f>+'Customer Counts'!B9</f>
        <v>50923</v>
      </c>
      <c r="D11" s="17">
        <f>+'Total Company Tonnage'!F10</f>
        <v>701.90877977096295</v>
      </c>
      <c r="E11" s="18">
        <f t="shared" ref="E11:E12" si="0">+F11/D11</f>
        <v>83.919104053224203</v>
      </c>
      <c r="F11" s="19">
        <f>+'Reg. Res''l - SS Mix &amp; Prices'!B56</f>
        <v>58903.555925471068</v>
      </c>
      <c r="G11" s="18">
        <f t="shared" ref="G11:G23" si="1">+F11/C11</f>
        <v>1.1567181023402209</v>
      </c>
      <c r="H11" s="18">
        <f>+'Rebate Analysis'!AP32</f>
        <v>9.9999999999999978E-2</v>
      </c>
      <c r="I11" s="20">
        <f t="shared" ref="I11:I18" si="2">+H11*C11</f>
        <v>5092.2999999999993</v>
      </c>
      <c r="K11" s="21">
        <f t="shared" ref="K11:K23" si="3">+D11*2000/C11</f>
        <v>27.567455953928988</v>
      </c>
    </row>
    <row r="12" spans="1:11" x14ac:dyDescent="0.2">
      <c r="A12" s="15" t="s">
        <v>35</v>
      </c>
      <c r="C12" s="16">
        <f>+'Customer Counts'!B10</f>
        <v>50885</v>
      </c>
      <c r="D12" s="17">
        <f>+'Total Company Tonnage'!F11</f>
        <v>750.57054090114605</v>
      </c>
      <c r="E12" s="18">
        <f t="shared" si="0"/>
        <v>92.055455901122116</v>
      </c>
      <c r="F12" s="19">
        <f>+'Reg. Res''l - SS Mix &amp; Prices'!B57</f>
        <v>69094.113328606822</v>
      </c>
      <c r="G12" s="18">
        <f t="shared" ref="G12" si="4">+F12/C12</f>
        <v>1.3578483507636203</v>
      </c>
      <c r="H12" s="18">
        <f>+H11</f>
        <v>9.9999999999999978E-2</v>
      </c>
      <c r="I12" s="20">
        <f t="shared" ref="I12" si="5">+H12*C12</f>
        <v>5088.4999999999991</v>
      </c>
      <c r="K12" s="21">
        <f t="shared" si="3"/>
        <v>29.500659954845084</v>
      </c>
    </row>
    <row r="13" spans="1:11" x14ac:dyDescent="0.2">
      <c r="A13" s="15" t="s">
        <v>36</v>
      </c>
      <c r="C13" s="16">
        <f>+'Customer Counts'!B11</f>
        <v>50906</v>
      </c>
      <c r="D13" s="17">
        <f>+'Total Company Tonnage'!F12</f>
        <v>857.59218843052997</v>
      </c>
      <c r="E13" s="18">
        <f t="shared" ref="E13:E18" si="6">+F13/D13</f>
        <v>64.771942424234439</v>
      </c>
      <c r="F13" s="19">
        <f>+'Reg. Res''l - SS Mix &amp; Prices'!B58</f>
        <v>55547.911852495505</v>
      </c>
      <c r="G13" s="18">
        <f t="shared" si="1"/>
        <v>1.091185947677985</v>
      </c>
      <c r="H13" s="18">
        <f>+'Rebate Analysis'!AJ32</f>
        <v>0.13</v>
      </c>
      <c r="I13" s="20">
        <f t="shared" si="2"/>
        <v>6617.7800000000007</v>
      </c>
      <c r="K13" s="21">
        <f t="shared" si="3"/>
        <v>33.693167344931048</v>
      </c>
    </row>
    <row r="14" spans="1:11" x14ac:dyDescent="0.2">
      <c r="A14" s="15" t="s">
        <v>37</v>
      </c>
      <c r="C14" s="16">
        <f>+'Customer Counts'!B12</f>
        <v>50863</v>
      </c>
      <c r="D14" s="17">
        <f>+'Total Company Tonnage'!F13</f>
        <v>834.39219401804701</v>
      </c>
      <c r="E14" s="18">
        <f t="shared" si="6"/>
        <v>69.102813119057046</v>
      </c>
      <c r="F14" s="19">
        <f>+'Reg. Res''l - SS Mix &amp; Prices'!B59</f>
        <v>57658.847851229097</v>
      </c>
      <c r="G14" s="18">
        <f t="shared" si="1"/>
        <v>1.1336108340292372</v>
      </c>
      <c r="H14" s="18">
        <f>+H13</f>
        <v>0.13</v>
      </c>
      <c r="I14" s="20">
        <f t="shared" si="2"/>
        <v>6612.1900000000005</v>
      </c>
      <c r="K14" s="21">
        <f t="shared" si="3"/>
        <v>32.80939755885602</v>
      </c>
    </row>
    <row r="15" spans="1:11" x14ac:dyDescent="0.2">
      <c r="A15" s="15" t="s">
        <v>175</v>
      </c>
      <c r="C15" s="16">
        <f>+'Customer Counts'!B13</f>
        <v>50860</v>
      </c>
      <c r="D15" s="17">
        <f>+'Total Company Tonnage'!F14</f>
        <v>901.06316033382495</v>
      </c>
      <c r="E15" s="18">
        <f t="shared" si="6"/>
        <v>88.820840689704255</v>
      </c>
      <c r="F15" s="19">
        <f>+'Reg. Res''l - SS Mix &amp; Prices'!B60</f>
        <v>80033.187415372115</v>
      </c>
      <c r="G15" s="18">
        <f t="shared" si="1"/>
        <v>1.5735978650289444</v>
      </c>
      <c r="H15" s="18">
        <f t="shared" ref="H15:H22" si="7">+H14</f>
        <v>0.13</v>
      </c>
      <c r="I15" s="20">
        <f t="shared" si="2"/>
        <v>6611.8</v>
      </c>
      <c r="K15" s="21">
        <f t="shared" si="3"/>
        <v>35.433077480685213</v>
      </c>
    </row>
    <row r="16" spans="1:11" x14ac:dyDescent="0.2">
      <c r="A16" s="15" t="s">
        <v>38</v>
      </c>
      <c r="C16" s="16">
        <f>+'Customer Counts'!B14</f>
        <v>50866</v>
      </c>
      <c r="D16" s="17">
        <f>+'Total Company Tonnage'!F15</f>
        <v>784.00391855246096</v>
      </c>
      <c r="E16" s="18">
        <f t="shared" si="6"/>
        <v>83.04305743094605</v>
      </c>
      <c r="F16" s="19">
        <f>+'Reg. Res''l - SS Mix &amp; Prices'!B61</f>
        <v>65106.082434438766</v>
      </c>
      <c r="G16" s="18">
        <f t="shared" si="1"/>
        <v>1.2799528650658349</v>
      </c>
      <c r="H16" s="18">
        <f t="shared" si="7"/>
        <v>0.13</v>
      </c>
      <c r="I16" s="20">
        <f t="shared" si="2"/>
        <v>6612.58</v>
      </c>
      <c r="K16" s="21">
        <f t="shared" si="3"/>
        <v>30.826246158630951</v>
      </c>
    </row>
    <row r="17" spans="1:14" x14ac:dyDescent="0.2">
      <c r="A17" s="15" t="s">
        <v>39</v>
      </c>
      <c r="C17" s="16">
        <f>+'Customer Counts'!B15</f>
        <v>50952</v>
      </c>
      <c r="D17" s="17">
        <f>+'Total Company Tonnage'!F16</f>
        <v>853.32846670855599</v>
      </c>
      <c r="E17" s="18">
        <f t="shared" si="6"/>
        <v>89.162235045373166</v>
      </c>
      <c r="F17" s="19">
        <f>+'Reg. Res''l - SS Mix &amp; Prices'!B62</f>
        <v>76084.673319576163</v>
      </c>
      <c r="G17" s="18">
        <f t="shared" si="1"/>
        <v>1.4932617624347653</v>
      </c>
      <c r="H17" s="18">
        <f t="shared" si="7"/>
        <v>0.13</v>
      </c>
      <c r="I17" s="20">
        <f t="shared" si="2"/>
        <v>6623.76</v>
      </c>
      <c r="K17" s="21">
        <f t="shared" si="3"/>
        <v>33.495386509206945</v>
      </c>
    </row>
    <row r="18" spans="1:14" x14ac:dyDescent="0.2">
      <c r="A18" s="15" t="s">
        <v>40</v>
      </c>
      <c r="C18" s="16">
        <f>+'Customer Counts'!B16</f>
        <v>51105</v>
      </c>
      <c r="D18" s="17">
        <f>+'Total Company Tonnage'!F17</f>
        <v>842.57978180836801</v>
      </c>
      <c r="E18" s="18">
        <f t="shared" si="6"/>
        <v>87.459827818648009</v>
      </c>
      <c r="F18" s="19">
        <f>+'Reg. Res''l - SS Mix &amp; Prices'!B63</f>
        <v>73691.882640433876</v>
      </c>
      <c r="G18" s="18">
        <f t="shared" si="1"/>
        <v>1.441970113304645</v>
      </c>
      <c r="H18" s="18">
        <f t="shared" si="7"/>
        <v>0.13</v>
      </c>
      <c r="I18" s="20">
        <f t="shared" si="2"/>
        <v>6643.6500000000005</v>
      </c>
      <c r="K18" s="21">
        <f t="shared" si="3"/>
        <v>32.974455799173001</v>
      </c>
    </row>
    <row r="19" spans="1:14" x14ac:dyDescent="0.2">
      <c r="A19" s="15" t="s">
        <v>10</v>
      </c>
      <c r="C19" s="16">
        <f>+'Customer Counts'!B17</f>
        <v>51286</v>
      </c>
      <c r="D19" s="17">
        <f>+'Total Company Tonnage'!F18</f>
        <v>890.28820581554703</v>
      </c>
      <c r="E19" s="18">
        <f t="shared" ref="E19:E20" si="8">+F19/D19</f>
        <v>98.390173820638708</v>
      </c>
      <c r="F19" s="19">
        <f>+'Reg. Res''l - SS Mix &amp; Prices'!B64</f>
        <v>87595.611320656244</v>
      </c>
      <c r="G19" s="18">
        <f t="shared" ref="G19:G20" si="9">+F19/C19</f>
        <v>1.7079829060690295</v>
      </c>
      <c r="H19" s="18">
        <f t="shared" si="7"/>
        <v>0.13</v>
      </c>
      <c r="I19" s="20">
        <f t="shared" ref="I19:I20" si="10">+H19*C19</f>
        <v>6667.18</v>
      </c>
      <c r="K19" s="21">
        <f t="shared" ref="K19:K20" si="11">+D19*2000/C19</f>
        <v>34.718566697170651</v>
      </c>
    </row>
    <row r="20" spans="1:14" x14ac:dyDescent="0.2">
      <c r="A20" s="15" t="s">
        <v>41</v>
      </c>
      <c r="C20" s="16">
        <f>+'Customer Counts'!B18</f>
        <v>51351</v>
      </c>
      <c r="D20" s="17">
        <f>+'Total Company Tonnage'!F19</f>
        <v>776.15400228935198</v>
      </c>
      <c r="E20" s="18">
        <f t="shared" si="8"/>
        <v>118.85410197400519</v>
      </c>
      <c r="F20" s="19">
        <f>+'Reg. Res''l - SS Mix &amp; Prices'!B65</f>
        <v>92249.086935630898</v>
      </c>
      <c r="G20" s="18">
        <f t="shared" si="9"/>
        <v>1.796441879138301</v>
      </c>
      <c r="H20" s="18">
        <f t="shared" si="7"/>
        <v>0.13</v>
      </c>
      <c r="I20" s="20">
        <f t="shared" si="10"/>
        <v>6675.63</v>
      </c>
      <c r="K20" s="21">
        <f t="shared" si="11"/>
        <v>30.229362711119627</v>
      </c>
    </row>
    <row r="21" spans="1:14" x14ac:dyDescent="0.2">
      <c r="A21" s="15" t="s">
        <v>42</v>
      </c>
      <c r="C21" s="16">
        <f>+'Customer Counts'!B19</f>
        <v>51419</v>
      </c>
      <c r="D21" s="17">
        <f>+'Total Company Tonnage'!F20</f>
        <v>864.66</v>
      </c>
      <c r="E21" s="18">
        <f t="shared" ref="E21:E22" si="12">+F21/D21</f>
        <v>101.68809202150793</v>
      </c>
      <c r="F21" s="19">
        <f>+'Reg. Res''l - SS Mix &amp; Prices'!B66</f>
        <v>87925.625647317036</v>
      </c>
      <c r="G21" s="18">
        <f t="shared" ref="G21:G22" si="13">+F21/C21</f>
        <v>1.7099831900137505</v>
      </c>
      <c r="H21" s="18">
        <f t="shared" si="7"/>
        <v>0.13</v>
      </c>
      <c r="I21" s="20">
        <f t="shared" ref="I21:I22" si="14">+H21*C21</f>
        <v>6684.47</v>
      </c>
      <c r="K21" s="21">
        <f t="shared" ref="K21:K22" si="15">+D21*2000/C21</f>
        <v>33.631925941772494</v>
      </c>
    </row>
    <row r="22" spans="1:14" ht="15" x14ac:dyDescent="0.35">
      <c r="A22" s="15" t="s">
        <v>43</v>
      </c>
      <c r="C22" s="23">
        <f>+'Customer Counts'!B20</f>
        <v>51419</v>
      </c>
      <c r="D22" s="24">
        <f>+'Total Company Tonnage'!F21</f>
        <v>864.66</v>
      </c>
      <c r="E22" s="25">
        <f t="shared" si="12"/>
        <v>93.162296471075848</v>
      </c>
      <c r="F22" s="26">
        <f>+'Reg. Res''l - SS Mix &amp; Prices'!B67</f>
        <v>80553.711266680446</v>
      </c>
      <c r="G22" s="25">
        <f t="shared" si="13"/>
        <v>1.566613727740338</v>
      </c>
      <c r="H22" s="25">
        <f t="shared" si="7"/>
        <v>0.13</v>
      </c>
      <c r="I22" s="27">
        <f t="shared" si="14"/>
        <v>6684.47</v>
      </c>
      <c r="J22" s="29"/>
      <c r="K22" s="28">
        <f t="shared" si="15"/>
        <v>33.631925941772494</v>
      </c>
    </row>
    <row r="23" spans="1:14" ht="15" x14ac:dyDescent="0.35">
      <c r="A23" s="11" t="s">
        <v>44</v>
      </c>
      <c r="C23" s="30">
        <f>SUM(C11:C22)</f>
        <v>612835</v>
      </c>
      <c r="D23" s="31">
        <f>SUM(D11:D22)</f>
        <v>9921.201238628797</v>
      </c>
      <c r="E23" s="32">
        <f>+F23/D23</f>
        <v>89.146895488246997</v>
      </c>
      <c r="F23" s="33">
        <f>SUM(F11:F22)</f>
        <v>884444.28993790806</v>
      </c>
      <c r="G23" s="34">
        <f t="shared" si="1"/>
        <v>1.4432013346788419</v>
      </c>
      <c r="H23" s="34">
        <f>+I23/C23</f>
        <v>0.12501621154144263</v>
      </c>
      <c r="I23" s="33">
        <f>SUM(I11:I22)</f>
        <v>76614.31</v>
      </c>
      <c r="J23" s="35"/>
      <c r="K23" s="36">
        <f t="shared" si="3"/>
        <v>32.378050335339196</v>
      </c>
      <c r="M23" s="220"/>
      <c r="N23" s="17"/>
    </row>
    <row r="24" spans="1:14" x14ac:dyDescent="0.2">
      <c r="E24" s="15"/>
      <c r="F24" s="15"/>
    </row>
    <row r="25" spans="1:14" x14ac:dyDescent="0.2">
      <c r="A25" s="6"/>
      <c r="C25" s="220">
        <f>SUM(C11:C13)</f>
        <v>152714</v>
      </c>
      <c r="F25" s="220">
        <f>F23/2*3</f>
        <v>1326666.4349068622</v>
      </c>
      <c r="M25">
        <f>F25/C25</f>
        <v>8.6872613834151569</v>
      </c>
    </row>
    <row r="26" spans="1:14" x14ac:dyDescent="0.2">
      <c r="E26" s="15"/>
      <c r="F26" s="15"/>
    </row>
    <row r="27" spans="1:14" x14ac:dyDescent="0.2">
      <c r="E27" s="15"/>
      <c r="F27" s="15"/>
    </row>
    <row r="28" spans="1:14" ht="15" x14ac:dyDescent="0.2">
      <c r="A28" s="66" t="s">
        <v>20</v>
      </c>
      <c r="C28" s="65"/>
      <c r="D28" s="65"/>
      <c r="E28" s="65"/>
      <c r="F28" s="65"/>
      <c r="G28" s="65"/>
    </row>
    <row r="29" spans="1:14" x14ac:dyDescent="0.2">
      <c r="C29" s="10"/>
      <c r="D29" s="10"/>
      <c r="E29" s="2" t="s">
        <v>21</v>
      </c>
      <c r="H29" s="4"/>
      <c r="I29" s="2" t="s">
        <v>22</v>
      </c>
      <c r="K29" s="2" t="s">
        <v>24</v>
      </c>
    </row>
    <row r="30" spans="1:14" x14ac:dyDescent="0.2">
      <c r="C30" s="10"/>
      <c r="D30" s="347" t="s">
        <v>0</v>
      </c>
      <c r="E30" s="2" t="s">
        <v>25</v>
      </c>
      <c r="G30" s="2" t="s">
        <v>26</v>
      </c>
      <c r="H30" s="11" t="s">
        <v>27</v>
      </c>
      <c r="I30" s="11" t="s">
        <v>28</v>
      </c>
      <c r="K30" s="11" t="s">
        <v>29</v>
      </c>
    </row>
    <row r="31" spans="1:14" x14ac:dyDescent="0.2">
      <c r="C31" s="12" t="s">
        <v>30</v>
      </c>
      <c r="D31" s="348" t="s">
        <v>128</v>
      </c>
      <c r="E31" s="10" t="s">
        <v>31</v>
      </c>
      <c r="F31" s="10" t="s">
        <v>7</v>
      </c>
      <c r="G31" s="10" t="s">
        <v>32</v>
      </c>
      <c r="H31" s="13" t="s">
        <v>32</v>
      </c>
      <c r="I31" s="13" t="s">
        <v>33</v>
      </c>
      <c r="K31" s="13" t="s">
        <v>34</v>
      </c>
    </row>
    <row r="32" spans="1:14" x14ac:dyDescent="0.2">
      <c r="A32" s="14"/>
    </row>
    <row r="33" spans="1:14" x14ac:dyDescent="0.2">
      <c r="A33" s="15" t="s">
        <v>174</v>
      </c>
      <c r="C33" s="16">
        <f>+'Customer Counts'!I9</f>
        <v>5447.2636363636339</v>
      </c>
      <c r="D33" s="17">
        <f>+'Total Company Tonnage'!H10</f>
        <v>37.396500786460798</v>
      </c>
      <c r="E33" s="18">
        <f>+F33/D33</f>
        <v>83.919104053224203</v>
      </c>
      <c r="F33" s="19">
        <f>+'Reg. MF - SS Mix &amp; Prices'!B56</f>
        <v>3138.2808407254847</v>
      </c>
      <c r="G33" s="18">
        <f t="shared" ref="G33:G45" si="16">+F33/C33</f>
        <v>0.57612060847865809</v>
      </c>
      <c r="H33" s="18">
        <f>+'Rebate Analysis'!AP66</f>
        <v>0.18999999999999997</v>
      </c>
      <c r="I33" s="20">
        <f>+H33*C33</f>
        <v>1034.9800909090902</v>
      </c>
      <c r="K33" s="21">
        <f t="shared" ref="K33:K45" si="17">+D33*2000/C33</f>
        <v>13.730380346131051</v>
      </c>
    </row>
    <row r="34" spans="1:14" x14ac:dyDescent="0.2">
      <c r="A34" s="15" t="s">
        <v>35</v>
      </c>
      <c r="C34" s="16">
        <f>+'Customer Counts'!I10</f>
        <v>5533.2363636363607</v>
      </c>
      <c r="D34" s="17">
        <f>+'Total Company Tonnage'!H11</f>
        <v>38.060059857009001</v>
      </c>
      <c r="E34" s="18">
        <f t="shared" ref="E34:E44" si="18">+F34/D34</f>
        <v>92.055455901122116</v>
      </c>
      <c r="F34" s="19">
        <f>+'Reg. MF - SS Mix &amp; Prices'!B57</f>
        <v>3503.63616176096</v>
      </c>
      <c r="G34" s="18">
        <f t="shared" si="16"/>
        <v>0.63319835472533881</v>
      </c>
      <c r="H34" s="18">
        <f>+H33</f>
        <v>0.18999999999999997</v>
      </c>
      <c r="I34" s="20">
        <f t="shared" ref="I34:I44" si="19">+H34*C34</f>
        <v>1051.3149090909085</v>
      </c>
      <c r="K34" s="21">
        <f t="shared" si="17"/>
        <v>13.756889225674247</v>
      </c>
    </row>
    <row r="35" spans="1:14" x14ac:dyDescent="0.2">
      <c r="A35" s="15" t="s">
        <v>36</v>
      </c>
      <c r="C35" s="16">
        <f>+'Customer Counts'!I11</f>
        <v>5435.2363636363607</v>
      </c>
      <c r="D35" s="17">
        <f>+'Total Company Tonnage'!H12</f>
        <v>43.150588370281298</v>
      </c>
      <c r="E35" s="18">
        <f t="shared" si="18"/>
        <v>64.771942424234439</v>
      </c>
      <c r="F35" s="19">
        <f>+'Reg. MF - SS Mix &amp; Prices'!B58</f>
        <v>2794.9474254917004</v>
      </c>
      <c r="G35" s="18">
        <f t="shared" si="16"/>
        <v>0.51422739297795395</v>
      </c>
      <c r="H35" s="22">
        <f>+'Rebate Analysis'!AJ66</f>
        <v>0.31</v>
      </c>
      <c r="I35" s="20">
        <f t="shared" si="19"/>
        <v>1684.9232727272718</v>
      </c>
      <c r="K35" s="21">
        <f t="shared" si="17"/>
        <v>15.878090844024332</v>
      </c>
    </row>
    <row r="36" spans="1:14" x14ac:dyDescent="0.2">
      <c r="A36" s="15" t="s">
        <v>37</v>
      </c>
      <c r="C36" s="16">
        <f>+'Customer Counts'!I12</f>
        <v>5524.4636363636337</v>
      </c>
      <c r="D36" s="17">
        <f>+'Total Company Tonnage'!H13</f>
        <v>42.344512485863099</v>
      </c>
      <c r="E36" s="18">
        <f t="shared" si="18"/>
        <v>69.10281311905706</v>
      </c>
      <c r="F36" s="19">
        <f>+'Reg. MF - SS Mix &amp; Prices'!B59</f>
        <v>2926.1249329281759</v>
      </c>
      <c r="G36" s="18">
        <f t="shared" si="16"/>
        <v>0.5296667922054128</v>
      </c>
      <c r="H36" s="18">
        <f>+H35</f>
        <v>0.31</v>
      </c>
      <c r="I36" s="20">
        <f t="shared" si="19"/>
        <v>1712.5837272727265</v>
      </c>
      <c r="K36" s="21">
        <f t="shared" si="17"/>
        <v>15.329818521073847</v>
      </c>
    </row>
    <row r="37" spans="1:14" x14ac:dyDescent="0.2">
      <c r="A37" s="15" t="s">
        <v>175</v>
      </c>
      <c r="C37" s="16">
        <f>+'Customer Counts'!I13</f>
        <v>5573.6999999999971</v>
      </c>
      <c r="D37" s="17">
        <f>+'Total Company Tonnage'!H14</f>
        <v>50.108476345413997</v>
      </c>
      <c r="E37" s="18">
        <f t="shared" si="18"/>
        <v>88.820840689704241</v>
      </c>
      <c r="F37" s="19">
        <f>+'Reg. MF - SS Mix &amp; Prices'!B60</f>
        <v>4450.6769946798304</v>
      </c>
      <c r="G37" s="18">
        <f t="shared" si="16"/>
        <v>0.79851391260380589</v>
      </c>
      <c r="H37" s="18">
        <f t="shared" ref="H37:H44" si="20">+H36</f>
        <v>0.31</v>
      </c>
      <c r="I37" s="20">
        <f t="shared" si="19"/>
        <v>1727.8469999999991</v>
      </c>
      <c r="K37" s="21">
        <f t="shared" si="17"/>
        <v>17.980327733969904</v>
      </c>
    </row>
    <row r="38" spans="1:14" x14ac:dyDescent="0.2">
      <c r="A38" s="15" t="s">
        <v>38</v>
      </c>
      <c r="C38" s="16">
        <f>+'Customer Counts'!I14</f>
        <v>5657.6999999999971</v>
      </c>
      <c r="D38" s="17">
        <f>+'Total Company Tonnage'!H15</f>
        <v>39.544519735619197</v>
      </c>
      <c r="E38" s="18">
        <f t="shared" si="18"/>
        <v>83.043057430946078</v>
      </c>
      <c r="F38" s="19">
        <f>+'Reg. MF - SS Mix &amp; Prices'!B61</f>
        <v>3283.8978234842057</v>
      </c>
      <c r="G38" s="18">
        <f t="shared" si="16"/>
        <v>0.58042982545631749</v>
      </c>
      <c r="H38" s="18">
        <f t="shared" si="20"/>
        <v>0.31</v>
      </c>
      <c r="I38" s="20">
        <f t="shared" si="19"/>
        <v>1753.886999999999</v>
      </c>
      <c r="K38" s="21">
        <f t="shared" si="17"/>
        <v>13.979009044530187</v>
      </c>
    </row>
    <row r="39" spans="1:14" x14ac:dyDescent="0.2">
      <c r="A39" s="15" t="s">
        <v>39</v>
      </c>
      <c r="C39" s="16">
        <f>+'Customer Counts'!I15</f>
        <v>5569.3954545454517</v>
      </c>
      <c r="D39" s="17">
        <f>+'Total Company Tonnage'!H16</f>
        <v>29.196960542388201</v>
      </c>
      <c r="E39" s="18">
        <f t="shared" si="18"/>
        <v>89.16223504537318</v>
      </c>
      <c r="F39" s="19">
        <f>+'Reg. MF - SS Mix &amp; Prices'!B62</f>
        <v>2603.2662584909031</v>
      </c>
      <c r="G39" s="18">
        <f t="shared" si="16"/>
        <v>0.46742348962960639</v>
      </c>
      <c r="H39" s="18">
        <f t="shared" si="20"/>
        <v>0.31</v>
      </c>
      <c r="I39" s="20">
        <f t="shared" si="19"/>
        <v>1726.51259090909</v>
      </c>
      <c r="K39" s="21">
        <f t="shared" si="17"/>
        <v>10.484786286295815</v>
      </c>
    </row>
    <row r="40" spans="1:14" x14ac:dyDescent="0.2">
      <c r="A40" s="15" t="s">
        <v>40</v>
      </c>
      <c r="C40" s="16">
        <f>+'Customer Counts'!I16</f>
        <v>5665.6795454545427</v>
      </c>
      <c r="D40" s="17">
        <f>+'Total Company Tonnage'!H17</f>
        <v>29.089425517941599</v>
      </c>
      <c r="E40" s="18">
        <f t="shared" si="18"/>
        <v>87.459827818648023</v>
      </c>
      <c r="F40" s="19">
        <f>+'Reg. MF - SS Mix &amp; Prices'!B63</f>
        <v>2544.1561471425584</v>
      </c>
      <c r="G40" s="18">
        <f t="shared" si="16"/>
        <v>0.44904695486769669</v>
      </c>
      <c r="H40" s="18">
        <f t="shared" si="20"/>
        <v>0.31</v>
      </c>
      <c r="I40" s="20">
        <f t="shared" si="19"/>
        <v>1756.3606590909083</v>
      </c>
      <c r="K40" s="21">
        <f t="shared" si="17"/>
        <v>10.268644841122171</v>
      </c>
    </row>
    <row r="41" spans="1:14" x14ac:dyDescent="0.2">
      <c r="A41" s="15" t="s">
        <v>10</v>
      </c>
      <c r="C41" s="16">
        <f>+'Customer Counts'!I17</f>
        <v>5607.8909090909065</v>
      </c>
      <c r="D41" s="17">
        <f>+'Total Company Tonnage'!H18</f>
        <v>31.960149465273201</v>
      </c>
      <c r="E41" s="18">
        <f>+E19</f>
        <v>98.390173820638708</v>
      </c>
      <c r="F41" s="19">
        <f>+'Reg. MF - SS Mix &amp; Prices'!B64</f>
        <v>3144.5646612218238</v>
      </c>
      <c r="G41" s="18">
        <f t="shared" si="16"/>
        <v>0.56073927118022138</v>
      </c>
      <c r="H41" s="18">
        <f t="shared" si="20"/>
        <v>0.31</v>
      </c>
      <c r="I41" s="20">
        <f t="shared" si="19"/>
        <v>1738.446181818181</v>
      </c>
      <c r="K41" s="21">
        <f t="shared" si="17"/>
        <v>11.398277884993398</v>
      </c>
    </row>
    <row r="42" spans="1:14" x14ac:dyDescent="0.2">
      <c r="A42" s="15" t="s">
        <v>41</v>
      </c>
      <c r="C42" s="16">
        <f>+'Customer Counts'!I18</f>
        <v>5514.427272727271</v>
      </c>
      <c r="D42" s="17">
        <f>+'Total Company Tonnage'!H19</f>
        <v>32.064918836315996</v>
      </c>
      <c r="E42" s="18">
        <f>+E20</f>
        <v>118.85410197400519</v>
      </c>
      <c r="F42" s="19">
        <f>+'Reg. MF - SS Mix &amp; Prices'!B65</f>
        <v>3811.0471331597023</v>
      </c>
      <c r="G42" s="18">
        <f t="shared" si="16"/>
        <v>0.69110479559826932</v>
      </c>
      <c r="H42" s="18">
        <f t="shared" si="20"/>
        <v>0.31</v>
      </c>
      <c r="I42" s="20">
        <f t="shared" si="19"/>
        <v>1709.472454545454</v>
      </c>
      <c r="K42" s="21">
        <f t="shared" si="17"/>
        <v>11.629464765960236</v>
      </c>
    </row>
    <row r="43" spans="1:14" x14ac:dyDescent="0.2">
      <c r="A43" s="15" t="s">
        <v>42</v>
      </c>
      <c r="C43" s="16">
        <f>+'Customer Counts'!I19</f>
        <v>5698.6840909090879</v>
      </c>
      <c r="D43" s="17">
        <f>+'Total Company Tonnage'!H20</f>
        <v>35.770000000000003</v>
      </c>
      <c r="E43" s="18">
        <f>+E21</f>
        <v>101.68809202150793</v>
      </c>
      <c r="F43" s="19">
        <f>+'Reg. MF - SS Mix &amp; Prices'!B66</f>
        <v>3637.3830516093399</v>
      </c>
      <c r="G43" s="18">
        <f t="shared" si="16"/>
        <v>0.63828473268274866</v>
      </c>
      <c r="H43" s="18">
        <f t="shared" si="20"/>
        <v>0.31</v>
      </c>
      <c r="I43" s="20">
        <f t="shared" si="19"/>
        <v>1766.5920681818172</v>
      </c>
      <c r="K43" s="21">
        <f t="shared" si="17"/>
        <v>12.553775373182253</v>
      </c>
    </row>
    <row r="44" spans="1:14" ht="15" x14ac:dyDescent="0.35">
      <c r="A44" s="15" t="s">
        <v>43</v>
      </c>
      <c r="C44" s="23">
        <f>+'Customer Counts'!I20</f>
        <v>5728.5431818181787</v>
      </c>
      <c r="D44" s="24">
        <f>+'Total Company Tonnage'!H21</f>
        <v>35.770000000000003</v>
      </c>
      <c r="E44" s="25">
        <f t="shared" si="18"/>
        <v>93.162296471075877</v>
      </c>
      <c r="F44" s="26">
        <f>+'Reg. MF - SS Mix &amp; Prices'!B67</f>
        <v>3332.4153447703843</v>
      </c>
      <c r="G44" s="25">
        <f t="shared" si="16"/>
        <v>0.58172125774440109</v>
      </c>
      <c r="H44" s="25">
        <f t="shared" si="20"/>
        <v>0.31</v>
      </c>
      <c r="I44" s="27">
        <f t="shared" si="19"/>
        <v>1775.8483863636354</v>
      </c>
      <c r="K44" s="28">
        <f t="shared" si="17"/>
        <v>12.488340879939734</v>
      </c>
      <c r="L44" s="29"/>
    </row>
    <row r="45" spans="1:14" ht="15" x14ac:dyDescent="0.35">
      <c r="A45" s="11" t="s">
        <v>44</v>
      </c>
      <c r="C45" s="30">
        <f>SUM(C33:C44)</f>
        <v>66956.22045454543</v>
      </c>
      <c r="D45" s="31">
        <f>SUM(D33:D44)</f>
        <v>444.45611194256639</v>
      </c>
      <c r="E45" s="32">
        <f>AVERAGE(E33:E44)</f>
        <v>89.202495064128087</v>
      </c>
      <c r="F45" s="33">
        <f>SUM(F33:F44)</f>
        <v>39170.396775465073</v>
      </c>
      <c r="G45" s="34">
        <f t="shared" si="16"/>
        <v>0.58501505176888946</v>
      </c>
      <c r="H45" s="34">
        <f>+I45/C45</f>
        <v>0.29032057378605286</v>
      </c>
      <c r="I45" s="33">
        <f>SUM(I33:I44)</f>
        <v>19438.768340909079</v>
      </c>
      <c r="K45" s="36">
        <f t="shared" si="17"/>
        <v>13.276021523475757</v>
      </c>
      <c r="L45" s="37"/>
      <c r="N45" s="17"/>
    </row>
    <row r="46" spans="1:14" x14ac:dyDescent="0.2">
      <c r="A46" s="15"/>
    </row>
    <row r="47" spans="1:14" ht="15" x14ac:dyDescent="0.35">
      <c r="A47" s="6"/>
      <c r="B47" s="15"/>
      <c r="F47" s="259"/>
    </row>
  </sheetData>
  <pageMargins left="0.45" right="0.45" top="0.5" bottom="0.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6"/>
  <sheetViews>
    <sheetView workbookViewId="0">
      <pane xSplit="2" ySplit="7" topLeftCell="C19" activePane="bottomRight" state="frozen"/>
      <selection pane="topRight" activeCell="C1" sqref="C1"/>
      <selection pane="bottomLeft" activeCell="A9" sqref="A9"/>
      <selection pane="bottomRight" activeCell="D47" sqref="D47"/>
    </sheetView>
  </sheetViews>
  <sheetFormatPr defaultRowHeight="12.75" x14ac:dyDescent="0.2"/>
  <cols>
    <col min="2" max="2" width="11.28515625" bestFit="1" customWidth="1"/>
    <col min="3" max="3" width="11.140625" customWidth="1"/>
    <col min="4" max="5" width="9.7109375" bestFit="1" customWidth="1"/>
    <col min="6" max="6" width="10.28515625" bestFit="1" customWidth="1"/>
    <col min="7" max="7" width="10.7109375" bestFit="1" customWidth="1"/>
    <col min="8" max="12" width="10.28515625" bestFit="1" customWidth="1"/>
  </cols>
  <sheetData>
    <row r="1" spans="1:26" ht="26.25" x14ac:dyDescent="0.4">
      <c r="A1" s="7" t="s">
        <v>18</v>
      </c>
    </row>
    <row r="2" spans="1:26" ht="18" x14ac:dyDescent="0.25">
      <c r="A2" s="5" t="s">
        <v>88</v>
      </c>
    </row>
    <row r="3" spans="1:26" x14ac:dyDescent="0.2">
      <c r="A3" s="6" t="s">
        <v>87</v>
      </c>
    </row>
    <row r="4" spans="1:26" x14ac:dyDescent="0.2"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26" x14ac:dyDescent="0.2">
      <c r="D5" s="40"/>
      <c r="E5" s="40"/>
      <c r="F5" s="40"/>
      <c r="G5" s="40"/>
      <c r="H5" s="40"/>
      <c r="I5" s="40"/>
      <c r="J5" s="40"/>
      <c r="K5" s="40"/>
      <c r="L5" s="40"/>
    </row>
    <row r="6" spans="1:26" x14ac:dyDescent="0.2">
      <c r="C6" s="2"/>
      <c r="D6" s="41" t="s">
        <v>46</v>
      </c>
      <c r="E6" s="41"/>
      <c r="F6" s="41" t="s">
        <v>1</v>
      </c>
      <c r="G6" s="41" t="s">
        <v>47</v>
      </c>
      <c r="H6" s="41"/>
      <c r="I6" s="41"/>
      <c r="J6" s="41" t="s">
        <v>2</v>
      </c>
      <c r="K6" s="41" t="s">
        <v>2</v>
      </c>
      <c r="L6" s="41" t="s">
        <v>48</v>
      </c>
    </row>
    <row r="7" spans="1:26" x14ac:dyDescent="0.2">
      <c r="B7" s="10" t="s">
        <v>22</v>
      </c>
      <c r="C7" s="10" t="s">
        <v>92</v>
      </c>
      <c r="D7" s="42" t="s">
        <v>49</v>
      </c>
      <c r="E7" s="42" t="s">
        <v>50</v>
      </c>
      <c r="F7" s="42" t="s">
        <v>51</v>
      </c>
      <c r="G7" s="42" t="s">
        <v>52</v>
      </c>
      <c r="H7" s="42" t="s">
        <v>4</v>
      </c>
      <c r="I7" s="42" t="s">
        <v>3</v>
      </c>
      <c r="J7" s="42" t="s">
        <v>53</v>
      </c>
      <c r="K7" s="42" t="s">
        <v>54</v>
      </c>
      <c r="L7" s="42" t="s">
        <v>55</v>
      </c>
      <c r="M7" s="59" t="s">
        <v>86</v>
      </c>
    </row>
    <row r="8" spans="1:26" x14ac:dyDescent="0.2">
      <c r="D8" s="42"/>
      <c r="E8" s="42"/>
      <c r="F8" s="42"/>
      <c r="G8" s="42"/>
      <c r="H8" s="42"/>
      <c r="I8" s="42"/>
      <c r="J8" s="42"/>
      <c r="K8" s="42"/>
      <c r="L8" s="42"/>
    </row>
    <row r="9" spans="1:26" x14ac:dyDescent="0.2">
      <c r="A9" s="12" t="s">
        <v>56</v>
      </c>
      <c r="D9" s="42"/>
      <c r="E9" s="42"/>
      <c r="F9" s="42"/>
      <c r="G9" s="42"/>
      <c r="H9" s="42"/>
      <c r="I9" s="42"/>
      <c r="J9" s="42"/>
      <c r="K9" s="42"/>
      <c r="L9" s="42"/>
    </row>
    <row r="10" spans="1:26" s="4" customFormat="1" x14ac:dyDescent="0.2">
      <c r="A10" s="4" t="s">
        <v>58</v>
      </c>
      <c r="B10" s="63">
        <f t="shared" ref="B10:B21" si="0">SUM(C10:M10)</f>
        <v>1</v>
      </c>
      <c r="C10" s="70">
        <f>+'Total Company Tonnage'!J10</f>
        <v>0</v>
      </c>
      <c r="D10" s="70">
        <f>+'Total Company Tonnage'!K10</f>
        <v>0.29095737882463113</v>
      </c>
      <c r="E10" s="70">
        <f>+'Total Company Tonnage'!L10</f>
        <v>0.3793155129021179</v>
      </c>
      <c r="F10" s="70">
        <f>+'Total Company Tonnage'!M10</f>
        <v>1.2655231338032362E-2</v>
      </c>
      <c r="G10" s="70">
        <f>+'Total Company Tonnage'!O10</f>
        <v>1.4725163547087829E-2</v>
      </c>
      <c r="H10" s="70">
        <f>+'Total Company Tonnage'!N10</f>
        <v>0.14185630861505319</v>
      </c>
      <c r="I10" s="70">
        <f>+'Total Company Tonnage'!P10</f>
        <v>1.8435800338790029E-2</v>
      </c>
      <c r="J10" s="70">
        <f>+'Total Company Tonnage'!Q10</f>
        <v>4.446501553962116E-3</v>
      </c>
      <c r="K10" s="70">
        <f>+'Total Company Tonnage'!R10</f>
        <v>6.1095268369759205E-3</v>
      </c>
      <c r="L10" s="70">
        <f>+'Total Company Tonnage'!S10</f>
        <v>2.5971998640716477E-3</v>
      </c>
      <c r="M10" s="70">
        <f t="shared" ref="M10:M21" si="1">1-SUM(C10:L10)</f>
        <v>0.12890137617927777</v>
      </c>
    </row>
    <row r="11" spans="1:26" s="4" customFormat="1" x14ac:dyDescent="0.2">
      <c r="A11" s="4" t="s">
        <v>35</v>
      </c>
      <c r="B11" s="63">
        <f t="shared" si="0"/>
        <v>1</v>
      </c>
      <c r="C11" s="70">
        <f>+'Total Company Tonnage'!J11</f>
        <v>0</v>
      </c>
      <c r="D11" s="70">
        <f>+'Total Company Tonnage'!K11</f>
        <v>0.15662451429535507</v>
      </c>
      <c r="E11" s="70">
        <f>+'Total Company Tonnage'!L11</f>
        <v>0.3966504908379252</v>
      </c>
      <c r="F11" s="70">
        <f>+'Total Company Tonnage'!M11</f>
        <v>1.8846545608997733E-2</v>
      </c>
      <c r="G11" s="70">
        <f>+'Total Company Tonnage'!O11</f>
        <v>1.7207677942724316E-2</v>
      </c>
      <c r="H11" s="70">
        <f>+'Total Company Tonnage'!N11</f>
        <v>0.17207839522563009</v>
      </c>
      <c r="I11" s="70">
        <f>+'Total Company Tonnage'!P11</f>
        <v>3.2370407738296275E-2</v>
      </c>
      <c r="J11" s="70">
        <f>+'Total Company Tonnage'!Q11</f>
        <v>1.0531244946312061E-3</v>
      </c>
      <c r="K11" s="70">
        <f>+'Total Company Tonnage'!R11</f>
        <v>5.6840416487255246E-3</v>
      </c>
      <c r="L11" s="70">
        <f>+'Total Company Tonnage'!S11</f>
        <v>2.4504061967333857E-3</v>
      </c>
      <c r="M11" s="70">
        <f t="shared" si="1"/>
        <v>0.19703439601098138</v>
      </c>
      <c r="Q11" s="70"/>
      <c r="R11" s="61"/>
      <c r="S11" s="62"/>
      <c r="T11" s="62"/>
      <c r="U11" s="62"/>
      <c r="V11" s="62"/>
      <c r="W11" s="62"/>
      <c r="X11" s="62"/>
      <c r="Y11" s="62"/>
      <c r="Z11" s="62"/>
    </row>
    <row r="12" spans="1:26" s="4" customFormat="1" x14ac:dyDescent="0.2">
      <c r="A12" s="4" t="s">
        <v>36</v>
      </c>
      <c r="B12" s="63">
        <f t="shared" si="0"/>
        <v>1</v>
      </c>
      <c r="C12" s="70">
        <f>+'Total Company Tonnage'!J12</f>
        <v>0</v>
      </c>
      <c r="D12" s="70">
        <f>+'Total Company Tonnage'!K12</f>
        <v>0.25890114022670857</v>
      </c>
      <c r="E12" s="70">
        <f>+'Total Company Tonnage'!L12</f>
        <v>0.26881946349916697</v>
      </c>
      <c r="F12" s="70">
        <f>+'Total Company Tonnage'!M12</f>
        <v>8.4376992613428778E-3</v>
      </c>
      <c r="G12" s="70">
        <f>+'Total Company Tonnage'!O12</f>
        <v>1.5022402394438871E-2</v>
      </c>
      <c r="H12" s="70">
        <f>+'Total Company Tonnage'!N12</f>
        <v>0.26311847314581116</v>
      </c>
      <c r="I12" s="70">
        <f>+'Total Company Tonnage'!P12</f>
        <v>2.3100770505722679E-2</v>
      </c>
      <c r="J12" s="70">
        <f>+'Total Company Tonnage'!Q12</f>
        <v>6.9293754050628754E-4</v>
      </c>
      <c r="K12" s="70">
        <f>+'Total Company Tonnage'!R12</f>
        <v>4.0175132269772325E-3</v>
      </c>
      <c r="L12" s="70">
        <f>+'Total Company Tonnage'!S12</f>
        <v>3.2245508148463866E-3</v>
      </c>
      <c r="M12" s="70">
        <f t="shared" si="1"/>
        <v>0.15466504938447911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s="4" customFormat="1" x14ac:dyDescent="0.2">
      <c r="A13" s="4" t="s">
        <v>37</v>
      </c>
      <c r="B13" s="63">
        <f t="shared" si="0"/>
        <v>1</v>
      </c>
      <c r="C13" s="70">
        <f>+'Total Company Tonnage'!J13</f>
        <v>0</v>
      </c>
      <c r="D13" s="70">
        <f>+'Total Company Tonnage'!K13</f>
        <v>0.22727342118888369</v>
      </c>
      <c r="E13" s="70">
        <f>+'Total Company Tonnage'!L13</f>
        <v>0.28312710215132281</v>
      </c>
      <c r="F13" s="70">
        <f>+'Total Company Tonnage'!M13</f>
        <v>1.1567130674126076E-2</v>
      </c>
      <c r="G13" s="70">
        <f>+'Total Company Tonnage'!O13</f>
        <v>4.1691898111569847E-3</v>
      </c>
      <c r="H13" s="70">
        <f>+'Total Company Tonnage'!N13</f>
        <v>0.28781835248478044</v>
      </c>
      <c r="I13" s="70">
        <f>+'Total Company Tonnage'!P13</f>
        <v>1.3161373358688911E-2</v>
      </c>
      <c r="J13" s="70">
        <f>+'Total Company Tonnage'!Q13</f>
        <v>6.5704867690248841E-3</v>
      </c>
      <c r="K13" s="70">
        <f>+'Total Company Tonnage'!R13</f>
        <v>1.3775131572444817E-3</v>
      </c>
      <c r="L13" s="70">
        <f>+'Total Company Tonnage'!S13</f>
        <v>4.2833382894184695E-3</v>
      </c>
      <c r="M13" s="70">
        <f t="shared" si="1"/>
        <v>0.16065209211535325</v>
      </c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x14ac:dyDescent="0.2">
      <c r="A14" s="4" t="s">
        <v>45</v>
      </c>
      <c r="B14" s="63">
        <f t="shared" si="0"/>
        <v>1</v>
      </c>
      <c r="C14" s="70">
        <f>+'Total Company Tonnage'!J14</f>
        <v>0</v>
      </c>
      <c r="D14" s="70">
        <f>+'Total Company Tonnage'!K14</f>
        <v>0.3108522229436349</v>
      </c>
      <c r="E14" s="70">
        <f>+'Total Company Tonnage'!L14</f>
        <v>0.27230173218791809</v>
      </c>
      <c r="F14" s="70">
        <f>+'Total Company Tonnage'!M14</f>
        <v>1.3993983076742407E-2</v>
      </c>
      <c r="G14" s="70">
        <f>+'Total Company Tonnage'!O14</f>
        <v>2.9690329066502669E-3</v>
      </c>
      <c r="H14" s="70">
        <f>+'Total Company Tonnage'!N14</f>
        <v>0.22717777431991823</v>
      </c>
      <c r="I14" s="70">
        <f>+'Total Company Tonnage'!P14</f>
        <v>2.9012723280005551E-2</v>
      </c>
      <c r="J14" s="70">
        <f>+'Total Company Tonnage'!Q14</f>
        <v>4.2485882297051466E-3</v>
      </c>
      <c r="K14" s="70">
        <f>+'Total Company Tonnage'!R14</f>
        <v>3.1193214155103605E-3</v>
      </c>
      <c r="L14" s="70">
        <f>+'Total Company Tonnage'!S14</f>
        <v>1.620967573067024E-3</v>
      </c>
      <c r="M14" s="70">
        <f t="shared" si="1"/>
        <v>0.13470365406684781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x14ac:dyDescent="0.2">
      <c r="A15" s="4" t="s">
        <v>38</v>
      </c>
      <c r="B15" s="63">
        <f t="shared" si="0"/>
        <v>1</v>
      </c>
      <c r="C15" s="70">
        <f>+'Total Company Tonnage'!J15</f>
        <v>0</v>
      </c>
      <c r="D15" s="70">
        <f>+'Total Company Tonnage'!K15</f>
        <v>0.33786259020063059</v>
      </c>
      <c r="E15" s="70">
        <f>+'Total Company Tonnage'!L15</f>
        <v>0.20226605790196261</v>
      </c>
      <c r="F15" s="70">
        <f>+'Total Company Tonnage'!M15</f>
        <v>1.6508690189646617E-2</v>
      </c>
      <c r="G15" s="70">
        <f>+'Total Company Tonnage'!O15</f>
        <v>1.5999593815230029E-2</v>
      </c>
      <c r="H15" s="70">
        <f>+'Total Company Tonnage'!N15</f>
        <v>0.23333069690828254</v>
      </c>
      <c r="I15" s="70">
        <f>+'Total Company Tonnage'!P15</f>
        <v>3.1820166952459192E-2</v>
      </c>
      <c r="J15" s="70">
        <f>+'Total Company Tonnage'!Q15</f>
        <v>5.5010930375520651E-3</v>
      </c>
      <c r="K15" s="70">
        <f>+'Total Company Tonnage'!R15</f>
        <v>6.9403383753782449E-3</v>
      </c>
      <c r="L15" s="70">
        <f>+'Total Company Tonnage'!S15</f>
        <v>0</v>
      </c>
      <c r="M15" s="70">
        <f t="shared" si="1"/>
        <v>0.14977077261885818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x14ac:dyDescent="0.2">
      <c r="A16" s="4" t="s">
        <v>39</v>
      </c>
      <c r="B16" s="63">
        <f t="shared" si="0"/>
        <v>1</v>
      </c>
      <c r="C16" s="70">
        <f>+'Total Company Tonnage'!J16</f>
        <v>0</v>
      </c>
      <c r="D16" s="70">
        <f>+'Total Company Tonnage'!K16</f>
        <v>0.25073140984988146</v>
      </c>
      <c r="E16" s="70">
        <f>+'Total Company Tonnage'!L16</f>
        <v>0.22165879056887627</v>
      </c>
      <c r="F16" s="70">
        <f>+'Total Company Tonnage'!M16</f>
        <v>1.7833065860047015E-2</v>
      </c>
      <c r="G16" s="70">
        <f>+'Total Company Tonnage'!O16</f>
        <v>1.5127902066238569E-2</v>
      </c>
      <c r="H16" s="70">
        <f>+'Total Company Tonnage'!N16</f>
        <v>0.1602034450948448</v>
      </c>
      <c r="I16" s="70">
        <f>+'Total Company Tonnage'!P16</f>
        <v>3.645063354440941E-2</v>
      </c>
      <c r="J16" s="70">
        <f>+'Total Company Tonnage'!Q16</f>
        <v>5.2073105797535504E-3</v>
      </c>
      <c r="K16" s="70">
        <f>+'Total Company Tonnage'!R16</f>
        <v>8.5703878505887787E-3</v>
      </c>
      <c r="L16" s="70">
        <f>+'Total Company Tonnage'!S16</f>
        <v>0</v>
      </c>
      <c r="M16" s="70">
        <f t="shared" si="1"/>
        <v>0.28421705458536017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x14ac:dyDescent="0.2">
      <c r="A17" s="4" t="s">
        <v>40</v>
      </c>
      <c r="B17" s="63">
        <f t="shared" si="0"/>
        <v>1</v>
      </c>
      <c r="C17" s="70">
        <f>+'Total Company Tonnage'!J17</f>
        <v>0</v>
      </c>
      <c r="D17" s="70">
        <f>+'Total Company Tonnage'!K17</f>
        <v>0.15396344773270537</v>
      </c>
      <c r="E17" s="70">
        <f>+'Total Company Tonnage'!L17</f>
        <v>0.23160987491537</v>
      </c>
      <c r="F17" s="70">
        <f>+'Total Company Tonnage'!M17</f>
        <v>1.8978834109396252E-2</v>
      </c>
      <c r="G17" s="70">
        <f>+'Total Company Tonnage'!O17</f>
        <v>1.909430595499164E-2</v>
      </c>
      <c r="H17" s="70">
        <f>+'Total Company Tonnage'!N17</f>
        <v>0.15805727008765991</v>
      </c>
      <c r="I17" s="70">
        <f>+'Total Company Tonnage'!P17</f>
        <v>3.3855950353028026E-2</v>
      </c>
      <c r="J17" s="70">
        <f>+'Total Company Tonnage'!Q17</f>
        <v>5.0254926305275975E-3</v>
      </c>
      <c r="K17" s="70">
        <f>+'Total Company Tonnage'!R17</f>
        <v>8.3958888075212623E-3</v>
      </c>
      <c r="L17" s="70">
        <f>+'Total Company Tonnage'!S17</f>
        <v>0</v>
      </c>
      <c r="M17" s="70">
        <f t="shared" si="1"/>
        <v>0.37101893540879993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x14ac:dyDescent="0.2">
      <c r="A18" s="4" t="s">
        <v>10</v>
      </c>
      <c r="B18" s="63">
        <f t="shared" si="0"/>
        <v>1</v>
      </c>
      <c r="C18" s="70">
        <f>+'Total Company Tonnage'!J18</f>
        <v>0</v>
      </c>
      <c r="D18" s="70">
        <f>+'Total Company Tonnage'!K18</f>
        <v>0.15671472845221274</v>
      </c>
      <c r="E18" s="70">
        <f>+'Total Company Tonnage'!L18</f>
        <v>0.22207530894074115</v>
      </c>
      <c r="F18" s="70">
        <f>+'Total Company Tonnage'!M18</f>
        <v>1.8301274795275529E-2</v>
      </c>
      <c r="G18" s="70">
        <f>+'Total Company Tonnage'!O18</f>
        <v>1.579832785579903E-2</v>
      </c>
      <c r="H18" s="70">
        <f>+'Total Company Tonnage'!N18</f>
        <v>0.15069399448863768</v>
      </c>
      <c r="I18" s="70">
        <f>+'Total Company Tonnage'!P18</f>
        <v>4.1378152834916748E-2</v>
      </c>
      <c r="J18" s="70">
        <f>+'Total Company Tonnage'!Q18</f>
        <v>5.4762332258643702E-3</v>
      </c>
      <c r="K18" s="70">
        <f>+'Total Company Tonnage'!R18</f>
        <v>1.1440370338566265E-2</v>
      </c>
      <c r="L18" s="70">
        <f>+'Total Company Tonnage'!S18</f>
        <v>0</v>
      </c>
      <c r="M18" s="70">
        <f t="shared" si="1"/>
        <v>0.37812160906798653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x14ac:dyDescent="0.2">
      <c r="A19" s="4" t="s">
        <v>41</v>
      </c>
      <c r="B19" s="63">
        <f t="shared" si="0"/>
        <v>1</v>
      </c>
      <c r="C19" s="70">
        <f>+'Total Company Tonnage'!J19</f>
        <v>0</v>
      </c>
      <c r="D19" s="70">
        <f>+'Total Company Tonnage'!K19</f>
        <v>0.21392375358392546</v>
      </c>
      <c r="E19" s="70">
        <f>+'Total Company Tonnage'!L19</f>
        <v>0.28918270236109245</v>
      </c>
      <c r="F19" s="70">
        <f>+'Total Company Tonnage'!M19</f>
        <v>1.7648944920235877E-2</v>
      </c>
      <c r="G19" s="70">
        <f>+'Total Company Tonnage'!O19</f>
        <v>1.4221852535118986E-2</v>
      </c>
      <c r="H19" s="70">
        <f>+'Total Company Tonnage'!N19</f>
        <v>0.15736743541963874</v>
      </c>
      <c r="I19" s="70">
        <f>+'Total Company Tonnage'!P19</f>
        <v>3.1608247326867941E-2</v>
      </c>
      <c r="J19" s="70">
        <f>+'Total Company Tonnage'!Q19</f>
        <v>5.1487706613010413E-3</v>
      </c>
      <c r="K19" s="70">
        <f>+'Total Company Tonnage'!R19</f>
        <v>8.8151786502599951E-3</v>
      </c>
      <c r="L19" s="70">
        <f>+'Total Company Tonnage'!S19</f>
        <v>0</v>
      </c>
      <c r="M19" s="70">
        <f t="shared" si="1"/>
        <v>0.26208311454155953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x14ac:dyDescent="0.2">
      <c r="A20" s="4" t="s">
        <v>42</v>
      </c>
      <c r="B20" s="63">
        <f t="shared" si="0"/>
        <v>1</v>
      </c>
      <c r="C20" s="70">
        <f>+'Total Company Tonnage'!J20</f>
        <v>0</v>
      </c>
      <c r="D20" s="70">
        <f>+'Total Company Tonnage'!K20</f>
        <v>0.12015604212916675</v>
      </c>
      <c r="E20" s="70">
        <f>+'Total Company Tonnage'!L20</f>
        <v>0.2641466565908101</v>
      </c>
      <c r="F20" s="70">
        <f>+'Total Company Tonnage'!M20</f>
        <v>1.7057367592407776E-2</v>
      </c>
      <c r="G20" s="70">
        <f>+'Total Company Tonnage'!O20</f>
        <v>1.5150973694402291E-2</v>
      </c>
      <c r="H20" s="70">
        <f>+'Total Company Tonnage'!N20</f>
        <v>0.16113351643035759</v>
      </c>
      <c r="I20" s="70">
        <f>+'Total Company Tonnage'!P20</f>
        <v>3.8355659723099886E-2</v>
      </c>
      <c r="J20" s="70">
        <f>+'Total Company Tonnage'!Q20</f>
        <v>4.7648225931617239E-3</v>
      </c>
      <c r="K20" s="70">
        <f>+'Total Company Tonnage'!R20</f>
        <v>8.4569790269360644E-3</v>
      </c>
      <c r="L20" s="70">
        <f>+'Total Company Tonnage'!S20</f>
        <v>0</v>
      </c>
      <c r="M20" s="70">
        <f t="shared" si="1"/>
        <v>0.37077798221965785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x14ac:dyDescent="0.2">
      <c r="A21" s="4" t="s">
        <v>43</v>
      </c>
      <c r="B21" s="63">
        <f t="shared" si="0"/>
        <v>1</v>
      </c>
      <c r="C21" s="70">
        <f>+'Total Company Tonnage'!J21</f>
        <v>0</v>
      </c>
      <c r="D21" s="70">
        <f>+'Total Company Tonnage'!K21</f>
        <v>0.24113840781504006</v>
      </c>
      <c r="E21" s="70">
        <f>+'Total Company Tonnage'!L21</f>
        <v>0.20711141091753346</v>
      </c>
      <c r="F21" s="70">
        <f>+'Total Company Tonnage'!M21</f>
        <v>1.5121679932520336E-2</v>
      </c>
      <c r="G21" s="70">
        <f>+'Total Company Tonnage'!O21</f>
        <v>1.4477205778343076E-2</v>
      </c>
      <c r="H21" s="70">
        <f>+'Total Company Tonnage'!N21</f>
        <v>0.15776264813181834</v>
      </c>
      <c r="I21" s="70">
        <f>+'Total Company Tonnage'!P21</f>
        <v>3.5996121351164589E-2</v>
      </c>
      <c r="J21" s="70">
        <f>+'Total Company Tonnage'!Q21</f>
        <v>4.8986227932734739E-3</v>
      </c>
      <c r="K21" s="70">
        <f>+'Total Company Tonnage'!R21</f>
        <v>9.3115437018494798E-3</v>
      </c>
      <c r="L21" s="70">
        <f>+'Total Company Tonnage'!S21</f>
        <v>0</v>
      </c>
      <c r="M21" s="70">
        <f t="shared" si="1"/>
        <v>0.31418235957845719</v>
      </c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x14ac:dyDescent="0.2">
      <c r="C22" s="4"/>
    </row>
    <row r="24" spans="1:26" x14ac:dyDescent="0.2">
      <c r="A24" s="12" t="s">
        <v>59</v>
      </c>
    </row>
    <row r="25" spans="1:26" x14ac:dyDescent="0.2">
      <c r="A25" s="4" t="s">
        <v>58</v>
      </c>
      <c r="B25" s="17">
        <f>+'Calculation of Revenue'!D11</f>
        <v>701.90877977096295</v>
      </c>
      <c r="C25" s="21">
        <f t="shared" ref="C25:M25" si="2">+$B25*C10</f>
        <v>0</v>
      </c>
      <c r="D25" s="21">
        <f t="shared" si="2"/>
        <v>204.22553873615465</v>
      </c>
      <c r="E25" s="21">
        <f t="shared" si="2"/>
        <v>266.2448888093225</v>
      </c>
      <c r="F25" s="21">
        <f t="shared" si="2"/>
        <v>8.882817986197546</v>
      </c>
      <c r="G25" s="21">
        <f t="shared" si="2"/>
        <v>10.335721577264282</v>
      </c>
      <c r="H25" s="21">
        <f t="shared" si="2"/>
        <v>99.570188482805122</v>
      </c>
      <c r="I25" s="21">
        <f t="shared" si="2"/>
        <v>12.940250119901215</v>
      </c>
      <c r="J25" s="21">
        <f t="shared" si="2"/>
        <v>3.1210384799912396</v>
      </c>
      <c r="K25" s="21">
        <f t="shared" si="2"/>
        <v>4.2883305271197196</v>
      </c>
      <c r="L25" s="21">
        <f t="shared" si="2"/>
        <v>1.822997387411841</v>
      </c>
      <c r="M25" s="21">
        <f t="shared" si="2"/>
        <v>90.477007664794726</v>
      </c>
      <c r="O25" s="17"/>
      <c r="P25" s="17"/>
    </row>
    <row r="26" spans="1:26" x14ac:dyDescent="0.2">
      <c r="A26" s="4" t="s">
        <v>35</v>
      </c>
      <c r="B26" s="17">
        <f>+'Calculation of Revenue'!D12</f>
        <v>750.57054090114605</v>
      </c>
      <c r="C26" s="21">
        <f t="shared" ref="C26:M26" si="3">+$B26*C11</f>
        <v>0</v>
      </c>
      <c r="D26" s="21">
        <f t="shared" si="3"/>
        <v>117.55774641304393</v>
      </c>
      <c r="E26" s="21">
        <f t="shared" si="3"/>
        <v>297.71417345692657</v>
      </c>
      <c r="F26" s="21">
        <f t="shared" si="3"/>
        <v>14.145661931863549</v>
      </c>
      <c r="G26" s="21">
        <f t="shared" si="3"/>
        <v>12.91557614112331</v>
      </c>
      <c r="H26" s="21">
        <f t="shared" si="3"/>
        <v>129.15697418190237</v>
      </c>
      <c r="I26" s="21">
        <f t="shared" si="3"/>
        <v>24.296274445323679</v>
      </c>
      <c r="J26" s="21">
        <f t="shared" si="3"/>
        <v>0.79044422157159044</v>
      </c>
      <c r="K26" s="21">
        <f t="shared" si="3"/>
        <v>4.2662742147885586</v>
      </c>
      <c r="L26" s="21">
        <f t="shared" si="3"/>
        <v>1.8392027045096975</v>
      </c>
      <c r="M26" s="21">
        <f t="shared" si="3"/>
        <v>147.8882131900929</v>
      </c>
      <c r="O26" s="17"/>
      <c r="P26" s="17"/>
    </row>
    <row r="27" spans="1:26" x14ac:dyDescent="0.2">
      <c r="A27" s="4" t="s">
        <v>36</v>
      </c>
      <c r="B27" s="17">
        <f>+'Calculation of Revenue'!D13</f>
        <v>857.59218843052997</v>
      </c>
      <c r="C27" s="21">
        <f t="shared" ref="C27:M27" si="4">+$B27*C12</f>
        <v>0</v>
      </c>
      <c r="D27" s="21">
        <f t="shared" si="4"/>
        <v>222.03159543418252</v>
      </c>
      <c r="E27" s="21">
        <f t="shared" si="4"/>
        <v>230.53747199497158</v>
      </c>
      <c r="F27" s="21">
        <f t="shared" si="4"/>
        <v>7.2361049748537045</v>
      </c>
      <c r="G27" s="21">
        <f t="shared" si="4"/>
        <v>12.883094944930866</v>
      </c>
      <c r="H27" s="21">
        <f t="shared" si="4"/>
        <v>225.64834720161582</v>
      </c>
      <c r="I27" s="21">
        <f t="shared" si="4"/>
        <v>19.811040332434153</v>
      </c>
      <c r="J27" s="21">
        <f t="shared" si="4"/>
        <v>0.5942578218084561</v>
      </c>
      <c r="K27" s="21">
        <f t="shared" si="4"/>
        <v>3.4453879603720052</v>
      </c>
      <c r="L27" s="21">
        <f t="shared" si="4"/>
        <v>2.7653495900095613</v>
      </c>
      <c r="M27" s="21">
        <f t="shared" si="4"/>
        <v>132.63953817535145</v>
      </c>
      <c r="O27" s="17"/>
      <c r="P27" s="17"/>
      <c r="R27" s="17"/>
      <c r="T27" s="69"/>
    </row>
    <row r="28" spans="1:26" x14ac:dyDescent="0.2">
      <c r="A28" s="4" t="s">
        <v>37</v>
      </c>
      <c r="B28" s="17">
        <f>+'Calculation of Revenue'!D14</f>
        <v>834.39219401804701</v>
      </c>
      <c r="C28" s="21">
        <f t="shared" ref="C28:M28" si="5">+$B28*C13</f>
        <v>0</v>
      </c>
      <c r="D28" s="21">
        <f t="shared" si="5"/>
        <v>189.63516854778035</v>
      </c>
      <c r="E28" s="21">
        <f t="shared" si="5"/>
        <v>236.23904395001395</v>
      </c>
      <c r="F28" s="21">
        <f t="shared" si="5"/>
        <v>9.6515235416775074</v>
      </c>
      <c r="G28" s="21">
        <f t="shared" si="5"/>
        <v>3.4787394338089634</v>
      </c>
      <c r="H28" s="21">
        <f t="shared" si="5"/>
        <v>240.15338660843557</v>
      </c>
      <c r="I28" s="21">
        <f t="shared" si="5"/>
        <v>10.981747193047113</v>
      </c>
      <c r="J28" s="21">
        <f t="shared" si="5"/>
        <v>5.4823628709732217</v>
      </c>
      <c r="K28" s="21">
        <f t="shared" si="5"/>
        <v>1.14938622556195</v>
      </c>
      <c r="L28" s="21">
        <f t="shared" si="5"/>
        <v>3.5739840330293853</v>
      </c>
      <c r="M28" s="21">
        <f t="shared" si="5"/>
        <v>134.04685161371899</v>
      </c>
      <c r="O28" s="17"/>
      <c r="P28" s="17"/>
      <c r="R28" s="17"/>
      <c r="T28" s="69"/>
    </row>
    <row r="29" spans="1:26" x14ac:dyDescent="0.2">
      <c r="A29" s="4" t="s">
        <v>45</v>
      </c>
      <c r="B29" s="17">
        <f>+'Calculation of Revenue'!D15</f>
        <v>901.06316033382495</v>
      </c>
      <c r="C29" s="21">
        <f t="shared" ref="C29:M29" si="6">+$B29*C14</f>
        <v>0</v>
      </c>
      <c r="D29" s="21">
        <f t="shared" si="6"/>
        <v>280.09748640238638</v>
      </c>
      <c r="E29" s="21">
        <f t="shared" si="6"/>
        <v>245.36105936962031</v>
      </c>
      <c r="F29" s="21">
        <f t="shared" si="6"/>
        <v>12.609462616787576</v>
      </c>
      <c r="G29" s="21">
        <f t="shared" si="6"/>
        <v>2.6752861740014118</v>
      </c>
      <c r="H29" s="21">
        <f t="shared" si="6"/>
        <v>204.70152328630999</v>
      </c>
      <c r="I29" s="21">
        <f t="shared" si="6"/>
        <v>26.142296128572536</v>
      </c>
      <c r="J29" s="21">
        <f t="shared" si="6"/>
        <v>3.82824633721521</v>
      </c>
      <c r="K29" s="21">
        <f t="shared" si="6"/>
        <v>2.8107056127567458</v>
      </c>
      <c r="L29" s="21">
        <f t="shared" si="6"/>
        <v>1.4605941641864231</v>
      </c>
      <c r="M29" s="21">
        <f t="shared" si="6"/>
        <v>121.37650024198818</v>
      </c>
      <c r="O29" s="17"/>
      <c r="P29" s="17"/>
      <c r="R29" s="17"/>
      <c r="T29" s="69"/>
    </row>
    <row r="30" spans="1:26" x14ac:dyDescent="0.2">
      <c r="A30" s="4" t="s">
        <v>38</v>
      </c>
      <c r="B30" s="17">
        <f>+'Calculation of Revenue'!D16</f>
        <v>784.00391855246096</v>
      </c>
      <c r="C30" s="21">
        <f t="shared" ref="C30:M30" si="7">+$B30*C15</f>
        <v>0</v>
      </c>
      <c r="D30" s="21">
        <f t="shared" si="7"/>
        <v>264.88559464957865</v>
      </c>
      <c r="E30" s="21">
        <f t="shared" si="7"/>
        <v>158.57738198529765</v>
      </c>
      <c r="F30" s="21">
        <f t="shared" si="7"/>
        <v>12.942877798851518</v>
      </c>
      <c r="G30" s="21">
        <f t="shared" si="7"/>
        <v>12.543744246388062</v>
      </c>
      <c r="H30" s="21">
        <f t="shared" si="7"/>
        <v>182.93218069467011</v>
      </c>
      <c r="I30" s="21">
        <f t="shared" si="7"/>
        <v>24.947135579721525</v>
      </c>
      <c r="J30" s="21">
        <f t="shared" si="7"/>
        <v>4.3128784977624797</v>
      </c>
      <c r="K30" s="21">
        <f t="shared" si="7"/>
        <v>5.4412524823765649</v>
      </c>
      <c r="L30" s="21">
        <f t="shared" si="7"/>
        <v>0</v>
      </c>
      <c r="M30" s="21">
        <f t="shared" si="7"/>
        <v>117.42087261781444</v>
      </c>
      <c r="O30" s="17"/>
      <c r="P30" s="17"/>
      <c r="R30" s="17"/>
      <c r="T30" s="69"/>
    </row>
    <row r="31" spans="1:26" x14ac:dyDescent="0.2">
      <c r="A31" s="4" t="s">
        <v>39</v>
      </c>
      <c r="B31" s="17">
        <f>+'Calculation of Revenue'!D17</f>
        <v>853.32846670855599</v>
      </c>
      <c r="C31" s="21">
        <f t="shared" ref="C31:M31" si="8">+$B31*C16</f>
        <v>0</v>
      </c>
      <c r="D31" s="21">
        <f t="shared" si="8"/>
        <v>213.95624952287389</v>
      </c>
      <c r="E31" s="21">
        <f t="shared" si="8"/>
        <v>189.14775588861212</v>
      </c>
      <c r="F31" s="21">
        <f t="shared" si="8"/>
        <v>15.217462747066616</v>
      </c>
      <c r="G31" s="21">
        <f t="shared" si="8"/>
        <v>12.909069474700553</v>
      </c>
      <c r="H31" s="21">
        <f t="shared" si="8"/>
        <v>136.70616016421224</v>
      </c>
      <c r="I31" s="21">
        <f t="shared" si="8"/>
        <v>31.104363233006339</v>
      </c>
      <c r="J31" s="21">
        <f t="shared" si="8"/>
        <v>4.4435463526963392</v>
      </c>
      <c r="K31" s="21">
        <f t="shared" si="8"/>
        <v>7.3133559236405592</v>
      </c>
      <c r="L31" s="21">
        <f t="shared" si="8"/>
        <v>0</v>
      </c>
      <c r="M31" s="21">
        <f t="shared" si="8"/>
        <v>242.53050340174735</v>
      </c>
      <c r="O31" s="17"/>
      <c r="P31" s="17"/>
      <c r="R31" s="17"/>
      <c r="T31" s="69"/>
    </row>
    <row r="32" spans="1:26" x14ac:dyDescent="0.2">
      <c r="A32" s="4" t="s">
        <v>40</v>
      </c>
      <c r="B32" s="17">
        <f>+'Calculation of Revenue'!D18</f>
        <v>842.57978180836801</v>
      </c>
      <c r="C32" s="21">
        <f t="shared" ref="C32:M32" si="9">+$B32*C17</f>
        <v>0</v>
      </c>
      <c r="D32" s="21">
        <f t="shared" si="9"/>
        <v>129.72648819708695</v>
      </c>
      <c r="E32" s="21">
        <f t="shared" si="9"/>
        <v>195.14979787085585</v>
      </c>
      <c r="F32" s="21">
        <f t="shared" si="9"/>
        <v>15.991181902872308</v>
      </c>
      <c r="G32" s="21">
        <f t="shared" si="9"/>
        <v>16.088476145339079</v>
      </c>
      <c r="H32" s="21">
        <f t="shared" si="9"/>
        <v>133.17586014368678</v>
      </c>
      <c r="I32" s="21">
        <f t="shared" si="9"/>
        <v>28.526339261369294</v>
      </c>
      <c r="J32" s="21">
        <f t="shared" si="9"/>
        <v>4.2343784841095049</v>
      </c>
      <c r="K32" s="21">
        <f t="shared" si="9"/>
        <v>7.0742061595285843</v>
      </c>
      <c r="L32" s="21">
        <f t="shared" si="9"/>
        <v>0</v>
      </c>
      <c r="M32" s="21">
        <f t="shared" si="9"/>
        <v>312.61305364351961</v>
      </c>
      <c r="O32" s="17"/>
      <c r="P32" s="17"/>
      <c r="R32" s="17"/>
      <c r="T32" s="69"/>
    </row>
    <row r="33" spans="1:20" x14ac:dyDescent="0.2">
      <c r="A33" s="4" t="s">
        <v>10</v>
      </c>
      <c r="B33" s="17">
        <f>+'Calculation of Revenue'!D19</f>
        <v>890.28820581554703</v>
      </c>
      <c r="C33" s="21">
        <f t="shared" ref="C33:M33" si="10">+$B33*C18</f>
        <v>0</v>
      </c>
      <c r="D33" s="21">
        <f t="shared" si="10"/>
        <v>139.52127441859113</v>
      </c>
      <c r="E33" s="21">
        <f t="shared" si="10"/>
        <v>197.71102835278575</v>
      </c>
      <c r="F33" s="21">
        <f t="shared" si="10"/>
        <v>16.293409101623144</v>
      </c>
      <c r="G33" s="21">
        <f t="shared" si="10"/>
        <v>14.065064961625096</v>
      </c>
      <c r="H33" s="21">
        <f t="shared" si="10"/>
        <v>134.16108598046716</v>
      </c>
      <c r="I33" s="21">
        <f t="shared" si="10"/>
        <v>36.83848144735952</v>
      </c>
      <c r="J33" s="21">
        <f t="shared" si="10"/>
        <v>4.8754258532822758</v>
      </c>
      <c r="K33" s="21">
        <f t="shared" si="10"/>
        <v>10.185226782587563</v>
      </c>
      <c r="L33" s="21">
        <f t="shared" si="10"/>
        <v>0</v>
      </c>
      <c r="M33" s="21">
        <f t="shared" si="10"/>
        <v>336.63720891722539</v>
      </c>
      <c r="O33" s="17"/>
      <c r="P33" s="17"/>
      <c r="R33" s="17"/>
      <c r="T33" s="69"/>
    </row>
    <row r="34" spans="1:20" x14ac:dyDescent="0.2">
      <c r="A34" s="4" t="s">
        <v>41</v>
      </c>
      <c r="B34" s="17">
        <f>+'Calculation of Revenue'!D20</f>
        <v>776.15400228935198</v>
      </c>
      <c r="C34" s="21">
        <f t="shared" ref="C34:M34" si="11">+$B34*C19</f>
        <v>0</v>
      </c>
      <c r="D34" s="21">
        <f t="shared" si="11"/>
        <v>166.03777752892483</v>
      </c>
      <c r="E34" s="21">
        <f t="shared" si="11"/>
        <v>224.45031183041235</v>
      </c>
      <c r="F34" s="21">
        <f t="shared" si="11"/>
        <v>13.698299236025404</v>
      </c>
      <c r="G34" s="21">
        <f t="shared" si="11"/>
        <v>11.038347765101568</v>
      </c>
      <c r="H34" s="21">
        <f t="shared" si="11"/>
        <v>122.14136483096374</v>
      </c>
      <c r="I34" s="21">
        <f t="shared" si="11"/>
        <v>24.532867668100263</v>
      </c>
      <c r="J34" s="21">
        <f t="shared" si="11"/>
        <v>3.9962389556387965</v>
      </c>
      <c r="K34" s="21">
        <f t="shared" si="11"/>
        <v>6.8419361902949429</v>
      </c>
      <c r="L34" s="21">
        <f t="shared" si="11"/>
        <v>0</v>
      </c>
      <c r="M34" s="21">
        <f t="shared" si="11"/>
        <v>203.41685828389009</v>
      </c>
      <c r="O34" s="17"/>
      <c r="P34" s="17"/>
      <c r="R34" s="17"/>
      <c r="T34" s="69"/>
    </row>
    <row r="35" spans="1:20" x14ac:dyDescent="0.2">
      <c r="A35" s="4" t="s">
        <v>42</v>
      </c>
      <c r="B35" s="17">
        <f>+'Calculation of Revenue'!D21</f>
        <v>864.66</v>
      </c>
      <c r="C35" s="344">
        <f t="shared" ref="C35:M35" si="12">+$B35*C20</f>
        <v>0</v>
      </c>
      <c r="D35" s="344">
        <f t="shared" si="12"/>
        <v>103.89412338740532</v>
      </c>
      <c r="E35" s="344">
        <f t="shared" si="12"/>
        <v>228.39704808780985</v>
      </c>
      <c r="F35" s="344">
        <f t="shared" si="12"/>
        <v>14.748823462451307</v>
      </c>
      <c r="G35" s="344">
        <f t="shared" si="12"/>
        <v>13.100440914601885</v>
      </c>
      <c r="H35" s="344">
        <f t="shared" si="12"/>
        <v>139.32570631667298</v>
      </c>
      <c r="I35" s="344">
        <f t="shared" si="12"/>
        <v>33.164604736175548</v>
      </c>
      <c r="J35" s="344">
        <f t="shared" si="12"/>
        <v>4.1199515034032164</v>
      </c>
      <c r="K35" s="344">
        <f t="shared" si="12"/>
        <v>7.3124114854305375</v>
      </c>
      <c r="L35" s="344">
        <f t="shared" si="12"/>
        <v>0</v>
      </c>
      <c r="M35" s="344">
        <f t="shared" si="12"/>
        <v>320.59689010604933</v>
      </c>
      <c r="O35" s="17"/>
      <c r="P35" s="17"/>
      <c r="R35" s="17"/>
      <c r="T35" s="69"/>
    </row>
    <row r="36" spans="1:20" ht="15" x14ac:dyDescent="0.35">
      <c r="A36" s="4" t="s">
        <v>43</v>
      </c>
      <c r="B36" s="24">
        <f>+'Calculation of Revenue'!D22</f>
        <v>864.66</v>
      </c>
      <c r="C36" s="28">
        <f t="shared" ref="C36:M36" si="13">+$B36*C21</f>
        <v>0</v>
      </c>
      <c r="D36" s="28">
        <f t="shared" si="13"/>
        <v>208.50273570135252</v>
      </c>
      <c r="E36" s="28">
        <f t="shared" si="13"/>
        <v>179.08095256395447</v>
      </c>
      <c r="F36" s="28">
        <f t="shared" si="13"/>
        <v>13.075111770453033</v>
      </c>
      <c r="G36" s="28">
        <f t="shared" si="13"/>
        <v>12.517860748302123</v>
      </c>
      <c r="H36" s="28">
        <f t="shared" si="13"/>
        <v>136.41105133365804</v>
      </c>
      <c r="I36" s="28">
        <f t="shared" si="13"/>
        <v>31.124406287497973</v>
      </c>
      <c r="J36" s="28">
        <f t="shared" si="13"/>
        <v>4.2356431844318418</v>
      </c>
      <c r="K36" s="28">
        <f t="shared" si="13"/>
        <v>8.0513193772411711</v>
      </c>
      <c r="L36" s="28">
        <f t="shared" si="13"/>
        <v>0</v>
      </c>
      <c r="M36" s="28">
        <f t="shared" si="13"/>
        <v>271.66091903310877</v>
      </c>
      <c r="O36" s="17"/>
      <c r="P36" s="17"/>
      <c r="R36" s="17"/>
      <c r="T36" s="69"/>
    </row>
    <row r="37" spans="1:20" ht="15" x14ac:dyDescent="0.35">
      <c r="B37" s="31">
        <f>SUM(B25:B36)</f>
        <v>9921.201238628797</v>
      </c>
      <c r="C37" s="31">
        <f>SUM(C25:C36)</f>
        <v>0</v>
      </c>
      <c r="D37" s="31">
        <f t="shared" ref="D37:L37" si="14">SUM(D25:D36)</f>
        <v>2240.0717789393607</v>
      </c>
      <c r="E37" s="31">
        <f t="shared" si="14"/>
        <v>2648.6109141605825</v>
      </c>
      <c r="F37" s="31">
        <f t="shared" si="14"/>
        <v>154.49273707072319</v>
      </c>
      <c r="G37" s="31">
        <f t="shared" si="14"/>
        <v>134.55142252718721</v>
      </c>
      <c r="H37" s="31">
        <f t="shared" si="14"/>
        <v>1884.0838292253998</v>
      </c>
      <c r="I37" s="31">
        <f t="shared" si="14"/>
        <v>304.40980643250913</v>
      </c>
      <c r="J37" s="31">
        <f t="shared" si="14"/>
        <v>44.034412562884178</v>
      </c>
      <c r="K37" s="31">
        <f t="shared" si="14"/>
        <v>68.179792941698906</v>
      </c>
      <c r="L37" s="31">
        <f t="shared" si="14"/>
        <v>11.462127879146907</v>
      </c>
      <c r="M37" s="31">
        <f t="shared" ref="M37" si="15">SUM(M25:M36)</f>
        <v>2431.3044168893011</v>
      </c>
    </row>
    <row r="38" spans="1:20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40" spans="1:20" x14ac:dyDescent="0.2">
      <c r="A40" s="12" t="s">
        <v>57</v>
      </c>
    </row>
    <row r="41" spans="1:20" x14ac:dyDescent="0.2">
      <c r="A41" s="4" t="s">
        <v>58</v>
      </c>
      <c r="C41" s="38">
        <f>+'Commodity Prices - JMK'!B9</f>
        <v>0</v>
      </c>
      <c r="D41" s="38">
        <f>+'Commodity Prices - JMK'!C9</f>
        <v>54.06</v>
      </c>
      <c r="E41" s="38">
        <f>+'Commodity Prices - JMK'!D9</f>
        <v>125.53</v>
      </c>
      <c r="F41" s="38">
        <f>+'Commodity Prices - JMK'!E9</f>
        <v>1378.94</v>
      </c>
      <c r="G41" s="38">
        <f>+'Commodity Prices - JMK'!G9</f>
        <v>197.6</v>
      </c>
      <c r="H41" s="38">
        <f>+'Commodity Prices - JMK'!F9</f>
        <v>-21.56</v>
      </c>
      <c r="I41" s="38">
        <f>+'Commodity Prices - JMK'!H9</f>
        <v>63</v>
      </c>
      <c r="J41" s="38">
        <f>+'Commodity Prices - JMK'!I9</f>
        <v>446.86</v>
      </c>
      <c r="K41" s="38">
        <f>+'Commodity Prices - JMK'!J9</f>
        <v>100</v>
      </c>
      <c r="L41" s="38">
        <f>+'Commodity Prices - JMK'!K9</f>
        <v>-187.5</v>
      </c>
    </row>
    <row r="42" spans="1:20" x14ac:dyDescent="0.2">
      <c r="A42" s="4" t="s">
        <v>35</v>
      </c>
      <c r="C42" s="38">
        <f>+'Commodity Prices - JMK'!B10</f>
        <v>0</v>
      </c>
      <c r="D42" s="38">
        <f>+'Commodity Prices - JMK'!C10</f>
        <v>54.12</v>
      </c>
      <c r="E42" s="38">
        <f>+'Commodity Prices - JMK'!D10</f>
        <v>139.84</v>
      </c>
      <c r="F42" s="38">
        <f>+'Commodity Prices - JMK'!E10</f>
        <v>1356.05</v>
      </c>
      <c r="G42" s="38">
        <f>+'Commodity Prices - JMK'!G10</f>
        <v>186.08</v>
      </c>
      <c r="H42" s="38">
        <f>+'Commodity Prices - JMK'!F10</f>
        <v>-26.39</v>
      </c>
      <c r="I42" s="38">
        <f>+'Commodity Prices - JMK'!H10</f>
        <v>100</v>
      </c>
      <c r="J42" s="38">
        <f>+'Commodity Prices - JMK'!I10</f>
        <v>520</v>
      </c>
      <c r="K42" s="38">
        <f>+'Commodity Prices - JMK'!J10</f>
        <v>100</v>
      </c>
      <c r="L42" s="38">
        <f>+'Commodity Prices - JMK'!K10</f>
        <v>-187.5</v>
      </c>
    </row>
    <row r="43" spans="1:20" x14ac:dyDescent="0.2">
      <c r="A43" s="4" t="s">
        <v>36</v>
      </c>
      <c r="C43" s="38">
        <f>+'Commodity Prices - JMK'!B11</f>
        <v>0</v>
      </c>
      <c r="D43" s="38">
        <f>+'Commodity Prices - JMK'!C11</f>
        <v>56.75</v>
      </c>
      <c r="E43" s="38">
        <f>+'Commodity Prices - JMK'!D11</f>
        <v>140.37</v>
      </c>
      <c r="F43" s="38">
        <f>+'Commodity Prices - JMK'!E11</f>
        <v>1360.06</v>
      </c>
      <c r="G43" s="38">
        <f>+'Commodity Prices - JMK'!G11</f>
        <v>201.66</v>
      </c>
      <c r="H43" s="38">
        <f>+'Commodity Prices - JMK'!F11</f>
        <v>-22.45</v>
      </c>
      <c r="I43" s="38">
        <f>+'Commodity Prices - JMK'!H11</f>
        <v>120</v>
      </c>
      <c r="J43" s="38">
        <f>+'Commodity Prices - JMK'!I11</f>
        <v>540</v>
      </c>
      <c r="K43" s="38">
        <f>+'Commodity Prices - JMK'!J11</f>
        <v>300</v>
      </c>
      <c r="L43" s="38">
        <f>+'Commodity Prices - JMK'!K11</f>
        <v>-187.5</v>
      </c>
      <c r="M43" s="67"/>
    </row>
    <row r="44" spans="1:20" x14ac:dyDescent="0.2">
      <c r="A44" s="4" t="s">
        <v>37</v>
      </c>
      <c r="C44" s="38">
        <f>+'Commodity Prices - JMK'!B12</f>
        <v>0</v>
      </c>
      <c r="D44" s="38">
        <f>+'Commodity Prices - JMK'!C12</f>
        <v>56.86</v>
      </c>
      <c r="E44" s="38">
        <f>+'Commodity Prices - JMK'!D12</f>
        <v>148.05000000000001</v>
      </c>
      <c r="F44" s="38">
        <f>+'Commodity Prices - JMK'!E12</f>
        <v>1417.34</v>
      </c>
      <c r="G44" s="38">
        <f>+'Commodity Prices - JMK'!G12</f>
        <v>219.28</v>
      </c>
      <c r="H44" s="38">
        <f>+'Commodity Prices - JMK'!F12</f>
        <v>-27.75</v>
      </c>
      <c r="I44" s="38">
        <f>+'Commodity Prices - JMK'!H12</f>
        <v>126.47</v>
      </c>
      <c r="J44" s="38">
        <f>+'Commodity Prices - JMK'!I12</f>
        <v>553.85</v>
      </c>
      <c r="K44" s="38">
        <f>+'Commodity Prices - JMK'!J12</f>
        <v>320</v>
      </c>
      <c r="L44" s="38">
        <f>+'Commodity Prices - JMK'!K12</f>
        <v>-187.5</v>
      </c>
      <c r="M44" s="22"/>
    </row>
    <row r="45" spans="1:20" x14ac:dyDescent="0.2">
      <c r="A45" s="4" t="s">
        <v>45</v>
      </c>
      <c r="C45" s="38">
        <f>+'Commodity Prices - JMK'!B13</f>
        <v>127.91</v>
      </c>
      <c r="D45" s="38">
        <f>+'Commodity Prices - JMK'!C13</f>
        <v>85.78</v>
      </c>
      <c r="E45" s="38">
        <f>+'Commodity Prices - JMK'!D13</f>
        <v>150.01</v>
      </c>
      <c r="F45" s="38">
        <f>+'Commodity Prices - JMK'!E13</f>
        <v>1355.04</v>
      </c>
      <c r="G45" s="38">
        <f>+'Commodity Prices - JMK'!G13</f>
        <v>225.48</v>
      </c>
      <c r="H45" s="38">
        <f>+'Commodity Prices - JMK'!F13</f>
        <v>-26.7</v>
      </c>
      <c r="I45" s="38">
        <f>+'Commodity Prices - JMK'!H13</f>
        <v>150</v>
      </c>
      <c r="J45" s="38">
        <f>+'Commodity Prices - JMK'!I13</f>
        <v>619.78</v>
      </c>
      <c r="K45" s="38">
        <f>+'Commodity Prices - JMK'!J13</f>
        <v>340</v>
      </c>
      <c r="L45" s="38">
        <f>+'Commodity Prices - JMK'!K13</f>
        <v>-187.5</v>
      </c>
      <c r="M45" s="22"/>
    </row>
    <row r="46" spans="1:20" x14ac:dyDescent="0.2">
      <c r="A46" s="4" t="s">
        <v>38</v>
      </c>
      <c r="C46" s="38">
        <f>+'Commodity Prices - JMK'!B14</f>
        <v>0</v>
      </c>
      <c r="D46" s="38">
        <f>+'Commodity Prices - JMK'!C14</f>
        <v>66.48</v>
      </c>
      <c r="E46" s="38">
        <f>+'Commodity Prices - JMK'!D14</f>
        <v>157.72999999999999</v>
      </c>
      <c r="F46" s="38">
        <f>+'Commodity Prices - JMK'!E14</f>
        <v>1319.47</v>
      </c>
      <c r="G46" s="38">
        <f>+'Commodity Prices - JMK'!G14</f>
        <v>220.58</v>
      </c>
      <c r="H46" s="38">
        <f>+'Commodity Prices - JMK'!F14</f>
        <v>-28.95</v>
      </c>
      <c r="I46" s="38">
        <f>+'Commodity Prices - JMK'!H14</f>
        <v>150</v>
      </c>
      <c r="J46" s="38">
        <f>+'Commodity Prices - JMK'!I14</f>
        <v>543.30999999999995</v>
      </c>
      <c r="K46" s="38">
        <f>+'Commodity Prices - JMK'!J14</f>
        <v>340</v>
      </c>
      <c r="L46" s="38">
        <f>+'Commodity Prices - JMK'!K14</f>
        <v>-187.5</v>
      </c>
      <c r="M46" s="18"/>
    </row>
    <row r="47" spans="1:20" x14ac:dyDescent="0.2">
      <c r="A47" s="4" t="s">
        <v>39</v>
      </c>
      <c r="C47" s="38">
        <f>+'Commodity Prices - JMK'!B15</f>
        <v>0</v>
      </c>
      <c r="D47" s="38">
        <f>+'Commodity Prices - JMK'!C15</f>
        <v>67.63</v>
      </c>
      <c r="E47" s="38">
        <f>+'Commodity Prices - JMK'!D15</f>
        <v>175.48</v>
      </c>
      <c r="F47" s="38">
        <f>+'Commodity Prices - JMK'!E15</f>
        <v>1325.07</v>
      </c>
      <c r="G47" s="38">
        <f>+'Commodity Prices - JMK'!G15</f>
        <v>194.68</v>
      </c>
      <c r="H47" s="38">
        <f>+'Commodity Prices - JMK'!F15</f>
        <v>-28.49</v>
      </c>
      <c r="I47" s="38">
        <f>+'Commodity Prices - JMK'!H15</f>
        <v>150</v>
      </c>
      <c r="J47" s="38">
        <f>+'Commodity Prices - JMK'!I15</f>
        <v>560</v>
      </c>
      <c r="K47" s="38">
        <f>+'Commodity Prices - JMK'!J15</f>
        <v>340</v>
      </c>
      <c r="L47" s="38">
        <f>+'Commodity Prices - JMK'!K15</f>
        <v>-187.5</v>
      </c>
      <c r="M47" s="18"/>
    </row>
    <row r="48" spans="1:20" x14ac:dyDescent="0.2">
      <c r="A48" s="4" t="s">
        <v>40</v>
      </c>
      <c r="C48" s="38">
        <f>+'Commodity Prices - JMK'!B16</f>
        <v>0</v>
      </c>
      <c r="D48" s="38">
        <f>+'Commodity Prices - JMK'!C16</f>
        <v>81.92</v>
      </c>
      <c r="E48" s="38">
        <f>+'Commodity Prices - JMK'!D16</f>
        <v>150.25</v>
      </c>
      <c r="F48" s="38">
        <f>+'Commodity Prices - JMK'!E16</f>
        <v>1538.59</v>
      </c>
      <c r="G48" s="38">
        <f>+'Commodity Prices - JMK'!G16</f>
        <v>193.42</v>
      </c>
      <c r="H48" s="38">
        <f>+'Commodity Prices - JMK'!F16</f>
        <v>-27.25</v>
      </c>
      <c r="I48" s="38">
        <f>+'Commodity Prices - JMK'!H16</f>
        <v>171.08</v>
      </c>
      <c r="J48" s="38">
        <f>+'Commodity Prices - JMK'!I16</f>
        <v>560</v>
      </c>
      <c r="K48" s="38">
        <f>+'Commodity Prices - JMK'!J16</f>
        <v>340</v>
      </c>
      <c r="L48" s="38">
        <f>+'Commodity Prices - JMK'!K16</f>
        <v>-187.5</v>
      </c>
      <c r="M48" s="18"/>
    </row>
    <row r="49" spans="1:13" x14ac:dyDescent="0.2">
      <c r="A49" s="4" t="s">
        <v>10</v>
      </c>
      <c r="C49" s="38">
        <f>+'Commodity Prices - JMK'!B17</f>
        <v>0</v>
      </c>
      <c r="D49" s="38">
        <f>+'Commodity Prices - JMK'!C17</f>
        <v>91.75</v>
      </c>
      <c r="E49" s="38">
        <f>+'Commodity Prices - JMK'!D17</f>
        <v>180.01</v>
      </c>
      <c r="F49" s="38">
        <f>+'Commodity Prices - JMK'!E17</f>
        <v>1579.12</v>
      </c>
      <c r="G49" s="38">
        <f>+'Commodity Prices - JMK'!G17</f>
        <v>198</v>
      </c>
      <c r="H49" s="38">
        <f>+'Commodity Prices - JMK'!F17</f>
        <v>-26.1</v>
      </c>
      <c r="I49" s="38">
        <f>+'Commodity Prices - JMK'!H17</f>
        <v>210</v>
      </c>
      <c r="J49" s="38">
        <f>+'Commodity Prices - JMK'!I17</f>
        <v>600</v>
      </c>
      <c r="K49" s="38">
        <f>+'Commodity Prices - JMK'!J17</f>
        <v>346.65</v>
      </c>
      <c r="L49" s="38">
        <f>+'Commodity Prices - JMK'!K17</f>
        <v>-187.5</v>
      </c>
      <c r="M49" s="18"/>
    </row>
    <row r="50" spans="1:13" x14ac:dyDescent="0.2">
      <c r="A50" s="4" t="s">
        <v>41</v>
      </c>
      <c r="C50" s="38">
        <f>+'Commodity Prices - JMK'!B18</f>
        <v>0</v>
      </c>
      <c r="D50" s="38">
        <f>+'Commodity Prices - JMK'!C18</f>
        <v>105.54</v>
      </c>
      <c r="E50" s="38">
        <f>+'Commodity Prices - JMK'!D18</f>
        <v>192.39</v>
      </c>
      <c r="F50" s="38">
        <f>+'Commodity Prices - JMK'!E18</f>
        <v>1589.98</v>
      </c>
      <c r="G50" s="38">
        <f>+'Commodity Prices - JMK'!G18</f>
        <v>186.28</v>
      </c>
      <c r="H50" s="38">
        <f>+'Commodity Prices - JMK'!F18</f>
        <v>-22.01</v>
      </c>
      <c r="I50" s="38">
        <f>+'Commodity Prices - JMK'!H18</f>
        <v>229.79</v>
      </c>
      <c r="J50" s="38">
        <f>+'Commodity Prices - JMK'!I18</f>
        <v>600</v>
      </c>
      <c r="K50" s="38">
        <f>+'Commodity Prices - JMK'!J18</f>
        <v>344.99</v>
      </c>
      <c r="L50" s="38">
        <f>+'Commodity Prices - JMK'!K18</f>
        <v>-187.5</v>
      </c>
      <c r="M50" s="18"/>
    </row>
    <row r="51" spans="1:13" x14ac:dyDescent="0.2">
      <c r="A51" s="4" t="s">
        <v>42</v>
      </c>
      <c r="C51" s="38">
        <f>+'Commodity Prices - JMK'!B19</f>
        <v>0</v>
      </c>
      <c r="D51" s="38">
        <f>+'Commodity Prices - JMK'!C19</f>
        <v>101.15</v>
      </c>
      <c r="E51" s="38">
        <f>+'Commodity Prices - JMK'!D19</f>
        <v>187.68</v>
      </c>
      <c r="F51" s="38">
        <f>+'Commodity Prices - JMK'!E19</f>
        <v>1540.01</v>
      </c>
      <c r="G51" s="38">
        <f>+'Commodity Prices - JMK'!G19</f>
        <v>221.74</v>
      </c>
      <c r="H51" s="38">
        <f>+'Commodity Prices - JMK'!F19</f>
        <v>-28.06</v>
      </c>
      <c r="I51" s="38">
        <f>+'Commodity Prices - JMK'!H19</f>
        <v>231.89</v>
      </c>
      <c r="J51" s="38">
        <f>+'Commodity Prices - JMK'!I19</f>
        <v>860</v>
      </c>
      <c r="K51" s="38">
        <f>+'Commodity Prices - JMK'!J19</f>
        <v>220</v>
      </c>
      <c r="L51" s="38">
        <f>+'Commodity Prices - JMK'!K19</f>
        <v>-187.5</v>
      </c>
    </row>
    <row r="52" spans="1:13" x14ac:dyDescent="0.2">
      <c r="A52" s="4" t="s">
        <v>43</v>
      </c>
      <c r="C52" s="38">
        <f>+'Commodity Prices - JMK'!B20</f>
        <v>0</v>
      </c>
      <c r="D52" s="38">
        <f>+'Commodity Prices - JMK'!C20</f>
        <v>102.96</v>
      </c>
      <c r="E52" s="38">
        <f>+'Commodity Prices - JMK'!D20</f>
        <v>149.78</v>
      </c>
      <c r="F52" s="38">
        <f>+'Commodity Prices - JMK'!E20</f>
        <v>1535.08</v>
      </c>
      <c r="G52" s="38">
        <f>+'Commodity Prices - JMK'!G20</f>
        <v>230</v>
      </c>
      <c r="H52" s="38">
        <f>+'Commodity Prices - JMK'!F20</f>
        <v>-23.97</v>
      </c>
      <c r="I52" s="38">
        <f>+'Commodity Prices - JMK'!H20</f>
        <v>260</v>
      </c>
      <c r="J52" s="38">
        <f>+'Commodity Prices - JMK'!I20</f>
        <v>680</v>
      </c>
      <c r="K52" s="38">
        <f>+'Commodity Prices - JMK'!J20</f>
        <v>200</v>
      </c>
      <c r="L52" s="38">
        <f>+'Commodity Prices - JMK'!K20</f>
        <v>-187.5</v>
      </c>
    </row>
    <row r="55" spans="1:13" x14ac:dyDescent="0.2">
      <c r="A55" s="12" t="s">
        <v>60</v>
      </c>
    </row>
    <row r="56" spans="1:13" x14ac:dyDescent="0.2">
      <c r="A56" s="4" t="s">
        <v>58</v>
      </c>
      <c r="B56" s="20">
        <f t="shared" ref="B56:B67" si="16">SUM(C56:L56)</f>
        <v>58903.555925471068</v>
      </c>
      <c r="C56" s="20">
        <f t="shared" ref="C56:L56" si="17">+C41*C25</f>
        <v>0</v>
      </c>
      <c r="D56" s="20">
        <f t="shared" si="17"/>
        <v>11040.43262407652</v>
      </c>
      <c r="E56" s="20">
        <f t="shared" si="17"/>
        <v>33421.720892234254</v>
      </c>
      <c r="F56" s="20">
        <f t="shared" si="17"/>
        <v>12248.873033887245</v>
      </c>
      <c r="G56" s="20">
        <f t="shared" si="17"/>
        <v>2042.338583667422</v>
      </c>
      <c r="H56" s="20">
        <f t="shared" si="17"/>
        <v>-2146.7332636892784</v>
      </c>
      <c r="I56" s="20">
        <f t="shared" si="17"/>
        <v>815.23575755377658</v>
      </c>
      <c r="J56" s="20">
        <f t="shared" si="17"/>
        <v>1394.6672551688853</v>
      </c>
      <c r="K56" s="20">
        <f t="shared" si="17"/>
        <v>428.83305271197196</v>
      </c>
      <c r="L56" s="20">
        <f t="shared" si="17"/>
        <v>-341.8120101397202</v>
      </c>
    </row>
    <row r="57" spans="1:13" x14ac:dyDescent="0.2">
      <c r="A57" s="4" t="s">
        <v>35</v>
      </c>
      <c r="B57" s="20">
        <f t="shared" si="16"/>
        <v>69094.113328606822</v>
      </c>
      <c r="C57" s="20">
        <f t="shared" ref="C57:L57" si="18">+C42*C26</f>
        <v>0</v>
      </c>
      <c r="D57" s="20">
        <f t="shared" si="18"/>
        <v>6362.225235873937</v>
      </c>
      <c r="E57" s="20">
        <f t="shared" si="18"/>
        <v>41632.350016216616</v>
      </c>
      <c r="F57" s="20">
        <f t="shared" si="18"/>
        <v>19182.224862703566</v>
      </c>
      <c r="G57" s="20">
        <f t="shared" si="18"/>
        <v>2403.3304083402259</v>
      </c>
      <c r="H57" s="20">
        <f t="shared" si="18"/>
        <v>-3408.4525486604034</v>
      </c>
      <c r="I57" s="20">
        <f t="shared" si="18"/>
        <v>2429.6274445323679</v>
      </c>
      <c r="J57" s="20">
        <f t="shared" si="18"/>
        <v>411.03099521722703</v>
      </c>
      <c r="K57" s="20">
        <f t="shared" si="18"/>
        <v>426.62742147885587</v>
      </c>
      <c r="L57" s="20">
        <f t="shared" si="18"/>
        <v>-344.85050709556828</v>
      </c>
    </row>
    <row r="58" spans="1:13" x14ac:dyDescent="0.2">
      <c r="A58" s="4" t="s">
        <v>36</v>
      </c>
      <c r="B58" s="20">
        <f t="shared" si="16"/>
        <v>55547.911852495505</v>
      </c>
      <c r="C58" s="20">
        <f t="shared" ref="C58:L58" si="19">+C43*C27</f>
        <v>0</v>
      </c>
      <c r="D58" s="20">
        <f t="shared" si="19"/>
        <v>12600.293040889857</v>
      </c>
      <c r="E58" s="20">
        <f t="shared" si="19"/>
        <v>32360.544943934161</v>
      </c>
      <c r="F58" s="20">
        <f t="shared" si="19"/>
        <v>9841.5369320995287</v>
      </c>
      <c r="G58" s="20">
        <f t="shared" si="19"/>
        <v>2598.0049265947582</v>
      </c>
      <c r="H58" s="20">
        <f t="shared" si="19"/>
        <v>-5065.8053946762748</v>
      </c>
      <c r="I58" s="20">
        <f t="shared" si="19"/>
        <v>2377.3248398920982</v>
      </c>
      <c r="J58" s="20">
        <f t="shared" si="19"/>
        <v>320.89922377656632</v>
      </c>
      <c r="K58" s="20">
        <f t="shared" si="19"/>
        <v>1033.6163881116015</v>
      </c>
      <c r="L58" s="20">
        <f t="shared" si="19"/>
        <v>-518.50304812679269</v>
      </c>
    </row>
    <row r="59" spans="1:13" x14ac:dyDescent="0.2">
      <c r="A59" s="4" t="s">
        <v>37</v>
      </c>
      <c r="B59" s="20">
        <f t="shared" si="16"/>
        <v>57658.847851229097</v>
      </c>
      <c r="C59" s="20">
        <f t="shared" ref="C59:L59" si="20">+C44*C28</f>
        <v>0</v>
      </c>
      <c r="D59" s="20">
        <f t="shared" si="20"/>
        <v>10782.65568362679</v>
      </c>
      <c r="E59" s="20">
        <f t="shared" si="20"/>
        <v>34975.190456799566</v>
      </c>
      <c r="F59" s="20">
        <f t="shared" si="20"/>
        <v>13679.490376561198</v>
      </c>
      <c r="G59" s="20">
        <f t="shared" si="20"/>
        <v>762.81798304562949</v>
      </c>
      <c r="H59" s="20">
        <f t="shared" si="20"/>
        <v>-6664.2564783840871</v>
      </c>
      <c r="I59" s="20">
        <f t="shared" si="20"/>
        <v>1388.8615675046683</v>
      </c>
      <c r="J59" s="20">
        <f t="shared" si="20"/>
        <v>3036.4066760885189</v>
      </c>
      <c r="K59" s="20">
        <f t="shared" si="20"/>
        <v>367.80359217982402</v>
      </c>
      <c r="L59" s="20">
        <f t="shared" si="20"/>
        <v>-670.12200619300972</v>
      </c>
    </row>
    <row r="60" spans="1:13" x14ac:dyDescent="0.2">
      <c r="A60" s="4" t="s">
        <v>45</v>
      </c>
      <c r="B60" s="20">
        <f t="shared" si="16"/>
        <v>80033.187415372115</v>
      </c>
      <c r="C60" s="20">
        <f t="shared" ref="C60:L60" si="21">+C45*C29</f>
        <v>0</v>
      </c>
      <c r="D60" s="20">
        <f t="shared" si="21"/>
        <v>24026.762383596702</v>
      </c>
      <c r="E60" s="20">
        <f t="shared" si="21"/>
        <v>36806.612516036737</v>
      </c>
      <c r="F60" s="20">
        <f t="shared" si="21"/>
        <v>17086.326224251836</v>
      </c>
      <c r="G60" s="20">
        <f t="shared" si="21"/>
        <v>603.22352651383835</v>
      </c>
      <c r="H60" s="20">
        <f t="shared" si="21"/>
        <v>-5465.5306717444764</v>
      </c>
      <c r="I60" s="20">
        <f t="shared" si="21"/>
        <v>3921.3444192858806</v>
      </c>
      <c r="J60" s="20">
        <f t="shared" si="21"/>
        <v>2372.6705148792425</v>
      </c>
      <c r="K60" s="20">
        <f t="shared" si="21"/>
        <v>955.6399083372936</v>
      </c>
      <c r="L60" s="20">
        <f t="shared" si="21"/>
        <v>-273.86140578495434</v>
      </c>
    </row>
    <row r="61" spans="1:13" x14ac:dyDescent="0.2">
      <c r="A61" s="4" t="s">
        <v>38</v>
      </c>
      <c r="B61" s="20">
        <f t="shared" si="16"/>
        <v>65106.082434438766</v>
      </c>
      <c r="C61" s="20">
        <f t="shared" ref="C61:L61" si="22">+C46*C30</f>
        <v>0</v>
      </c>
      <c r="D61" s="20">
        <f t="shared" si="22"/>
        <v>17609.59433230399</v>
      </c>
      <c r="E61" s="20">
        <f t="shared" si="22"/>
        <v>25012.410460540996</v>
      </c>
      <c r="F61" s="20">
        <f t="shared" si="22"/>
        <v>17077.738969250611</v>
      </c>
      <c r="G61" s="20">
        <f t="shared" si="22"/>
        <v>2766.8991058682791</v>
      </c>
      <c r="H61" s="20">
        <f t="shared" si="22"/>
        <v>-5295.8866311106995</v>
      </c>
      <c r="I61" s="20">
        <f t="shared" si="22"/>
        <v>3742.0703369582288</v>
      </c>
      <c r="J61" s="20">
        <f t="shared" si="22"/>
        <v>2343.2300166193327</v>
      </c>
      <c r="K61" s="20">
        <f t="shared" si="22"/>
        <v>1850.025844008032</v>
      </c>
      <c r="L61" s="20">
        <f t="shared" si="22"/>
        <v>0</v>
      </c>
    </row>
    <row r="62" spans="1:13" x14ac:dyDescent="0.2">
      <c r="A62" s="4" t="s">
        <v>39</v>
      </c>
      <c r="B62" s="20">
        <f t="shared" si="16"/>
        <v>76084.673319576163</v>
      </c>
      <c r="C62" s="20">
        <f t="shared" ref="C62:L62" si="23">+C47*C31</f>
        <v>0</v>
      </c>
      <c r="D62" s="20">
        <f t="shared" si="23"/>
        <v>14469.86115523196</v>
      </c>
      <c r="E62" s="20">
        <f t="shared" si="23"/>
        <v>33191.648203333651</v>
      </c>
      <c r="F62" s="20">
        <f t="shared" si="23"/>
        <v>20164.203362255561</v>
      </c>
      <c r="G62" s="20">
        <f t="shared" si="23"/>
        <v>2513.1376453347038</v>
      </c>
      <c r="H62" s="20">
        <f t="shared" si="23"/>
        <v>-3894.7585030784062</v>
      </c>
      <c r="I62" s="20">
        <f t="shared" si="23"/>
        <v>4665.654484950951</v>
      </c>
      <c r="J62" s="20">
        <f t="shared" si="23"/>
        <v>2488.38595750995</v>
      </c>
      <c r="K62" s="20">
        <f t="shared" si="23"/>
        <v>2486.5410140377903</v>
      </c>
      <c r="L62" s="20">
        <f t="shared" si="23"/>
        <v>0</v>
      </c>
    </row>
    <row r="63" spans="1:13" x14ac:dyDescent="0.2">
      <c r="A63" s="4" t="s">
        <v>40</v>
      </c>
      <c r="B63" s="20">
        <f t="shared" si="16"/>
        <v>73691.882640433876</v>
      </c>
      <c r="C63" s="20">
        <f t="shared" ref="C63:L63" si="24">+C48*C32</f>
        <v>0</v>
      </c>
      <c r="D63" s="20">
        <f t="shared" si="24"/>
        <v>10627.193913105364</v>
      </c>
      <c r="E63" s="20">
        <f t="shared" si="24"/>
        <v>29321.257130096092</v>
      </c>
      <c r="F63" s="20">
        <f t="shared" si="24"/>
        <v>24603.872563940302</v>
      </c>
      <c r="G63" s="20">
        <f t="shared" si="24"/>
        <v>3111.8330560314844</v>
      </c>
      <c r="H63" s="20">
        <f t="shared" si="24"/>
        <v>-3629.0421889154645</v>
      </c>
      <c r="I63" s="20">
        <f t="shared" si="24"/>
        <v>4880.2861208350596</v>
      </c>
      <c r="J63" s="20">
        <f t="shared" si="24"/>
        <v>2371.2519511013229</v>
      </c>
      <c r="K63" s="20">
        <f t="shared" si="24"/>
        <v>2405.2300942397187</v>
      </c>
      <c r="L63" s="20">
        <f t="shared" si="24"/>
        <v>0</v>
      </c>
    </row>
    <row r="64" spans="1:13" x14ac:dyDescent="0.2">
      <c r="A64" s="4" t="s">
        <v>10</v>
      </c>
      <c r="B64" s="20">
        <f t="shared" si="16"/>
        <v>87595.611320656244</v>
      </c>
      <c r="C64" s="20">
        <f t="shared" ref="C64:L64" si="25">+C49*C33</f>
        <v>0</v>
      </c>
      <c r="D64" s="20">
        <f t="shared" si="25"/>
        <v>12801.076927905737</v>
      </c>
      <c r="E64" s="20">
        <f t="shared" si="25"/>
        <v>35589.962213784958</v>
      </c>
      <c r="F64" s="20">
        <f t="shared" si="25"/>
        <v>25729.248180555136</v>
      </c>
      <c r="G64" s="20">
        <f t="shared" si="25"/>
        <v>2784.8828624017688</v>
      </c>
      <c r="H64" s="20">
        <f t="shared" si="25"/>
        <v>-3501.6043440901931</v>
      </c>
      <c r="I64" s="20">
        <f t="shared" si="25"/>
        <v>7736.0811039454993</v>
      </c>
      <c r="J64" s="20">
        <f t="shared" si="25"/>
        <v>2925.2555119693657</v>
      </c>
      <c r="K64" s="20">
        <f t="shared" si="25"/>
        <v>3530.7088641839782</v>
      </c>
      <c r="L64" s="20">
        <f t="shared" si="25"/>
        <v>0</v>
      </c>
    </row>
    <row r="65" spans="1:13" x14ac:dyDescent="0.2">
      <c r="A65" s="4" t="s">
        <v>41</v>
      </c>
      <c r="B65" s="20">
        <f t="shared" si="16"/>
        <v>92249.086935630898</v>
      </c>
      <c r="C65" s="20">
        <f t="shared" ref="C65:L65" si="26">+C50*C34</f>
        <v>0</v>
      </c>
      <c r="D65" s="20">
        <f t="shared" si="26"/>
        <v>17523.627040402727</v>
      </c>
      <c r="E65" s="20">
        <f t="shared" si="26"/>
        <v>43181.995493053029</v>
      </c>
      <c r="F65" s="20">
        <f t="shared" si="26"/>
        <v>21780.021819295671</v>
      </c>
      <c r="G65" s="20">
        <f t="shared" si="26"/>
        <v>2056.2234216831203</v>
      </c>
      <c r="H65" s="20">
        <f t="shared" si="26"/>
        <v>-2688.3314399295123</v>
      </c>
      <c r="I65" s="20">
        <f t="shared" si="26"/>
        <v>5637.4076614527594</v>
      </c>
      <c r="J65" s="20">
        <f t="shared" si="26"/>
        <v>2397.7433733832777</v>
      </c>
      <c r="K65" s="20">
        <f t="shared" si="26"/>
        <v>2360.3995662898524</v>
      </c>
      <c r="L65" s="20">
        <f t="shared" si="26"/>
        <v>0</v>
      </c>
    </row>
    <row r="66" spans="1:13" x14ac:dyDescent="0.2">
      <c r="A66" s="4" t="s">
        <v>42</v>
      </c>
      <c r="B66" s="20">
        <f t="shared" si="16"/>
        <v>87925.625647317036</v>
      </c>
      <c r="C66" s="20">
        <f t="shared" ref="C66:L66" si="27">+C51*C35</f>
        <v>0</v>
      </c>
      <c r="D66" s="20">
        <f t="shared" si="27"/>
        <v>10508.890580636049</v>
      </c>
      <c r="E66" s="20">
        <f t="shared" si="27"/>
        <v>42865.557985120155</v>
      </c>
      <c r="F66" s="20">
        <f t="shared" si="27"/>
        <v>22713.335620409638</v>
      </c>
      <c r="G66" s="20">
        <f t="shared" si="27"/>
        <v>2904.891768403822</v>
      </c>
      <c r="H66" s="20">
        <f t="shared" si="27"/>
        <v>-3909.4793192458437</v>
      </c>
      <c r="I66" s="20">
        <f t="shared" si="27"/>
        <v>7690.5401922717474</v>
      </c>
      <c r="J66" s="20">
        <f t="shared" si="27"/>
        <v>3543.1582929267661</v>
      </c>
      <c r="K66" s="20">
        <f t="shared" si="27"/>
        <v>1608.7305267947183</v>
      </c>
      <c r="L66" s="20">
        <f t="shared" si="27"/>
        <v>0</v>
      </c>
    </row>
    <row r="67" spans="1:13" ht="15" x14ac:dyDescent="0.35">
      <c r="A67" s="4" t="s">
        <v>43</v>
      </c>
      <c r="B67" s="27">
        <f t="shared" si="16"/>
        <v>80553.711266680446</v>
      </c>
      <c r="C67" s="27">
        <f t="shared" ref="C67:L67" si="28">+C52*C36</f>
        <v>0</v>
      </c>
      <c r="D67" s="27">
        <f t="shared" si="28"/>
        <v>21467.441667811254</v>
      </c>
      <c r="E67" s="27">
        <f t="shared" si="28"/>
        <v>26822.745075029099</v>
      </c>
      <c r="F67" s="27">
        <f t="shared" si="28"/>
        <v>20071.342576587042</v>
      </c>
      <c r="G67" s="27">
        <f t="shared" si="28"/>
        <v>2879.1079721094884</v>
      </c>
      <c r="H67" s="27">
        <f t="shared" si="28"/>
        <v>-3269.7729004677831</v>
      </c>
      <c r="I67" s="27">
        <f t="shared" si="28"/>
        <v>8092.345634749473</v>
      </c>
      <c r="J67" s="27">
        <f t="shared" si="28"/>
        <v>2880.2373654136522</v>
      </c>
      <c r="K67" s="27">
        <f t="shared" si="28"/>
        <v>1610.2638754482341</v>
      </c>
      <c r="L67" s="27">
        <f t="shared" si="28"/>
        <v>0</v>
      </c>
    </row>
    <row r="68" spans="1:13" ht="15" x14ac:dyDescent="0.35">
      <c r="B68" s="39">
        <f t="shared" ref="B68" si="29">SUM(B56:B67)</f>
        <v>884444.28993790806</v>
      </c>
      <c r="C68" s="39">
        <f t="shared" ref="C68" si="30">SUM(C56:C67)</f>
        <v>0</v>
      </c>
      <c r="D68" s="39">
        <f>SUM(D56:D67)</f>
        <v>169820.05458546086</v>
      </c>
      <c r="E68" s="39">
        <f t="shared" ref="E68:L68" si="31">SUM(E56:E67)</f>
        <v>415181.9953861793</v>
      </c>
      <c r="F68" s="39">
        <f t="shared" si="31"/>
        <v>224178.21452179734</v>
      </c>
      <c r="G68" s="39">
        <f t="shared" si="31"/>
        <v>27426.691259994543</v>
      </c>
      <c r="H68" s="39">
        <f t="shared" si="31"/>
        <v>-48939.653683992423</v>
      </c>
      <c r="I68" s="39">
        <f t="shared" si="31"/>
        <v>53376.779563932512</v>
      </c>
      <c r="J68" s="39">
        <f t="shared" si="31"/>
        <v>26484.937134054111</v>
      </c>
      <c r="K68" s="39">
        <f t="shared" si="31"/>
        <v>19064.420147821867</v>
      </c>
      <c r="L68" s="39">
        <f t="shared" si="31"/>
        <v>-2149.1489773400453</v>
      </c>
    </row>
    <row r="70" spans="1:13" s="6" customFormat="1" ht="15" x14ac:dyDescent="0.35">
      <c r="A70" s="6" t="s">
        <v>110</v>
      </c>
      <c r="C70" s="34" t="e">
        <f t="shared" ref="C70:L70" si="32">+C68/C37</f>
        <v>#DIV/0!</v>
      </c>
      <c r="D70" s="34">
        <f t="shared" si="32"/>
        <v>75.810095096983019</v>
      </c>
      <c r="E70" s="34">
        <f t="shared" si="32"/>
        <v>156.75461924831714</v>
      </c>
      <c r="F70" s="34">
        <f t="shared" si="32"/>
        <v>1451.059892991434</v>
      </c>
      <c r="G70" s="34">
        <f t="shared" si="32"/>
        <v>203.83798807071517</v>
      </c>
      <c r="H70" s="34">
        <f t="shared" si="32"/>
        <v>-25.975305835575746</v>
      </c>
      <c r="I70" s="34">
        <f t="shared" si="32"/>
        <v>175.34513815265905</v>
      </c>
      <c r="J70" s="34">
        <f t="shared" si="32"/>
        <v>601.45998532924204</v>
      </c>
      <c r="K70" s="34">
        <f t="shared" si="32"/>
        <v>279.61980119423373</v>
      </c>
      <c r="L70" s="34">
        <f t="shared" si="32"/>
        <v>-187.50000000000003</v>
      </c>
      <c r="M70" s="252"/>
    </row>
    <row r="72" spans="1:13" x14ac:dyDescent="0.2">
      <c r="I72" s="220"/>
    </row>
    <row r="73" spans="1:13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3" x14ac:dyDescent="0.2">
      <c r="I74" s="17"/>
    </row>
    <row r="76" spans="1:13" x14ac:dyDescent="0.2">
      <c r="B76" s="2"/>
    </row>
    <row r="77" spans="1:13" x14ac:dyDescent="0.2">
      <c r="B77" s="2"/>
    </row>
    <row r="78" spans="1:13" x14ac:dyDescent="0.2">
      <c r="B78" s="41"/>
    </row>
    <row r="79" spans="1:13" x14ac:dyDescent="0.2">
      <c r="B79" s="41"/>
    </row>
    <row r="80" spans="1:13" x14ac:dyDescent="0.2">
      <c r="B80" s="41"/>
    </row>
    <row r="81" spans="2:2" x14ac:dyDescent="0.2">
      <c r="B81" s="41"/>
    </row>
    <row r="82" spans="2:2" x14ac:dyDescent="0.2">
      <c r="B82" s="41"/>
    </row>
    <row r="83" spans="2:2" x14ac:dyDescent="0.2">
      <c r="B83" s="41"/>
    </row>
    <row r="84" spans="2:2" x14ac:dyDescent="0.2">
      <c r="B84" s="41"/>
    </row>
    <row r="85" spans="2:2" x14ac:dyDescent="0.2">
      <c r="B85" s="41"/>
    </row>
    <row r="86" spans="2:2" x14ac:dyDescent="0.2">
      <c r="B86" s="41"/>
    </row>
  </sheetData>
  <pageMargins left="0.7" right="0.7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CFAC-4FCF-4519-B0B0-1C3A9A3581EA}">
  <dimension ref="A1:AA20"/>
  <sheetViews>
    <sheetView workbookViewId="0">
      <pane xSplit="1" ySplit="4" topLeftCell="M5" activePane="bottomRight" state="frozen"/>
      <selection pane="topRight" activeCell="B1" sqref="B1"/>
      <selection pane="bottomLeft" activeCell="A5" sqref="A5"/>
      <selection pane="bottomRight" activeCell="X16" sqref="X16"/>
    </sheetView>
  </sheetViews>
  <sheetFormatPr defaultRowHeight="12.75" x14ac:dyDescent="0.2"/>
  <cols>
    <col min="1" max="1" width="19.85546875" bestFit="1" customWidth="1"/>
    <col min="2" max="15" width="9.28515625" bestFit="1" customWidth="1"/>
    <col min="16" max="16" width="10.28515625" bestFit="1" customWidth="1"/>
    <col min="17" max="17" width="9.28515625" bestFit="1" customWidth="1"/>
    <col min="18" max="18" width="10.28515625" bestFit="1" customWidth="1"/>
    <col min="19" max="23" width="9.28515625" bestFit="1" customWidth="1"/>
    <col min="24" max="24" width="10.28515625" bestFit="1" customWidth="1"/>
    <col min="25" max="25" width="9.28515625" bestFit="1" customWidth="1"/>
    <col min="26" max="26" width="10.28515625" bestFit="1" customWidth="1"/>
    <col min="27" max="27" width="9.28515625" bestFit="1" customWidth="1"/>
  </cols>
  <sheetData>
    <row r="1" spans="1:27" ht="20.25" x14ac:dyDescent="0.3">
      <c r="A1" s="425" t="s">
        <v>153</v>
      </c>
    </row>
    <row r="2" spans="1:27" x14ac:dyDescent="0.2">
      <c r="A2" s="351"/>
    </row>
    <row r="3" spans="1:27" x14ac:dyDescent="0.2">
      <c r="A3" s="351"/>
      <c r="B3" s="610">
        <v>45170</v>
      </c>
      <c r="C3" s="610"/>
      <c r="D3" s="610">
        <v>45200</v>
      </c>
      <c r="E3" s="610"/>
      <c r="F3" s="610">
        <v>45231</v>
      </c>
      <c r="G3" s="610"/>
      <c r="H3" s="610">
        <v>45261</v>
      </c>
      <c r="I3" s="610"/>
      <c r="J3" s="610">
        <v>45292</v>
      </c>
      <c r="K3" s="610"/>
      <c r="L3" s="610">
        <v>45323</v>
      </c>
      <c r="M3" s="610"/>
      <c r="N3" s="610">
        <v>45352</v>
      </c>
      <c r="O3" s="610"/>
      <c r="P3" s="610">
        <v>45383</v>
      </c>
      <c r="Q3" s="610"/>
      <c r="R3" s="610">
        <v>45413</v>
      </c>
      <c r="S3" s="610"/>
      <c r="T3" s="610">
        <v>45444</v>
      </c>
      <c r="U3" s="610"/>
      <c r="V3" s="610">
        <v>45474</v>
      </c>
      <c r="W3" s="610"/>
      <c r="X3" s="610">
        <v>45505</v>
      </c>
      <c r="Y3" s="610"/>
      <c r="Z3" s="610" t="s">
        <v>22</v>
      </c>
      <c r="AA3" s="610"/>
    </row>
    <row r="4" spans="1:27" x14ac:dyDescent="0.2">
      <c r="A4" s="351"/>
      <c r="B4" s="415" t="s">
        <v>0</v>
      </c>
      <c r="C4" s="415" t="s">
        <v>93</v>
      </c>
      <c r="D4" s="415" t="s">
        <v>0</v>
      </c>
      <c r="E4" s="415" t="s">
        <v>93</v>
      </c>
      <c r="F4" s="415" t="s">
        <v>0</v>
      </c>
      <c r="G4" s="415" t="s">
        <v>93</v>
      </c>
      <c r="H4" s="415" t="s">
        <v>0</v>
      </c>
      <c r="I4" s="415" t="s">
        <v>93</v>
      </c>
      <c r="J4" s="415" t="s">
        <v>0</v>
      </c>
      <c r="K4" s="415" t="s">
        <v>93</v>
      </c>
      <c r="L4" s="415" t="s">
        <v>0</v>
      </c>
      <c r="M4" s="415" t="s">
        <v>93</v>
      </c>
      <c r="N4" s="415" t="s">
        <v>0</v>
      </c>
      <c r="O4" s="415" t="s">
        <v>93</v>
      </c>
      <c r="P4" s="415" t="s">
        <v>0</v>
      </c>
      <c r="Q4" s="415" t="s">
        <v>93</v>
      </c>
      <c r="R4" s="415" t="s">
        <v>0</v>
      </c>
      <c r="S4" s="415" t="s">
        <v>93</v>
      </c>
      <c r="T4" s="415" t="s">
        <v>0</v>
      </c>
      <c r="U4" s="415" t="s">
        <v>93</v>
      </c>
      <c r="V4" s="415" t="s">
        <v>0</v>
      </c>
      <c r="W4" s="415" t="s">
        <v>93</v>
      </c>
      <c r="X4" s="415" t="s">
        <v>0</v>
      </c>
      <c r="Y4" s="415" t="s">
        <v>93</v>
      </c>
      <c r="Z4" s="415" t="s">
        <v>0</v>
      </c>
      <c r="AA4" s="415" t="s">
        <v>93</v>
      </c>
    </row>
    <row r="5" spans="1:27" s="417" customFormat="1" x14ac:dyDescent="0.2">
      <c r="A5" s="413" t="s">
        <v>98</v>
      </c>
      <c r="B5" s="504">
        <f>[1]Composition!R6</f>
        <v>0</v>
      </c>
      <c r="C5" s="414">
        <f>+B5/B$16</f>
        <v>0</v>
      </c>
      <c r="D5" s="506">
        <f>[2]Composition!T6</f>
        <v>0</v>
      </c>
      <c r="E5" s="414">
        <f>+D5/D$16</f>
        <v>0</v>
      </c>
      <c r="F5" s="506">
        <f>[2]Composition!V6</f>
        <v>0</v>
      </c>
      <c r="G5" s="414">
        <f>+F5/F$16</f>
        <v>0</v>
      </c>
      <c r="H5" s="506">
        <f>[2]Composition!X6</f>
        <v>0</v>
      </c>
      <c r="I5" s="414">
        <f>+H5/H$16</f>
        <v>0</v>
      </c>
      <c r="J5" s="509">
        <f>[3]Composition!B6</f>
        <v>127.65897038718192</v>
      </c>
      <c r="K5" s="414">
        <f>+J5/J$16</f>
        <v>1.7474149300355197E-2</v>
      </c>
      <c r="L5" s="509">
        <f>[4]Composition!D6</f>
        <v>296.33</v>
      </c>
      <c r="M5" s="414">
        <f>+L5/L$16</f>
        <v>2.9971298029376786E-2</v>
      </c>
      <c r="N5" s="509">
        <f>[5]Composition!$F$6</f>
        <v>819.9</v>
      </c>
      <c r="O5" s="414">
        <f>+N5/N$16</f>
        <v>8.8633463656631425E-2</v>
      </c>
      <c r="P5" s="509">
        <f>[6]Composition!H6</f>
        <v>1714.72</v>
      </c>
      <c r="Q5" s="414">
        <f>+P5/P$16</f>
        <v>0.16923237870028049</v>
      </c>
      <c r="R5" s="509">
        <f>[7]Composition!J6</f>
        <v>1672.05</v>
      </c>
      <c r="S5" s="414">
        <f>+R5/R$16</f>
        <v>0.16315993879733642</v>
      </c>
      <c r="T5" s="513">
        <f>[8]Composition!L6</f>
        <v>559.96</v>
      </c>
      <c r="U5" s="414">
        <f>+T5/T$16</f>
        <v>6.5052022100679854E-2</v>
      </c>
      <c r="V5" s="513">
        <f>[9]Composition!$N$6</f>
        <v>1387.52</v>
      </c>
      <c r="W5" s="414">
        <f>+V5/V$16</f>
        <v>0.16125089376740864</v>
      </c>
      <c r="X5" s="513">
        <f>[10]Composition!P6</f>
        <v>888.02</v>
      </c>
      <c r="Y5" s="414">
        <f>+X5/X$16</f>
        <v>8.5918921842439475E-2</v>
      </c>
      <c r="Z5" s="416">
        <f>+X5+V5+T5+R5+P5+N5+L5+J5+H5+F5+D5+B5</f>
        <v>7466.1589703871823</v>
      </c>
      <c r="AA5" s="414">
        <f>+Z5/Z$16</f>
        <v>7.3011979831459628E-2</v>
      </c>
    </row>
    <row r="6" spans="1:27" s="417" customFormat="1" x14ac:dyDescent="0.2">
      <c r="A6" s="413" t="s">
        <v>134</v>
      </c>
      <c r="B6" s="504">
        <f>[1]Composition!R7</f>
        <v>1554.5447657581449</v>
      </c>
      <c r="C6" s="414">
        <f t="shared" ref="C6:E15" si="0">+B6/B$16</f>
        <v>0.29095737882463113</v>
      </c>
      <c r="D6" s="506">
        <f>[2]Composition!T7</f>
        <v>1063.6120166574692</v>
      </c>
      <c r="E6" s="414">
        <f t="shared" si="0"/>
        <v>0.15662451429535507</v>
      </c>
      <c r="F6" s="506">
        <f>[2]Composition!V7</f>
        <v>1803.2334966220142</v>
      </c>
      <c r="G6" s="414">
        <f t="shared" ref="G6" si="1">+F6/F$16</f>
        <v>0.25890114022670857</v>
      </c>
      <c r="H6" s="506">
        <f>[2]Composition!X7</f>
        <v>1997.5333716396417</v>
      </c>
      <c r="I6" s="414">
        <f t="shared" ref="I6" si="2">+H6/H$16</f>
        <v>0.22727342118888369</v>
      </c>
      <c r="J6" s="509">
        <f>[3]Composition!B7</f>
        <v>2270.9588914147898</v>
      </c>
      <c r="K6" s="414">
        <f t="shared" ref="K6" si="3">+J6/J$16</f>
        <v>0.3108522229436349</v>
      </c>
      <c r="L6" s="509">
        <f>[4]Composition!D7</f>
        <v>3340.49</v>
      </c>
      <c r="M6" s="414">
        <f t="shared" ref="M6" si="4">+L6/L$16</f>
        <v>0.33786259020063059</v>
      </c>
      <c r="N6" s="509">
        <f>[5]Composition!$F$7</f>
        <v>2319.38</v>
      </c>
      <c r="O6" s="414">
        <f t="shared" ref="O6" si="5">+N6/N$16</f>
        <v>0.25073140984988146</v>
      </c>
      <c r="P6" s="509">
        <f>[6]Composition!H7</f>
        <v>1560.01</v>
      </c>
      <c r="Q6" s="414">
        <f t="shared" ref="Q6:U6" si="6">+P6/P$16</f>
        <v>0.15396344773270537</v>
      </c>
      <c r="R6" s="509">
        <f>[7]Composition!J7</f>
        <v>1606</v>
      </c>
      <c r="S6" s="414">
        <f t="shared" si="6"/>
        <v>0.15671472845221274</v>
      </c>
      <c r="T6" s="513">
        <f>[8]Composition!L7</f>
        <v>1841.43</v>
      </c>
      <c r="U6" s="414">
        <f t="shared" si="6"/>
        <v>0.21392375358392546</v>
      </c>
      <c r="V6" s="513">
        <f>[9]Composition!$N$7</f>
        <v>1033.9099999999999</v>
      </c>
      <c r="W6" s="414">
        <f t="shared" ref="W6:W15" si="7">+V6/V$16</f>
        <v>0.12015604212916675</v>
      </c>
      <c r="X6" s="513">
        <f>[10]Composition!P7</f>
        <v>2492.2999999999997</v>
      </c>
      <c r="Y6" s="414">
        <f t="shared" ref="Y6:Y15" si="8">+X6/X$16</f>
        <v>0.24113840781504006</v>
      </c>
      <c r="Z6" s="416">
        <f t="shared" ref="Z6:Z15" si="9">+X6+V6+T6+R6+P6+N6+L6+J6+H6+F6+D6+B6</f>
        <v>22883.402542092059</v>
      </c>
      <c r="AA6" s="414">
        <f t="shared" ref="AA6:AA15" si="10">+Z6/Z$16</f>
        <v>0.2237780539505114</v>
      </c>
    </row>
    <row r="7" spans="1:27" s="417" customFormat="1" x14ac:dyDescent="0.2">
      <c r="A7" s="413" t="s">
        <v>50</v>
      </c>
      <c r="B7" s="504">
        <f>[1]Composition!R8</f>
        <v>2026.6299742419017</v>
      </c>
      <c r="C7" s="414">
        <f t="shared" si="0"/>
        <v>0.3793155129021179</v>
      </c>
      <c r="D7" s="506">
        <f>[2]Composition!T8</f>
        <v>2693.5900192018162</v>
      </c>
      <c r="E7" s="414">
        <f t="shared" si="0"/>
        <v>0.3966504908379252</v>
      </c>
      <c r="F7" s="506">
        <f>[2]Composition!V8</f>
        <v>1872.3141222985232</v>
      </c>
      <c r="G7" s="414">
        <f t="shared" ref="G7" si="11">+F7/F$16</f>
        <v>0.26881946349916697</v>
      </c>
      <c r="H7" s="506">
        <f>[2]Composition!X8</f>
        <v>2488.4380760602344</v>
      </c>
      <c r="I7" s="414">
        <f t="shared" ref="I7" si="12">+H7/H$16</f>
        <v>0.28312710215132281</v>
      </c>
      <c r="J7" s="509">
        <f>[3]Composition!B8</f>
        <v>1989.3248116547325</v>
      </c>
      <c r="K7" s="414">
        <f t="shared" ref="K7" si="13">+J7/J$16</f>
        <v>0.27230173218791809</v>
      </c>
      <c r="L7" s="509">
        <f>[4]Composition!D8</f>
        <v>1999.8300000000002</v>
      </c>
      <c r="M7" s="414">
        <f t="shared" ref="M7" si="14">+L7/L$16</f>
        <v>0.20226605790196261</v>
      </c>
      <c r="N7" s="509">
        <f>[5]Composition!$F$8</f>
        <v>2050.4450000000002</v>
      </c>
      <c r="O7" s="414">
        <f t="shared" ref="O7" si="15">+N7/N$16</f>
        <v>0.22165879056887627</v>
      </c>
      <c r="P7" s="509">
        <f>[6]Composition!H8</f>
        <v>2346.75</v>
      </c>
      <c r="Q7" s="414">
        <f t="shared" ref="Q7:U7" si="16">+P7/P$16</f>
        <v>0.23160987491537</v>
      </c>
      <c r="R7" s="509">
        <f>[7]Composition!J8</f>
        <v>2275.81</v>
      </c>
      <c r="S7" s="414">
        <f t="shared" si="16"/>
        <v>0.22207530894074115</v>
      </c>
      <c r="T7" s="513">
        <f>[8]Composition!L8</f>
        <v>2489.25</v>
      </c>
      <c r="U7" s="414">
        <f t="shared" si="16"/>
        <v>0.28918270236109245</v>
      </c>
      <c r="V7" s="513">
        <f>[9]Composition!$N$8</f>
        <v>2272.9100000000003</v>
      </c>
      <c r="W7" s="414">
        <f t="shared" si="7"/>
        <v>0.2641466565908101</v>
      </c>
      <c r="X7" s="513">
        <f>[10]Composition!P8</f>
        <v>2140.6120000000001</v>
      </c>
      <c r="Y7" s="414">
        <f t="shared" si="8"/>
        <v>0.20711141091753346</v>
      </c>
      <c r="Z7" s="416">
        <f t="shared" si="9"/>
        <v>26645.904003457206</v>
      </c>
      <c r="AA7" s="414">
        <f t="shared" si="10"/>
        <v>0.2605717629918799</v>
      </c>
    </row>
    <row r="8" spans="1:27" s="417" customFormat="1" x14ac:dyDescent="0.2">
      <c r="A8" s="413" t="s">
        <v>51</v>
      </c>
      <c r="B8" s="504">
        <f>[1]Composition!R9</f>
        <v>67.615139081433099</v>
      </c>
      <c r="C8" s="414">
        <f t="shared" si="0"/>
        <v>1.2655231338032362E-2</v>
      </c>
      <c r="D8" s="506">
        <f>[2]Composition!T9</f>
        <v>127.98387578340618</v>
      </c>
      <c r="E8" s="414">
        <f t="shared" si="0"/>
        <v>1.8846545608997733E-2</v>
      </c>
      <c r="F8" s="506">
        <f>[2]Composition!V9</f>
        <v>58.768153470290088</v>
      </c>
      <c r="G8" s="414">
        <f t="shared" ref="G8" si="17">+F8/F$16</f>
        <v>8.4376992613428778E-3</v>
      </c>
      <c r="H8" s="506">
        <f>[2]Composition!X9</f>
        <v>101.66489955057499</v>
      </c>
      <c r="I8" s="414">
        <f t="shared" ref="I8" si="18">+H8/H$16</f>
        <v>1.1567130674126076E-2</v>
      </c>
      <c r="J8" s="509">
        <f>[3]Composition!B9</f>
        <v>102.23430282561857</v>
      </c>
      <c r="K8" s="414">
        <f t="shared" ref="K8" si="19">+J8/J$16</f>
        <v>1.3993983076742407E-2</v>
      </c>
      <c r="L8" s="509">
        <f>[4]Composition!D9</f>
        <v>163.2235</v>
      </c>
      <c r="M8" s="414">
        <f t="shared" ref="M8" si="20">+L8/L$16</f>
        <v>1.6508690189646617E-2</v>
      </c>
      <c r="N8" s="511">
        <f>[5]Composition!$F$9</f>
        <v>164.964</v>
      </c>
      <c r="O8" s="414">
        <f t="shared" ref="O8" si="21">+N8/N$16</f>
        <v>1.7833065860047015E-2</v>
      </c>
      <c r="P8" s="509">
        <f>[6]Composition!H9</f>
        <v>192.3</v>
      </c>
      <c r="Q8" s="414">
        <f t="shared" ref="Q8:U8" si="22">+P8/P$16</f>
        <v>1.8978834109396252E-2</v>
      </c>
      <c r="R8" s="509">
        <f>[7]Composition!J9</f>
        <v>187.55</v>
      </c>
      <c r="S8" s="414">
        <f t="shared" si="22"/>
        <v>1.8301274795275529E-2</v>
      </c>
      <c r="T8" s="513">
        <f>[8]Composition!L9</f>
        <v>151.91999999999999</v>
      </c>
      <c r="U8" s="414">
        <f t="shared" si="22"/>
        <v>1.7648944920235877E-2</v>
      </c>
      <c r="V8" s="513">
        <f>[9]Composition!$N$9</f>
        <v>146.774</v>
      </c>
      <c r="W8" s="414">
        <f t="shared" si="7"/>
        <v>1.7057367592407776E-2</v>
      </c>
      <c r="X8" s="513">
        <f>[10]Composition!P9</f>
        <v>156.291</v>
      </c>
      <c r="Y8" s="414">
        <f t="shared" si="8"/>
        <v>1.5121679932520336E-2</v>
      </c>
      <c r="Z8" s="416">
        <f t="shared" si="9"/>
        <v>1621.2888707113232</v>
      </c>
      <c r="AA8" s="414">
        <f t="shared" si="10"/>
        <v>1.5854673172490251E-2</v>
      </c>
    </row>
    <row r="9" spans="1:27" s="417" customFormat="1" x14ac:dyDescent="0.2">
      <c r="A9" s="413" t="s">
        <v>4</v>
      </c>
      <c r="B9" s="504">
        <f>[1]Composition!R10</f>
        <v>757.91850661473779</v>
      </c>
      <c r="C9" s="414">
        <f t="shared" si="0"/>
        <v>0.14185630861505319</v>
      </c>
      <c r="D9" s="506">
        <f>[2]Composition!T10</f>
        <v>1168.556849434018</v>
      </c>
      <c r="E9" s="414">
        <f t="shared" si="0"/>
        <v>0.17207839522563009</v>
      </c>
      <c r="F9" s="506">
        <f>[2]Composition!V10</f>
        <v>1832.6070095369178</v>
      </c>
      <c r="G9" s="414">
        <f t="shared" ref="G9" si="23">+F9/F$16</f>
        <v>0.26311847314581116</v>
      </c>
      <c r="H9" s="506">
        <f>[2]Composition!X10</f>
        <v>2529.6700381910337</v>
      </c>
      <c r="I9" s="414">
        <f t="shared" ref="I9" si="24">+H9/H$16</f>
        <v>0.28781835248478044</v>
      </c>
      <c r="J9" s="509">
        <f>[3]Composition!B10</f>
        <v>1659.6676762938514</v>
      </c>
      <c r="K9" s="414">
        <f t="shared" ref="K9" si="25">+J9/J$16</f>
        <v>0.22717777431991823</v>
      </c>
      <c r="L9" s="509">
        <f>[4]Composition!D10</f>
        <v>2306.9699999999998</v>
      </c>
      <c r="M9" s="414">
        <f t="shared" ref="M9" si="26">+L9/L$16</f>
        <v>0.23333069690828254</v>
      </c>
      <c r="N9" s="511">
        <f>[5]Composition!$F$10</f>
        <v>1481.9550000000002</v>
      </c>
      <c r="O9" s="414">
        <f t="shared" ref="O9" si="27">+N9/N$16</f>
        <v>0.1602034450948448</v>
      </c>
      <c r="P9" s="509">
        <f>[6]Composition!H10</f>
        <v>1601.49</v>
      </c>
      <c r="Q9" s="414">
        <f t="shared" ref="Q9:U9" si="28">+P9/P$16</f>
        <v>0.15805727008765991</v>
      </c>
      <c r="R9" s="509">
        <f>[7]Composition!J10</f>
        <v>1544.3</v>
      </c>
      <c r="S9" s="414">
        <f t="shared" si="28"/>
        <v>0.15069399448863768</v>
      </c>
      <c r="T9" s="513">
        <f>[8]Composition!L10</f>
        <v>1354.6</v>
      </c>
      <c r="U9" s="414">
        <f t="shared" si="28"/>
        <v>0.15736743541963874</v>
      </c>
      <c r="V9" s="513">
        <f>[9]Composition!$N$10</f>
        <v>1386.51</v>
      </c>
      <c r="W9" s="414">
        <f t="shared" si="7"/>
        <v>0.16113351643035759</v>
      </c>
      <c r="X9" s="513">
        <f>[10]Composition!P10</f>
        <v>1630.5649999999998</v>
      </c>
      <c r="Y9" s="414">
        <f t="shared" si="8"/>
        <v>0.15776264813181834</v>
      </c>
      <c r="Z9" s="416">
        <f t="shared" si="9"/>
        <v>19254.810080070558</v>
      </c>
      <c r="AA9" s="414">
        <f t="shared" si="10"/>
        <v>0.18829384838986266</v>
      </c>
    </row>
    <row r="10" spans="1:27" s="417" customFormat="1" x14ac:dyDescent="0.2">
      <c r="A10" s="413" t="s">
        <v>3</v>
      </c>
      <c r="B10" s="504">
        <f>[1]Composition!R11</f>
        <v>98.499914437647206</v>
      </c>
      <c r="C10" s="414">
        <f t="shared" si="0"/>
        <v>1.8435800338790029E-2</v>
      </c>
      <c r="D10" s="506">
        <f>[2]Composition!T11</f>
        <v>219.82225968553189</v>
      </c>
      <c r="E10" s="414">
        <f t="shared" si="0"/>
        <v>3.2370407738296275E-2</v>
      </c>
      <c r="F10" s="506">
        <f>[2]Composition!V11</f>
        <v>160.89571153383318</v>
      </c>
      <c r="G10" s="414">
        <f t="shared" ref="G10" si="29">+F10/F$16</f>
        <v>2.3100770505722679E-2</v>
      </c>
      <c r="H10" s="506">
        <f>[2]Composition!X11</f>
        <v>115.67688981431989</v>
      </c>
      <c r="I10" s="414">
        <f t="shared" ref="I10" si="30">+H10/H$16</f>
        <v>1.3161373358688911E-2</v>
      </c>
      <c r="J10" s="509">
        <f>[3]Composition!B11</f>
        <v>211.95506106717576</v>
      </c>
      <c r="K10" s="414">
        <f t="shared" ref="K10" si="31">+J10/J$16</f>
        <v>2.9012723280005551E-2</v>
      </c>
      <c r="L10" s="509">
        <f>[4]Composition!D11</f>
        <v>314.61</v>
      </c>
      <c r="M10" s="414">
        <f t="shared" ref="M10" si="32">+L10/L$16</f>
        <v>3.1820166952459192E-2</v>
      </c>
      <c r="N10" s="511">
        <f>[5]Composition!$F$11</f>
        <v>337.18500000000006</v>
      </c>
      <c r="O10" s="414">
        <f t="shared" ref="O10" si="33">+N10/N$16</f>
        <v>3.645063354440941E-2</v>
      </c>
      <c r="P10" s="509">
        <f>[6]Composition!H11</f>
        <v>343.04</v>
      </c>
      <c r="Q10" s="414">
        <f t="shared" ref="Q10:U10" si="34">+P10/P$16</f>
        <v>3.3855950353028026E-2</v>
      </c>
      <c r="R10" s="509">
        <f>[7]Composition!J11</f>
        <v>424.04</v>
      </c>
      <c r="S10" s="414">
        <f t="shared" si="34"/>
        <v>4.1378152834916748E-2</v>
      </c>
      <c r="T10" s="513">
        <f>[8]Composition!L11</f>
        <v>272.08</v>
      </c>
      <c r="U10" s="414">
        <f t="shared" si="34"/>
        <v>3.1608247326867941E-2</v>
      </c>
      <c r="V10" s="513">
        <f>[9]Composition!$N$11</f>
        <v>330.04</v>
      </c>
      <c r="W10" s="414">
        <f t="shared" si="7"/>
        <v>3.8355659723099886E-2</v>
      </c>
      <c r="X10" s="513">
        <f>[10]Composition!P11</f>
        <v>372.03999999999996</v>
      </c>
      <c r="Y10" s="414">
        <f t="shared" si="8"/>
        <v>3.5996121351164589E-2</v>
      </c>
      <c r="Z10" s="416">
        <f t="shared" si="9"/>
        <v>3199.8848365385074</v>
      </c>
      <c r="AA10" s="414">
        <f t="shared" si="10"/>
        <v>3.1291850076456025E-2</v>
      </c>
    </row>
    <row r="11" spans="1:27" s="417" customFormat="1" x14ac:dyDescent="0.2">
      <c r="A11" s="413" t="s">
        <v>135</v>
      </c>
      <c r="B11" s="504">
        <f>[1]Composition!R12</f>
        <v>23.75703872701407</v>
      </c>
      <c r="C11" s="414">
        <f t="shared" si="0"/>
        <v>4.446501553962116E-3</v>
      </c>
      <c r="D11" s="506">
        <f>[2]Composition!T12</f>
        <v>7.151599943121381</v>
      </c>
      <c r="E11" s="414">
        <f t="shared" si="0"/>
        <v>1.0531244946312061E-3</v>
      </c>
      <c r="F11" s="506">
        <f>[2]Composition!V12</f>
        <v>4.8262753227492681</v>
      </c>
      <c r="G11" s="414">
        <f t="shared" ref="G11" si="35">+F11/F$16</f>
        <v>6.9293754050628754E-4</v>
      </c>
      <c r="H11" s="506">
        <f>[2]Composition!X12</f>
        <v>57.748796671371991</v>
      </c>
      <c r="I11" s="414">
        <f t="shared" ref="I11" si="36">+H11/H$16</f>
        <v>6.5704867690248841E-3</v>
      </c>
      <c r="J11" s="509">
        <f>[3]Composition!B12</f>
        <v>31.038443685051622</v>
      </c>
      <c r="K11" s="414">
        <f t="shared" ref="K11" si="37">+J11/J$16</f>
        <v>4.2485882297051466E-3</v>
      </c>
      <c r="L11" s="509">
        <f>[4]Composition!D12</f>
        <v>54.39</v>
      </c>
      <c r="M11" s="414">
        <f t="shared" ref="M11" si="38">+L11/L$16</f>
        <v>5.5010930375520651E-3</v>
      </c>
      <c r="N11" s="511">
        <f>[5]Composition!$F$12</f>
        <v>48.17</v>
      </c>
      <c r="O11" s="414">
        <f t="shared" ref="O11" si="39">+N11/N$16</f>
        <v>5.2073105797535504E-3</v>
      </c>
      <c r="P11" s="509">
        <f>[6]Composition!H12</f>
        <v>50.92</v>
      </c>
      <c r="Q11" s="414">
        <f t="shared" ref="Q11:U11" si="40">+P11/P$16</f>
        <v>5.0254926305275975E-3</v>
      </c>
      <c r="R11" s="509">
        <f>[7]Composition!J12</f>
        <v>56.12</v>
      </c>
      <c r="S11" s="414">
        <f t="shared" si="40"/>
        <v>5.4762332258643702E-3</v>
      </c>
      <c r="T11" s="513">
        <f>[8]Composition!L12</f>
        <v>44.32</v>
      </c>
      <c r="U11" s="414">
        <f t="shared" si="40"/>
        <v>5.1487706613010413E-3</v>
      </c>
      <c r="V11" s="513">
        <f>[9]Composition!$N$12</f>
        <v>41</v>
      </c>
      <c r="W11" s="414">
        <f t="shared" si="7"/>
        <v>4.7648225931617239E-3</v>
      </c>
      <c r="X11" s="513">
        <f>[10]Composition!P12</f>
        <v>50.629999999999995</v>
      </c>
      <c r="Y11" s="414">
        <f t="shared" si="8"/>
        <v>4.8986227932734739E-3</v>
      </c>
      <c r="Z11" s="416">
        <f t="shared" si="9"/>
        <v>470.07215434930833</v>
      </c>
      <c r="AA11" s="414">
        <f t="shared" si="10"/>
        <v>4.596861490467655E-3</v>
      </c>
    </row>
    <row r="12" spans="1:27" s="417" customFormat="1" x14ac:dyDescent="0.2">
      <c r="A12" s="413" t="s">
        <v>136</v>
      </c>
      <c r="B12" s="504">
        <f>[1]Composition!R13</f>
        <v>32.642351275113334</v>
      </c>
      <c r="C12" s="414">
        <f t="shared" si="0"/>
        <v>6.1095268369759205E-3</v>
      </c>
      <c r="D12" s="506">
        <f>[2]Composition!T13</f>
        <v>38.599417389831245</v>
      </c>
      <c r="E12" s="414">
        <f t="shared" si="0"/>
        <v>5.6840416487255246E-3</v>
      </c>
      <c r="F12" s="506">
        <f>[2]Composition!V13</f>
        <v>27.981778750235076</v>
      </c>
      <c r="G12" s="414">
        <f t="shared" ref="G12" si="41">+F12/F$16</f>
        <v>4.0175132269772325E-3</v>
      </c>
      <c r="H12" s="506">
        <f>[2]Composition!X13</f>
        <v>12.10712844060062</v>
      </c>
      <c r="I12" s="414">
        <f t="shared" ref="I12" si="42">+H12/H$16</f>
        <v>1.3775131572444817E-3</v>
      </c>
      <c r="J12" s="509">
        <f>[3]Composition!B13</f>
        <v>22.788483339938335</v>
      </c>
      <c r="K12" s="414">
        <f t="shared" ref="K12" si="43">+J12/J$16</f>
        <v>3.1193214155103605E-3</v>
      </c>
      <c r="L12" s="509">
        <f>[4]Composition!D13</f>
        <v>68.62</v>
      </c>
      <c r="M12" s="414">
        <f t="shared" ref="M12" si="44">+L12/L$16</f>
        <v>6.9403383753782449E-3</v>
      </c>
      <c r="N12" s="511">
        <f>[5]Composition!$F$13</f>
        <v>79.28</v>
      </c>
      <c r="O12" s="414">
        <f t="shared" ref="O12" si="45">+N12/N$16</f>
        <v>8.5703878505887787E-3</v>
      </c>
      <c r="P12" s="509">
        <f>[6]Composition!H13</f>
        <v>85.07</v>
      </c>
      <c r="Q12" s="414">
        <f t="shared" ref="Q12:U12" si="46">+P12/P$16</f>
        <v>8.3958888075212623E-3</v>
      </c>
      <c r="R12" s="509">
        <f>[7]Composition!J13</f>
        <v>117.24</v>
      </c>
      <c r="S12" s="414">
        <f t="shared" si="46"/>
        <v>1.1440370338566265E-2</v>
      </c>
      <c r="T12" s="513">
        <f>[8]Composition!L13</f>
        <v>75.88</v>
      </c>
      <c r="U12" s="414">
        <f t="shared" si="46"/>
        <v>8.8151786502599951E-3</v>
      </c>
      <c r="V12" s="513">
        <f>[9]Composition!$N$13</f>
        <v>72.77</v>
      </c>
      <c r="W12" s="414">
        <f t="shared" si="7"/>
        <v>8.4569790269360644E-3</v>
      </c>
      <c r="X12" s="513">
        <f>[10]Composition!P13</f>
        <v>96.24</v>
      </c>
      <c r="Y12" s="414">
        <f t="shared" si="8"/>
        <v>9.3115437018494798E-3</v>
      </c>
      <c r="Z12" s="416">
        <f t="shared" si="9"/>
        <v>729.2191591957187</v>
      </c>
      <c r="AA12" s="414">
        <f t="shared" si="10"/>
        <v>7.1310743255110116E-3</v>
      </c>
    </row>
    <row r="13" spans="1:27" s="417" customFormat="1" x14ac:dyDescent="0.2">
      <c r="A13" s="413" t="s">
        <v>137</v>
      </c>
      <c r="B13" s="504">
        <f>[1]Composition!R14</f>
        <v>13.876477271792606</v>
      </c>
      <c r="C13" s="414">
        <f t="shared" si="0"/>
        <v>2.5971998640716477E-3</v>
      </c>
      <c r="D13" s="506">
        <f>[2]Composition!T14</f>
        <v>16.640316417024948</v>
      </c>
      <c r="E13" s="414">
        <f t="shared" si="0"/>
        <v>2.4504061967333857E-3</v>
      </c>
      <c r="F13" s="506">
        <f>[2]Composition!V14</f>
        <v>22.458835197864342</v>
      </c>
      <c r="G13" s="414">
        <f t="shared" ref="G13" si="47">+F13/F$16</f>
        <v>3.2245508148463866E-3</v>
      </c>
      <c r="H13" s="506">
        <f>[2]Composition!X14</f>
        <v>37.646774226293665</v>
      </c>
      <c r="I13" s="414">
        <f t="shared" ref="I13" si="48">+H13/H$16</f>
        <v>4.2833382894184695E-3</v>
      </c>
      <c r="J13" s="509">
        <f>[3]Composition!B14</f>
        <v>11.84212449212272</v>
      </c>
      <c r="K13" s="414">
        <f t="shared" ref="K13" si="49">+J13/J$16</f>
        <v>1.620967573067024E-3</v>
      </c>
      <c r="L13" s="509">
        <f>[4]Composition!D14</f>
        <v>0</v>
      </c>
      <c r="M13" s="414">
        <f t="shared" ref="M13" si="50">+L13/L$16</f>
        <v>0</v>
      </c>
      <c r="N13" s="511">
        <f>[5]Composition!$F$14</f>
        <v>0</v>
      </c>
      <c r="O13" s="414">
        <f t="shared" ref="O13" si="51">+N13/N$16</f>
        <v>0</v>
      </c>
      <c r="P13" s="509">
        <f>[6]Composition!H14</f>
        <v>0</v>
      </c>
      <c r="Q13" s="414">
        <f t="shared" ref="Q13:U13" si="52">+P13/P$16</f>
        <v>0</v>
      </c>
      <c r="R13" s="509">
        <f>[7]Composition!J14</f>
        <v>0</v>
      </c>
      <c r="S13" s="414">
        <f t="shared" si="52"/>
        <v>0</v>
      </c>
      <c r="T13" s="513">
        <f>[8]Composition!L14</f>
        <v>0</v>
      </c>
      <c r="U13" s="414">
        <f t="shared" si="52"/>
        <v>0</v>
      </c>
      <c r="V13" s="513">
        <f>[9]Composition!$N$14</f>
        <v>0</v>
      </c>
      <c r="W13" s="414">
        <f t="shared" si="7"/>
        <v>0</v>
      </c>
      <c r="X13" s="513">
        <f>[10]Composition!P14</f>
        <v>0</v>
      </c>
      <c r="Y13" s="414">
        <f t="shared" si="8"/>
        <v>0</v>
      </c>
      <c r="Z13" s="416">
        <f t="shared" si="9"/>
        <v>102.46452760509828</v>
      </c>
      <c r="AA13" s="414">
        <f t="shared" si="10"/>
        <v>1.0020062595259092E-3</v>
      </c>
    </row>
    <row r="14" spans="1:27" s="417" customFormat="1" x14ac:dyDescent="0.2">
      <c r="A14" s="413" t="s">
        <v>138</v>
      </c>
      <c r="B14" s="504">
        <f>[1]Composition!R18</f>
        <v>78.674498682692217</v>
      </c>
      <c r="C14" s="414">
        <f t="shared" si="0"/>
        <v>1.4725163547087829E-2</v>
      </c>
      <c r="D14" s="507">
        <f>[2]Composition!T19</f>
        <v>116.85458768057001</v>
      </c>
      <c r="E14" s="414">
        <f t="shared" si="0"/>
        <v>1.7207677942724316E-2</v>
      </c>
      <c r="F14" s="507">
        <f>[2]Composition!V19</f>
        <v>104.63028155714703</v>
      </c>
      <c r="G14" s="414">
        <f t="shared" ref="G14" si="53">+F14/F$16</f>
        <v>1.5022402394438871E-2</v>
      </c>
      <c r="H14" s="507">
        <f>[2]Composition!X19</f>
        <v>36.643509553036083</v>
      </c>
      <c r="I14" s="414">
        <f t="shared" ref="I14" si="54">+H14/H$16</f>
        <v>4.1691898111569847E-3</v>
      </c>
      <c r="J14" s="509">
        <f>[3]Composition!B19</f>
        <v>21.690537112495125</v>
      </c>
      <c r="K14" s="414">
        <f t="shared" ref="K14" si="55">+J14/J$16</f>
        <v>2.9690329066502669E-3</v>
      </c>
      <c r="L14" s="509">
        <f>[4]Composition!D19</f>
        <v>158.19000000000003</v>
      </c>
      <c r="M14" s="414">
        <f t="shared" ref="M14" si="56">+L14/L$16</f>
        <v>1.5999593815230029E-2</v>
      </c>
      <c r="N14" s="511">
        <f>[5]Composition!$F$19</f>
        <v>139.94</v>
      </c>
      <c r="O14" s="414">
        <f t="shared" ref="O14" si="57">+N14/N$16</f>
        <v>1.5127902066238569E-2</v>
      </c>
      <c r="P14" s="509">
        <f>[6]Composition!H19</f>
        <v>193.47</v>
      </c>
      <c r="Q14" s="414">
        <f t="shared" ref="Q14:U14" si="58">+P14/P$16</f>
        <v>1.909430595499164E-2</v>
      </c>
      <c r="R14" s="509">
        <f>[7]Composition!J19</f>
        <v>161.9</v>
      </c>
      <c r="S14" s="414">
        <f t="shared" si="58"/>
        <v>1.579832785579903E-2</v>
      </c>
      <c r="T14" s="513">
        <f>[8]Composition!$L$19</f>
        <v>122.42</v>
      </c>
      <c r="U14" s="414">
        <f t="shared" si="58"/>
        <v>1.4221852535118986E-2</v>
      </c>
      <c r="V14" s="513">
        <f>[9]Composition!$N$19</f>
        <v>130.37</v>
      </c>
      <c r="W14" s="414">
        <f t="shared" si="7"/>
        <v>1.5150973694402291E-2</v>
      </c>
      <c r="X14" s="513">
        <f>[10]Composition!$P$19</f>
        <v>149.63</v>
      </c>
      <c r="Y14" s="414">
        <f t="shared" si="8"/>
        <v>1.4477205778343076E-2</v>
      </c>
      <c r="Z14" s="416">
        <f t="shared" si="9"/>
        <v>1414.4134145859405</v>
      </c>
      <c r="AA14" s="414">
        <f t="shared" si="10"/>
        <v>1.3831626691674806E-2</v>
      </c>
    </row>
    <row r="15" spans="1:27" s="417" customFormat="1" ht="15" x14ac:dyDescent="0.35">
      <c r="A15" s="413" t="s">
        <v>86</v>
      </c>
      <c r="B15" s="505">
        <f>[1]Composition!R20+[1]Composition!$R$17+[1]Composition!$R$16+[1]Composition!$R$15</f>
        <v>688.70210629473354</v>
      </c>
      <c r="C15" s="420">
        <f t="shared" si="0"/>
        <v>0.12890137617927797</v>
      </c>
      <c r="D15" s="508">
        <f>SUM([2]Composition!T15:T18,[2]Composition!T20)</f>
        <v>1338.0290578072111</v>
      </c>
      <c r="E15" s="420">
        <f t="shared" si="0"/>
        <v>0.19703439601098111</v>
      </c>
      <c r="F15" s="508">
        <f>SUM([2]Composition!V15:V18,[2]Composition!V20)</f>
        <v>1077.234335710426</v>
      </c>
      <c r="G15" s="420">
        <f t="shared" ref="G15" si="59">+F15/F$16</f>
        <v>0.15466504938447884</v>
      </c>
      <c r="H15" s="508">
        <f>SUM([2]Composition!X15:X18,[2]Composition!X20)</f>
        <v>1411.9905158528929</v>
      </c>
      <c r="I15" s="420">
        <f t="shared" ref="I15" si="60">+H15/H$16</f>
        <v>0.16065209211535317</v>
      </c>
      <c r="J15" s="510">
        <f>[3]Composition!$B$20+[3]Composition!$B$18+[3]Composition!$B$17+[3]Composition!$B$16+[3]Composition!$B$15</f>
        <v>856.43069772704246</v>
      </c>
      <c r="K15" s="420">
        <f t="shared" ref="K15" si="61">+J15/J$16</f>
        <v>0.11722950476649284</v>
      </c>
      <c r="L15" s="510">
        <f>[4]Composition!$D$20+[4]Composition!$D$17+[4]Composition!$D$16+[4]Composition!$D$15</f>
        <v>1184.4724999999999</v>
      </c>
      <c r="M15" s="420">
        <f t="shared" ref="M15" si="62">+L15/L$16</f>
        <v>0.1197994745894813</v>
      </c>
      <c r="N15" s="512">
        <f>[5]Composition!$F$20+[5]Composition!$F$16+[5]Composition!$F$15</f>
        <v>1809.2375</v>
      </c>
      <c r="O15" s="420">
        <f t="shared" ref="O15" si="63">+N15/N$16</f>
        <v>0.19558359092872876</v>
      </c>
      <c r="P15" s="510">
        <f>[6]Composition!$H$20+[6]Composition!$H$16+[6]Composition!$H$15+[6]Composition!$H$18</f>
        <v>2044.57</v>
      </c>
      <c r="Q15" s="420">
        <f t="shared" ref="Q15:U15" si="64">+P15/P$16</f>
        <v>0.20178655670851944</v>
      </c>
      <c r="R15" s="510">
        <f>[7]Composition!$J$20+[7]Composition!$J$18+[7]Composition!$J$16+[7]Composition!$J$15</f>
        <v>2202.9100000000003</v>
      </c>
      <c r="S15" s="420">
        <f t="shared" si="64"/>
        <v>0.21496167027065008</v>
      </c>
      <c r="T15" s="514">
        <f>[8]Composition!$L$20+[8]Composition!$L$16+[8]Composition!$L$17+[8]Composition!$L$18+[8]Composition!$L$15</f>
        <v>1696.0200000000002</v>
      </c>
      <c r="U15" s="420">
        <f t="shared" si="64"/>
        <v>0.1970310924408798</v>
      </c>
      <c r="V15" s="514">
        <f>[9]Composition!$N$20+[9]Composition!$N$18+[9]Composition!$N$16+[9]Composition!$N$15</f>
        <v>1802.9235000000001</v>
      </c>
      <c r="W15" s="420">
        <f t="shared" si="7"/>
        <v>0.20952708845224907</v>
      </c>
      <c r="X15" s="514">
        <f>[10]Composition!$P$20+[10]Composition!$P$18+[10]Composition!$P$16+[10]Composition!$P$15</f>
        <v>2359.2299999999996</v>
      </c>
      <c r="Y15" s="420">
        <f t="shared" si="8"/>
        <v>0.2282634377360177</v>
      </c>
      <c r="Z15" s="418">
        <f t="shared" si="9"/>
        <v>18471.750213392308</v>
      </c>
      <c r="AA15" s="420">
        <f t="shared" si="10"/>
        <v>0.18063626282016068</v>
      </c>
    </row>
    <row r="16" spans="1:27" s="417" customFormat="1" ht="15" x14ac:dyDescent="0.35">
      <c r="A16" s="419"/>
      <c r="B16" s="421">
        <f t="shared" ref="B16:C16" si="65">SUM(B5:B15)</f>
        <v>5342.8607723852101</v>
      </c>
      <c r="C16" s="422">
        <f t="shared" si="65"/>
        <v>1.0000000000000002</v>
      </c>
      <c r="D16" s="423">
        <f t="shared" ref="D16:T16" si="66">SUM(D5:D15)</f>
        <v>6790.8400000000011</v>
      </c>
      <c r="E16" s="422">
        <f t="shared" ref="E16" si="67">SUM(E5:E15)</f>
        <v>0.99999999999999978</v>
      </c>
      <c r="F16" s="423">
        <f t="shared" si="66"/>
        <v>6964.9500000000007</v>
      </c>
      <c r="G16" s="422">
        <f t="shared" ref="G16" si="68">SUM(G5:G15)</f>
        <v>0.99999999999999978</v>
      </c>
      <c r="H16" s="423">
        <f t="shared" si="66"/>
        <v>8789.1200000000008</v>
      </c>
      <c r="I16" s="422">
        <f t="shared" ref="I16" si="69">SUM(I5:I15)</f>
        <v>0.99999999999999978</v>
      </c>
      <c r="J16" s="423">
        <f t="shared" si="66"/>
        <v>7305.59</v>
      </c>
      <c r="K16" s="422">
        <f t="shared" ref="K16" si="70">SUM(K5:K15)</f>
        <v>1.0000000000000002</v>
      </c>
      <c r="L16" s="423">
        <f t="shared" si="66"/>
        <v>9887.1260000000002</v>
      </c>
      <c r="M16" s="422">
        <f t="shared" ref="M16" si="71">SUM(M5:M15)</f>
        <v>1</v>
      </c>
      <c r="N16" s="423">
        <f t="shared" si="66"/>
        <v>9250.4565000000002</v>
      </c>
      <c r="O16" s="422">
        <f t="shared" ref="O16" si="72">SUM(O5:O15)</f>
        <v>1</v>
      </c>
      <c r="P16" s="423">
        <f t="shared" si="66"/>
        <v>10132.34</v>
      </c>
      <c r="Q16" s="422">
        <f t="shared" ref="Q16:R16" si="73">SUM(Q5:Q15)</f>
        <v>1</v>
      </c>
      <c r="R16" s="424">
        <f t="shared" si="73"/>
        <v>10247.92</v>
      </c>
      <c r="S16" s="422">
        <f t="shared" ref="S16:V16" si="74">SUM(S5:S15)</f>
        <v>1</v>
      </c>
      <c r="T16" s="424">
        <f t="shared" si="66"/>
        <v>8607.8799999999992</v>
      </c>
      <c r="U16" s="422">
        <f t="shared" si="74"/>
        <v>1</v>
      </c>
      <c r="V16" s="424">
        <f t="shared" si="74"/>
        <v>8604.7275000000009</v>
      </c>
      <c r="W16" s="422">
        <f t="shared" ref="W16:X16" si="75">SUM(W5:W15)</f>
        <v>0.99999999999999989</v>
      </c>
      <c r="X16" s="424">
        <f t="shared" si="75"/>
        <v>10335.557999999999</v>
      </c>
      <c r="Y16" s="422">
        <f t="shared" ref="Y16:Z16" si="76">SUM(Y5:Y15)</f>
        <v>1</v>
      </c>
      <c r="Z16" s="424">
        <f t="shared" si="76"/>
        <v>102259.36877238522</v>
      </c>
      <c r="AA16" s="422">
        <f t="shared" ref="AA16" si="77">SUM(AA5:AA15)</f>
        <v>0.99999999999999989</v>
      </c>
    </row>
    <row r="17" spans="2:2" s="417" customFormat="1" x14ac:dyDescent="0.2"/>
    <row r="18" spans="2:2" s="417" customFormat="1" x14ac:dyDescent="0.2"/>
    <row r="19" spans="2:2" s="417" customFormat="1" x14ac:dyDescent="0.2">
      <c r="B19" s="417" t="s">
        <v>169</v>
      </c>
    </row>
    <row r="20" spans="2:2" s="417" customFormat="1" x14ac:dyDescent="0.2"/>
  </sheetData>
  <mergeCells count="13">
    <mergeCell ref="B3:C3"/>
    <mergeCell ref="D3:E3"/>
    <mergeCell ref="F3:G3"/>
    <mergeCell ref="H3:I3"/>
    <mergeCell ref="J3:K3"/>
    <mergeCell ref="X3:Y3"/>
    <mergeCell ref="Z3:AA3"/>
    <mergeCell ref="L3:M3"/>
    <mergeCell ref="N3:O3"/>
    <mergeCell ref="P3:Q3"/>
    <mergeCell ref="R3:S3"/>
    <mergeCell ref="V3:W3"/>
    <mergeCell ref="T3:U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8"/>
  <sheetViews>
    <sheetView topLeftCell="A18" workbookViewId="0">
      <selection activeCell="B31" sqref="B31"/>
    </sheetView>
  </sheetViews>
  <sheetFormatPr defaultRowHeight="12.75" x14ac:dyDescent="0.2"/>
  <cols>
    <col min="2" max="2" width="9.7109375" bestFit="1" customWidth="1"/>
    <col min="3" max="3" width="9.7109375" customWidth="1"/>
    <col min="4" max="4" width="11.28515625" bestFit="1" customWidth="1"/>
    <col min="5" max="5" width="8.7109375" bestFit="1" customWidth="1"/>
    <col min="6" max="6" width="10.28515625" bestFit="1" customWidth="1"/>
    <col min="7" max="7" width="9.28515625" bestFit="1" customWidth="1"/>
    <col min="8" max="8" width="10.7109375" bestFit="1" customWidth="1"/>
    <col min="9" max="9" width="8.7109375" bestFit="1" customWidth="1"/>
    <col min="10" max="11" width="10.28515625" bestFit="1" customWidth="1"/>
    <col min="12" max="12" width="9.28515625" bestFit="1" customWidth="1"/>
  </cols>
  <sheetData>
    <row r="1" spans="1:13" ht="26.25" x14ac:dyDescent="0.4">
      <c r="A1" s="7" t="s">
        <v>18</v>
      </c>
    </row>
    <row r="2" spans="1:13" ht="18" x14ac:dyDescent="0.25">
      <c r="A2" s="5" t="s">
        <v>89</v>
      </c>
    </row>
    <row r="3" spans="1:13" x14ac:dyDescent="0.2">
      <c r="A3" s="6" t="s">
        <v>87</v>
      </c>
    </row>
    <row r="5" spans="1:13" x14ac:dyDescent="0.2">
      <c r="D5" s="40"/>
      <c r="E5" s="40"/>
      <c r="F5" s="40"/>
      <c r="G5" s="40"/>
      <c r="H5" s="40"/>
      <c r="I5" s="40"/>
      <c r="J5" s="40"/>
      <c r="K5" s="40"/>
      <c r="L5" s="40"/>
    </row>
    <row r="6" spans="1:13" x14ac:dyDescent="0.2">
      <c r="C6" s="2"/>
      <c r="D6" s="41" t="s">
        <v>46</v>
      </c>
      <c r="E6" s="41"/>
      <c r="F6" s="41" t="s">
        <v>1</v>
      </c>
      <c r="G6" s="41"/>
      <c r="H6" s="41" t="s">
        <v>47</v>
      </c>
      <c r="I6" s="41"/>
      <c r="J6" s="41" t="s">
        <v>2</v>
      </c>
      <c r="K6" s="41" t="s">
        <v>2</v>
      </c>
      <c r="L6" s="41" t="s">
        <v>48</v>
      </c>
    </row>
    <row r="7" spans="1:13" x14ac:dyDescent="0.2">
      <c r="B7" s="10" t="s">
        <v>22</v>
      </c>
      <c r="C7" s="10" t="s">
        <v>92</v>
      </c>
      <c r="D7" s="42" t="s">
        <v>49</v>
      </c>
      <c r="E7" s="42" t="s">
        <v>50</v>
      </c>
      <c r="F7" s="42" t="s">
        <v>51</v>
      </c>
      <c r="G7" s="42" t="s">
        <v>4</v>
      </c>
      <c r="H7" s="42" t="s">
        <v>52</v>
      </c>
      <c r="I7" s="42" t="s">
        <v>3</v>
      </c>
      <c r="J7" s="42" t="s">
        <v>53</v>
      </c>
      <c r="K7" s="42" t="s">
        <v>54</v>
      </c>
      <c r="L7" s="42" t="s">
        <v>55</v>
      </c>
      <c r="M7" s="59" t="s">
        <v>86</v>
      </c>
    </row>
    <row r="8" spans="1:13" x14ac:dyDescent="0.2">
      <c r="D8" s="42"/>
      <c r="E8" s="42"/>
      <c r="F8" s="42"/>
      <c r="G8" s="42"/>
      <c r="H8" s="42"/>
      <c r="I8" s="42"/>
      <c r="J8" s="42"/>
      <c r="K8" s="42"/>
      <c r="L8" s="42"/>
    </row>
    <row r="9" spans="1:13" x14ac:dyDescent="0.2">
      <c r="A9" s="12" t="s">
        <v>56</v>
      </c>
      <c r="D9" s="42"/>
      <c r="E9" s="42"/>
      <c r="F9" s="42"/>
      <c r="G9" s="42"/>
      <c r="H9" s="42"/>
      <c r="I9" s="42"/>
      <c r="J9" s="42"/>
      <c r="K9" s="42"/>
      <c r="L9" s="42"/>
    </row>
    <row r="10" spans="1:13" x14ac:dyDescent="0.2">
      <c r="A10" s="4" t="s">
        <v>58</v>
      </c>
      <c r="B10" s="63">
        <f t="shared" ref="B10:B21" si="0">SUM(C10:M10)</f>
        <v>1</v>
      </c>
      <c r="C10" s="58">
        <f>+'Reg. Res''l - SS Mix &amp; Prices'!C10</f>
        <v>0</v>
      </c>
      <c r="D10" s="58">
        <f>+'Reg. Res''l - SS Mix &amp; Prices'!D10</f>
        <v>0.29095737882463113</v>
      </c>
      <c r="E10" s="58">
        <f>+'Reg. Res''l - SS Mix &amp; Prices'!E10</f>
        <v>0.3793155129021179</v>
      </c>
      <c r="F10" s="58">
        <f>+'Reg. Res''l - SS Mix &amp; Prices'!F10</f>
        <v>1.2655231338032362E-2</v>
      </c>
      <c r="G10" s="58">
        <f>+'Reg. Res''l - SS Mix &amp; Prices'!H10</f>
        <v>0.14185630861505319</v>
      </c>
      <c r="H10" s="58">
        <f>+'Reg. Res''l - SS Mix &amp; Prices'!G10</f>
        <v>1.4725163547087829E-2</v>
      </c>
      <c r="I10" s="58">
        <f>+'Reg. Res''l - SS Mix &amp; Prices'!I10</f>
        <v>1.8435800338790029E-2</v>
      </c>
      <c r="J10" s="58">
        <f>+'Reg. Res''l - SS Mix &amp; Prices'!J10</f>
        <v>4.446501553962116E-3</v>
      </c>
      <c r="K10" s="58">
        <f>+'Reg. Res''l - SS Mix &amp; Prices'!K10</f>
        <v>6.1095268369759205E-3</v>
      </c>
      <c r="L10" s="58">
        <f>+'Reg. Res''l - SS Mix &amp; Prices'!L10</f>
        <v>2.5971998640716477E-3</v>
      </c>
      <c r="M10" s="58">
        <f>+'Reg. Res''l - SS Mix &amp; Prices'!M10</f>
        <v>0.12890137617927777</v>
      </c>
    </row>
    <row r="11" spans="1:13" x14ac:dyDescent="0.2">
      <c r="A11" s="4" t="s">
        <v>35</v>
      </c>
      <c r="B11" s="63">
        <f t="shared" si="0"/>
        <v>1</v>
      </c>
      <c r="C11" s="58">
        <f>+'Reg. Res''l - SS Mix &amp; Prices'!C11</f>
        <v>0</v>
      </c>
      <c r="D11" s="58">
        <f>+'Reg. Res''l - SS Mix &amp; Prices'!D11</f>
        <v>0.15662451429535507</v>
      </c>
      <c r="E11" s="58">
        <f>+'Reg. Res''l - SS Mix &amp; Prices'!E11</f>
        <v>0.3966504908379252</v>
      </c>
      <c r="F11" s="58">
        <f>+'Reg. Res''l - SS Mix &amp; Prices'!F11</f>
        <v>1.8846545608997733E-2</v>
      </c>
      <c r="G11" s="58">
        <f>+'Reg. Res''l - SS Mix &amp; Prices'!H11</f>
        <v>0.17207839522563009</v>
      </c>
      <c r="H11" s="58">
        <f>+'Reg. Res''l - SS Mix &amp; Prices'!G11</f>
        <v>1.7207677942724316E-2</v>
      </c>
      <c r="I11" s="58">
        <f>+'Reg. Res''l - SS Mix &amp; Prices'!I11</f>
        <v>3.2370407738296275E-2</v>
      </c>
      <c r="J11" s="58">
        <f>+'Reg. Res''l - SS Mix &amp; Prices'!J11</f>
        <v>1.0531244946312061E-3</v>
      </c>
      <c r="K11" s="58">
        <f>+'Reg. Res''l - SS Mix &amp; Prices'!K11</f>
        <v>5.6840416487255246E-3</v>
      </c>
      <c r="L11" s="58">
        <f>+'Reg. Res''l - SS Mix &amp; Prices'!L11</f>
        <v>2.4504061967333857E-3</v>
      </c>
      <c r="M11" s="58">
        <f>+'Reg. Res''l - SS Mix &amp; Prices'!M11</f>
        <v>0.19703439601098138</v>
      </c>
    </row>
    <row r="12" spans="1:13" x14ac:dyDescent="0.2">
      <c r="A12" s="4" t="s">
        <v>36</v>
      </c>
      <c r="B12" s="63">
        <f t="shared" si="0"/>
        <v>1</v>
      </c>
      <c r="C12" s="58">
        <f>+'Reg. Res''l - SS Mix &amp; Prices'!C12</f>
        <v>0</v>
      </c>
      <c r="D12" s="58">
        <f>+'Reg. Res''l - SS Mix &amp; Prices'!D12</f>
        <v>0.25890114022670857</v>
      </c>
      <c r="E12" s="58">
        <f>+'Reg. Res''l - SS Mix &amp; Prices'!E12</f>
        <v>0.26881946349916697</v>
      </c>
      <c r="F12" s="58">
        <f>+'Reg. Res''l - SS Mix &amp; Prices'!F12</f>
        <v>8.4376992613428778E-3</v>
      </c>
      <c r="G12" s="58">
        <f>+'Reg. Res''l - SS Mix &amp; Prices'!H12</f>
        <v>0.26311847314581116</v>
      </c>
      <c r="H12" s="58">
        <f>+'Reg. Res''l - SS Mix &amp; Prices'!G12</f>
        <v>1.5022402394438871E-2</v>
      </c>
      <c r="I12" s="58">
        <f>+'Reg. Res''l - SS Mix &amp; Prices'!I12</f>
        <v>2.3100770505722679E-2</v>
      </c>
      <c r="J12" s="58">
        <f>+'Reg. Res''l - SS Mix &amp; Prices'!J12</f>
        <v>6.9293754050628754E-4</v>
      </c>
      <c r="K12" s="58">
        <f>+'Reg. Res''l - SS Mix &amp; Prices'!K12</f>
        <v>4.0175132269772325E-3</v>
      </c>
      <c r="L12" s="58">
        <f>+'Reg. Res''l - SS Mix &amp; Prices'!L12</f>
        <v>3.2245508148463866E-3</v>
      </c>
      <c r="M12" s="58">
        <f>+'Reg. Res''l - SS Mix &amp; Prices'!M12</f>
        <v>0.15466504938447911</v>
      </c>
    </row>
    <row r="13" spans="1:13" x14ac:dyDescent="0.2">
      <c r="A13" s="4" t="s">
        <v>37</v>
      </c>
      <c r="B13" s="63">
        <f t="shared" si="0"/>
        <v>0.99999999999999989</v>
      </c>
      <c r="C13" s="58">
        <f>+'Reg. Res''l - SS Mix &amp; Prices'!C13</f>
        <v>0</v>
      </c>
      <c r="D13" s="58">
        <f>+'Reg. Res''l - SS Mix &amp; Prices'!D13</f>
        <v>0.22727342118888369</v>
      </c>
      <c r="E13" s="58">
        <f>+'Reg. Res''l - SS Mix &amp; Prices'!E13</f>
        <v>0.28312710215132281</v>
      </c>
      <c r="F13" s="58">
        <f>+'Reg. Res''l - SS Mix &amp; Prices'!F13</f>
        <v>1.1567130674126076E-2</v>
      </c>
      <c r="G13" s="58">
        <f>+'Reg. Res''l - SS Mix &amp; Prices'!H13</f>
        <v>0.28781835248478044</v>
      </c>
      <c r="H13" s="58">
        <f>+'Reg. Res''l - SS Mix &amp; Prices'!G13</f>
        <v>4.1691898111569847E-3</v>
      </c>
      <c r="I13" s="58">
        <f>+'Reg. Res''l - SS Mix &amp; Prices'!I13</f>
        <v>1.3161373358688911E-2</v>
      </c>
      <c r="J13" s="58">
        <f>+'Reg. Res''l - SS Mix &amp; Prices'!J13</f>
        <v>6.5704867690248841E-3</v>
      </c>
      <c r="K13" s="58">
        <f>+'Reg. Res''l - SS Mix &amp; Prices'!K13</f>
        <v>1.3775131572444817E-3</v>
      </c>
      <c r="L13" s="58">
        <f>+'Reg. Res''l - SS Mix &amp; Prices'!L13</f>
        <v>4.2833382894184695E-3</v>
      </c>
      <c r="M13" s="58">
        <f>+'Reg. Res''l - SS Mix &amp; Prices'!M13</f>
        <v>0.16065209211535325</v>
      </c>
    </row>
    <row r="14" spans="1:13" x14ac:dyDescent="0.2">
      <c r="A14" s="4" t="s">
        <v>45</v>
      </c>
      <c r="B14" s="63">
        <f t="shared" si="0"/>
        <v>1</v>
      </c>
      <c r="C14" s="58">
        <f>+'Reg. Res''l - SS Mix &amp; Prices'!C14</f>
        <v>0</v>
      </c>
      <c r="D14" s="58">
        <f>+'Reg. Res''l - SS Mix &amp; Prices'!D14</f>
        <v>0.3108522229436349</v>
      </c>
      <c r="E14" s="58">
        <f>+'Reg. Res''l - SS Mix &amp; Prices'!E14</f>
        <v>0.27230173218791809</v>
      </c>
      <c r="F14" s="58">
        <f>+'Reg. Res''l - SS Mix &amp; Prices'!F14</f>
        <v>1.3993983076742407E-2</v>
      </c>
      <c r="G14" s="58">
        <f>+'Reg. Res''l - SS Mix &amp; Prices'!H14</f>
        <v>0.22717777431991823</v>
      </c>
      <c r="H14" s="58">
        <f>+'Reg. Res''l - SS Mix &amp; Prices'!G14</f>
        <v>2.9690329066502669E-3</v>
      </c>
      <c r="I14" s="58">
        <f>+'Reg. Res''l - SS Mix &amp; Prices'!I14</f>
        <v>2.9012723280005551E-2</v>
      </c>
      <c r="J14" s="58">
        <f>+'Reg. Res''l - SS Mix &amp; Prices'!J14</f>
        <v>4.2485882297051466E-3</v>
      </c>
      <c r="K14" s="58">
        <f>+'Reg. Res''l - SS Mix &amp; Prices'!K14</f>
        <v>3.1193214155103605E-3</v>
      </c>
      <c r="L14" s="58">
        <f>+'Reg. Res''l - SS Mix &amp; Prices'!L14</f>
        <v>1.620967573067024E-3</v>
      </c>
      <c r="M14" s="58">
        <f>+'Reg. Res''l - SS Mix &amp; Prices'!M14</f>
        <v>0.13470365406684781</v>
      </c>
    </row>
    <row r="15" spans="1:13" x14ac:dyDescent="0.2">
      <c r="A15" s="4" t="s">
        <v>38</v>
      </c>
      <c r="B15" s="63">
        <f t="shared" si="0"/>
        <v>1</v>
      </c>
      <c r="C15" s="58">
        <f>+'Reg. Res''l - SS Mix &amp; Prices'!C15</f>
        <v>0</v>
      </c>
      <c r="D15" s="58">
        <f>+'Reg. Res''l - SS Mix &amp; Prices'!D15</f>
        <v>0.33786259020063059</v>
      </c>
      <c r="E15" s="58">
        <f>+'Reg. Res''l - SS Mix &amp; Prices'!E15</f>
        <v>0.20226605790196261</v>
      </c>
      <c r="F15" s="58">
        <f>+'Reg. Res''l - SS Mix &amp; Prices'!F15</f>
        <v>1.6508690189646617E-2</v>
      </c>
      <c r="G15" s="58">
        <f>+'Reg. Res''l - SS Mix &amp; Prices'!H15</f>
        <v>0.23333069690828254</v>
      </c>
      <c r="H15" s="58">
        <f>+'Reg. Res''l - SS Mix &amp; Prices'!G15</f>
        <v>1.5999593815230029E-2</v>
      </c>
      <c r="I15" s="58">
        <f>+'Reg. Res''l - SS Mix &amp; Prices'!I15</f>
        <v>3.1820166952459192E-2</v>
      </c>
      <c r="J15" s="58">
        <f>+'Reg. Res''l - SS Mix &amp; Prices'!J15</f>
        <v>5.5010930375520651E-3</v>
      </c>
      <c r="K15" s="58">
        <f>+'Reg. Res''l - SS Mix &amp; Prices'!K15</f>
        <v>6.9403383753782449E-3</v>
      </c>
      <c r="L15" s="58">
        <f>+'Reg. Res''l - SS Mix &amp; Prices'!L15</f>
        <v>0</v>
      </c>
      <c r="M15" s="58">
        <f>+'Reg. Res''l - SS Mix &amp; Prices'!M15</f>
        <v>0.14977077261885818</v>
      </c>
    </row>
    <row r="16" spans="1:13" x14ac:dyDescent="0.2">
      <c r="A16" s="4" t="s">
        <v>39</v>
      </c>
      <c r="B16" s="63">
        <f t="shared" si="0"/>
        <v>1</v>
      </c>
      <c r="C16" s="58">
        <f>+'Reg. Res''l - SS Mix &amp; Prices'!C16</f>
        <v>0</v>
      </c>
      <c r="D16" s="58">
        <f>+'Reg. Res''l - SS Mix &amp; Prices'!D16</f>
        <v>0.25073140984988146</v>
      </c>
      <c r="E16" s="58">
        <f>+'Reg. Res''l - SS Mix &amp; Prices'!E16</f>
        <v>0.22165879056887627</v>
      </c>
      <c r="F16" s="58">
        <f>+'Reg. Res''l - SS Mix &amp; Prices'!F16</f>
        <v>1.7833065860047015E-2</v>
      </c>
      <c r="G16" s="58">
        <f>+'Reg. Res''l - SS Mix &amp; Prices'!H16</f>
        <v>0.1602034450948448</v>
      </c>
      <c r="H16" s="58">
        <f>+'Reg. Res''l - SS Mix &amp; Prices'!G16</f>
        <v>1.5127902066238569E-2</v>
      </c>
      <c r="I16" s="58">
        <f>+'Reg. Res''l - SS Mix &amp; Prices'!I16</f>
        <v>3.645063354440941E-2</v>
      </c>
      <c r="J16" s="58">
        <f>+'Reg. Res''l - SS Mix &amp; Prices'!J16</f>
        <v>5.2073105797535504E-3</v>
      </c>
      <c r="K16" s="58">
        <f>+'Reg. Res''l - SS Mix &amp; Prices'!K16</f>
        <v>8.5703878505887787E-3</v>
      </c>
      <c r="L16" s="58">
        <f>+'Reg. Res''l - SS Mix &amp; Prices'!L16</f>
        <v>0</v>
      </c>
      <c r="M16" s="58">
        <f>+'Reg. Res''l - SS Mix &amp; Prices'!M16</f>
        <v>0.28421705458536017</v>
      </c>
    </row>
    <row r="17" spans="1:17" x14ac:dyDescent="0.2">
      <c r="A17" s="4" t="s">
        <v>40</v>
      </c>
      <c r="B17" s="63">
        <f t="shared" si="0"/>
        <v>1</v>
      </c>
      <c r="C17" s="58">
        <f>+'Reg. Res''l - SS Mix &amp; Prices'!C17</f>
        <v>0</v>
      </c>
      <c r="D17" s="58">
        <f>+'Reg. Res''l - SS Mix &amp; Prices'!D17</f>
        <v>0.15396344773270537</v>
      </c>
      <c r="E17" s="58">
        <f>+'Reg. Res''l - SS Mix &amp; Prices'!E17</f>
        <v>0.23160987491537</v>
      </c>
      <c r="F17" s="58">
        <f>+'Reg. Res''l - SS Mix &amp; Prices'!F17</f>
        <v>1.8978834109396252E-2</v>
      </c>
      <c r="G17" s="58">
        <f>+'Reg. Res''l - SS Mix &amp; Prices'!H17</f>
        <v>0.15805727008765991</v>
      </c>
      <c r="H17" s="58">
        <f>+'Reg. Res''l - SS Mix &amp; Prices'!G17</f>
        <v>1.909430595499164E-2</v>
      </c>
      <c r="I17" s="58">
        <f>+'Reg. Res''l - SS Mix &amp; Prices'!I17</f>
        <v>3.3855950353028026E-2</v>
      </c>
      <c r="J17" s="58">
        <f>+'Reg. Res''l - SS Mix &amp; Prices'!J17</f>
        <v>5.0254926305275975E-3</v>
      </c>
      <c r="K17" s="58">
        <f>+'Reg. Res''l - SS Mix &amp; Prices'!K17</f>
        <v>8.3958888075212623E-3</v>
      </c>
      <c r="L17" s="58">
        <f>+'Reg. Res''l - SS Mix &amp; Prices'!L17</f>
        <v>0</v>
      </c>
      <c r="M17" s="58">
        <f>+'Reg. Res''l - SS Mix &amp; Prices'!M17</f>
        <v>0.37101893540879993</v>
      </c>
    </row>
    <row r="18" spans="1:17" x14ac:dyDescent="0.2">
      <c r="A18" s="4" t="s">
        <v>10</v>
      </c>
      <c r="B18" s="63">
        <f t="shared" si="0"/>
        <v>1</v>
      </c>
      <c r="C18" s="58">
        <f>+'Reg. Res''l - SS Mix &amp; Prices'!C18</f>
        <v>0</v>
      </c>
      <c r="D18" s="58">
        <f>+'Reg. Res''l - SS Mix &amp; Prices'!D18</f>
        <v>0.15671472845221274</v>
      </c>
      <c r="E18" s="58">
        <f>+'Reg. Res''l - SS Mix &amp; Prices'!E18</f>
        <v>0.22207530894074115</v>
      </c>
      <c r="F18" s="58">
        <f>+'Reg. Res''l - SS Mix &amp; Prices'!F18</f>
        <v>1.8301274795275529E-2</v>
      </c>
      <c r="G18" s="58">
        <f>+'Reg. Res''l - SS Mix &amp; Prices'!H18</f>
        <v>0.15069399448863768</v>
      </c>
      <c r="H18" s="58">
        <f>+'Reg. Res''l - SS Mix &amp; Prices'!G18</f>
        <v>1.579832785579903E-2</v>
      </c>
      <c r="I18" s="58">
        <f>+'Reg. Res''l - SS Mix &amp; Prices'!I18</f>
        <v>4.1378152834916748E-2</v>
      </c>
      <c r="J18" s="58">
        <f>+'Reg. Res''l - SS Mix &amp; Prices'!J18</f>
        <v>5.4762332258643702E-3</v>
      </c>
      <c r="K18" s="58">
        <f>+'Reg. Res''l - SS Mix &amp; Prices'!K18</f>
        <v>1.1440370338566265E-2</v>
      </c>
      <c r="L18" s="58">
        <f>+'Reg. Res''l - SS Mix &amp; Prices'!L18</f>
        <v>0</v>
      </c>
      <c r="M18" s="58">
        <f>+'Reg. Res''l - SS Mix &amp; Prices'!M18</f>
        <v>0.37812160906798653</v>
      </c>
    </row>
    <row r="19" spans="1:17" x14ac:dyDescent="0.2">
      <c r="A19" s="4" t="s">
        <v>41</v>
      </c>
      <c r="B19" s="63">
        <f t="shared" si="0"/>
        <v>1</v>
      </c>
      <c r="C19" s="58">
        <f>+'Reg. Res''l - SS Mix &amp; Prices'!C19</f>
        <v>0</v>
      </c>
      <c r="D19" s="58">
        <f>+'Reg. Res''l - SS Mix &amp; Prices'!D19</f>
        <v>0.21392375358392546</v>
      </c>
      <c r="E19" s="58">
        <f>+'Reg. Res''l - SS Mix &amp; Prices'!E19</f>
        <v>0.28918270236109245</v>
      </c>
      <c r="F19" s="58">
        <f>+'Reg. Res''l - SS Mix &amp; Prices'!F19</f>
        <v>1.7648944920235877E-2</v>
      </c>
      <c r="G19" s="58">
        <f>+'Reg. Res''l - SS Mix &amp; Prices'!H19</f>
        <v>0.15736743541963874</v>
      </c>
      <c r="H19" s="58">
        <f>+'Reg. Res''l - SS Mix &amp; Prices'!G19</f>
        <v>1.4221852535118986E-2</v>
      </c>
      <c r="I19" s="58">
        <f>+'Reg. Res''l - SS Mix &amp; Prices'!I19</f>
        <v>3.1608247326867941E-2</v>
      </c>
      <c r="J19" s="58">
        <f>+'Reg. Res''l - SS Mix &amp; Prices'!J19</f>
        <v>5.1487706613010413E-3</v>
      </c>
      <c r="K19" s="58">
        <f>+'Reg. Res''l - SS Mix &amp; Prices'!K19</f>
        <v>8.8151786502599951E-3</v>
      </c>
      <c r="L19" s="58">
        <f>+'Reg. Res''l - SS Mix &amp; Prices'!L19</f>
        <v>0</v>
      </c>
      <c r="M19" s="58">
        <f>+'Reg. Res''l - SS Mix &amp; Prices'!M19</f>
        <v>0.26208311454155953</v>
      </c>
    </row>
    <row r="20" spans="1:17" x14ac:dyDescent="0.2">
      <c r="A20" s="4" t="s">
        <v>42</v>
      </c>
      <c r="B20" s="63">
        <f t="shared" si="0"/>
        <v>1</v>
      </c>
      <c r="C20" s="58">
        <f>+'Reg. Res''l - SS Mix &amp; Prices'!C20</f>
        <v>0</v>
      </c>
      <c r="D20" s="58">
        <f>+'Reg. Res''l - SS Mix &amp; Prices'!D20</f>
        <v>0.12015604212916675</v>
      </c>
      <c r="E20" s="58">
        <f>+'Reg. Res''l - SS Mix &amp; Prices'!E20</f>
        <v>0.2641466565908101</v>
      </c>
      <c r="F20" s="58">
        <f>+'Reg. Res''l - SS Mix &amp; Prices'!F20</f>
        <v>1.7057367592407776E-2</v>
      </c>
      <c r="G20" s="58">
        <f>+'Reg. Res''l - SS Mix &amp; Prices'!H20</f>
        <v>0.16113351643035759</v>
      </c>
      <c r="H20" s="58">
        <f>+'Reg. Res''l - SS Mix &amp; Prices'!G20</f>
        <v>1.5150973694402291E-2</v>
      </c>
      <c r="I20" s="58">
        <f>+'Reg. Res''l - SS Mix &amp; Prices'!I20</f>
        <v>3.8355659723099886E-2</v>
      </c>
      <c r="J20" s="58">
        <f>+'Reg. Res''l - SS Mix &amp; Prices'!J20</f>
        <v>4.7648225931617239E-3</v>
      </c>
      <c r="K20" s="58">
        <f>+'Reg. Res''l - SS Mix &amp; Prices'!K20</f>
        <v>8.4569790269360644E-3</v>
      </c>
      <c r="L20" s="58">
        <f>+'Reg. Res''l - SS Mix &amp; Prices'!L20</f>
        <v>0</v>
      </c>
      <c r="M20" s="58">
        <f>+'Reg. Res''l - SS Mix &amp; Prices'!M20</f>
        <v>0.37077798221965785</v>
      </c>
    </row>
    <row r="21" spans="1:17" x14ac:dyDescent="0.2">
      <c r="A21" s="4" t="s">
        <v>43</v>
      </c>
      <c r="B21" s="63">
        <f t="shared" si="0"/>
        <v>1</v>
      </c>
      <c r="C21" s="58">
        <f>+'Reg. Res''l - SS Mix &amp; Prices'!C21</f>
        <v>0</v>
      </c>
      <c r="D21" s="58">
        <f>+'Reg. Res''l - SS Mix &amp; Prices'!D21</f>
        <v>0.24113840781504006</v>
      </c>
      <c r="E21" s="58">
        <f>+'Reg. Res''l - SS Mix &amp; Prices'!E21</f>
        <v>0.20711141091753346</v>
      </c>
      <c r="F21" s="58">
        <f>+'Reg. Res''l - SS Mix &amp; Prices'!F21</f>
        <v>1.5121679932520336E-2</v>
      </c>
      <c r="G21" s="58">
        <f>+'Reg. Res''l - SS Mix &amp; Prices'!H21</f>
        <v>0.15776264813181834</v>
      </c>
      <c r="H21" s="58">
        <f>+'Reg. Res''l - SS Mix &amp; Prices'!G21</f>
        <v>1.4477205778343076E-2</v>
      </c>
      <c r="I21" s="58">
        <f>+'Reg. Res''l - SS Mix &amp; Prices'!I21</f>
        <v>3.5996121351164589E-2</v>
      </c>
      <c r="J21" s="58">
        <f>+'Reg. Res''l - SS Mix &amp; Prices'!J21</f>
        <v>4.8986227932734739E-3</v>
      </c>
      <c r="K21" s="58">
        <f>+'Reg. Res''l - SS Mix &amp; Prices'!K21</f>
        <v>9.3115437018494798E-3</v>
      </c>
      <c r="L21" s="58">
        <f>+'Reg. Res''l - SS Mix &amp; Prices'!L21</f>
        <v>0</v>
      </c>
      <c r="M21" s="58">
        <f>+'Reg. Res''l - SS Mix &amp; Prices'!M21</f>
        <v>0.31418235957845719</v>
      </c>
    </row>
    <row r="24" spans="1:17" x14ac:dyDescent="0.2">
      <c r="A24" s="12" t="s">
        <v>59</v>
      </c>
    </row>
    <row r="25" spans="1:17" x14ac:dyDescent="0.2">
      <c r="A25" s="4" t="s">
        <v>58</v>
      </c>
      <c r="B25" s="68">
        <f>+'Calculation of Revenue'!D33</f>
        <v>37.396500786460798</v>
      </c>
      <c r="C25" s="21">
        <f t="shared" ref="C25:M25" si="1">+$B25*C10</f>
        <v>0</v>
      </c>
      <c r="D25" s="21">
        <f t="shared" si="1"/>
        <v>10.880787846041891</v>
      </c>
      <c r="E25" s="21">
        <f t="shared" si="1"/>
        <v>14.185072876560833</v>
      </c>
      <c r="F25" s="21">
        <f t="shared" si="1"/>
        <v>0.47326136868557056</v>
      </c>
      <c r="G25" s="21">
        <f t="shared" si="1"/>
        <v>5.3049295566872621</v>
      </c>
      <c r="H25" s="21">
        <f t="shared" si="1"/>
        <v>0.55066959016943384</v>
      </c>
      <c r="I25" s="21">
        <f t="shared" si="1"/>
        <v>0.6894344218685956</v>
      </c>
      <c r="J25" s="21">
        <f t="shared" si="1"/>
        <v>0.16628359885974345</v>
      </c>
      <c r="K25" s="21">
        <f t="shared" si="1"/>
        <v>0.22847492516387335</v>
      </c>
      <c r="L25" s="21">
        <f t="shared" si="1"/>
        <v>9.7126186759351252E-2</v>
      </c>
      <c r="M25" s="21">
        <f t="shared" si="1"/>
        <v>4.8204604156642405</v>
      </c>
      <c r="O25" s="68"/>
      <c r="Q25" s="69"/>
    </row>
    <row r="26" spans="1:17" x14ac:dyDescent="0.2">
      <c r="A26" s="4" t="s">
        <v>35</v>
      </c>
      <c r="B26" s="68">
        <f>+'Calculation of Revenue'!D34</f>
        <v>38.060059857009001</v>
      </c>
      <c r="C26" s="21">
        <f t="shared" ref="C26:M26" si="2">+$B26*C11</f>
        <v>0</v>
      </c>
      <c r="D26" s="21">
        <f t="shared" si="2"/>
        <v>5.9611383891561758</v>
      </c>
      <c r="E26" s="21">
        <f t="shared" si="2"/>
        <v>15.096541423603433</v>
      </c>
      <c r="F26" s="21">
        <f t="shared" si="2"/>
        <v>0.71730065397630394</v>
      </c>
      <c r="G26" s="21">
        <f t="shared" si="2"/>
        <v>6.5493140223855333</v>
      </c>
      <c r="H26" s="21">
        <f t="shared" si="2"/>
        <v>0.65492525250022104</v>
      </c>
      <c r="I26" s="21">
        <f t="shared" si="2"/>
        <v>1.2320196561153436</v>
      </c>
      <c r="J26" s="21">
        <f t="shared" si="2"/>
        <v>4.008198130254606E-2</v>
      </c>
      <c r="K26" s="21">
        <f t="shared" si="2"/>
        <v>0.21633496538022559</v>
      </c>
      <c r="L26" s="21">
        <f t="shared" si="2"/>
        <v>9.3262606521658437E-2</v>
      </c>
      <c r="M26" s="21">
        <f t="shared" si="2"/>
        <v>7.4991409060675673</v>
      </c>
      <c r="O26" s="68"/>
      <c r="Q26" s="69"/>
    </row>
    <row r="27" spans="1:17" x14ac:dyDescent="0.2">
      <c r="A27" s="4" t="s">
        <v>36</v>
      </c>
      <c r="B27" s="68">
        <f>+'Calculation of Revenue'!D35</f>
        <v>43.150588370281298</v>
      </c>
      <c r="C27" s="21">
        <f t="shared" ref="C27:M27" si="3">+$B27*C12</f>
        <v>0</v>
      </c>
      <c r="D27" s="21">
        <f t="shared" si="3"/>
        <v>11.171736530519178</v>
      </c>
      <c r="E27" s="21">
        <f t="shared" si="3"/>
        <v>11.599718015372412</v>
      </c>
      <c r="F27" s="21">
        <f t="shared" si="3"/>
        <v>0.36409168761843308</v>
      </c>
      <c r="G27" s="21">
        <f t="shared" si="3"/>
        <v>11.353716927331812</v>
      </c>
      <c r="H27" s="21">
        <f t="shared" si="3"/>
        <v>0.64822550205515983</v>
      </c>
      <c r="I27" s="21">
        <f t="shared" si="3"/>
        <v>0.99681183912877425</v>
      </c>
      <c r="J27" s="21">
        <f t="shared" si="3"/>
        <v>2.9900662576701938E-2</v>
      </c>
      <c r="K27" s="21">
        <f t="shared" si="3"/>
        <v>0.17335805952945504</v>
      </c>
      <c r="L27" s="21">
        <f t="shared" si="3"/>
        <v>0.13914126489049158</v>
      </c>
      <c r="M27" s="21">
        <f t="shared" si="3"/>
        <v>6.6738878812588869</v>
      </c>
      <c r="O27" s="68"/>
      <c r="Q27" s="69"/>
    </row>
    <row r="28" spans="1:17" x14ac:dyDescent="0.2">
      <c r="A28" s="4" t="s">
        <v>37</v>
      </c>
      <c r="B28" s="68">
        <f>+'Calculation of Revenue'!D36</f>
        <v>42.344512485863099</v>
      </c>
      <c r="C28" s="21">
        <f t="shared" ref="C28:M28" si="4">+$B28*C13</f>
        <v>0</v>
      </c>
      <c r="D28" s="21">
        <f t="shared" si="4"/>
        <v>9.6237822212375086</v>
      </c>
      <c r="E28" s="21">
        <f t="shared" si="4"/>
        <v>11.988879112132926</v>
      </c>
      <c r="F28" s="21">
        <f t="shared" si="4"/>
        <v>0.48980450925614166</v>
      </c>
      <c r="G28" s="21">
        <f t="shared" si="4"/>
        <v>12.187527820452331</v>
      </c>
      <c r="H28" s="21">
        <f t="shared" si="4"/>
        <v>0.17654231001447016</v>
      </c>
      <c r="I28" s="21">
        <f t="shared" si="4"/>
        <v>0.55731193851810856</v>
      </c>
      <c r="J28" s="21">
        <f t="shared" si="4"/>
        <v>0.27822405902917252</v>
      </c>
      <c r="K28" s="21">
        <f t="shared" si="4"/>
        <v>5.8330123086379651E-2</v>
      </c>
      <c r="L28" s="21">
        <f t="shared" si="4"/>
        <v>0.18137587167745586</v>
      </c>
      <c r="M28" s="21">
        <f t="shared" si="4"/>
        <v>6.8027345204586043</v>
      </c>
      <c r="O28" s="68"/>
      <c r="Q28" s="69"/>
    </row>
    <row r="29" spans="1:17" x14ac:dyDescent="0.2">
      <c r="A29" s="4" t="s">
        <v>45</v>
      </c>
      <c r="B29" s="68">
        <f>+'Calculation of Revenue'!D37</f>
        <v>50.108476345413997</v>
      </c>
      <c r="C29" s="21">
        <f t="shared" ref="C29:M29" si="5">+$B29*C14</f>
        <v>0</v>
      </c>
      <c r="D29" s="21">
        <f t="shared" si="5"/>
        <v>15.576331260290488</v>
      </c>
      <c r="E29" s="21">
        <f t="shared" si="5"/>
        <v>13.644624906153551</v>
      </c>
      <c r="F29" s="21">
        <f t="shared" si="5"/>
        <v>0.70121716997907069</v>
      </c>
      <c r="G29" s="21">
        <f t="shared" si="5"/>
        <v>11.383532130713423</v>
      </c>
      <c r="H29" s="21">
        <f t="shared" si="5"/>
        <v>0.14877371517164067</v>
      </c>
      <c r="I29" s="21">
        <f t="shared" si="5"/>
        <v>1.4537833581922002</v>
      </c>
      <c r="J29" s="21">
        <f t="shared" si="5"/>
        <v>0.21289028280958466</v>
      </c>
      <c r="K29" s="21">
        <f t="shared" si="5"/>
        <v>0.15630444336284421</v>
      </c>
      <c r="L29" s="21">
        <f t="shared" si="5"/>
        <v>8.1224215291712115E-2</v>
      </c>
      <c r="M29" s="21">
        <f t="shared" si="5"/>
        <v>6.7497948634494733</v>
      </c>
      <c r="O29" s="68"/>
      <c r="Q29" s="69"/>
    </row>
    <row r="30" spans="1:17" x14ac:dyDescent="0.2">
      <c r="A30" s="4" t="s">
        <v>38</v>
      </c>
      <c r="B30" s="68">
        <f>+'Calculation of Revenue'!D38</f>
        <v>39.544519735619197</v>
      </c>
      <c r="C30" s="21">
        <f t="shared" ref="C30:M30" si="6">+$B30*C15</f>
        <v>0</v>
      </c>
      <c r="D30" s="21">
        <f t="shared" si="6"/>
        <v>13.360613866116257</v>
      </c>
      <c r="E30" s="21">
        <f t="shared" si="6"/>
        <v>7.9985141185500561</v>
      </c>
      <c r="F30" s="21">
        <f t="shared" si="6"/>
        <v>0.65282822501370363</v>
      </c>
      <c r="G30" s="21">
        <f t="shared" si="6"/>
        <v>9.2269503488153592</v>
      </c>
      <c r="H30" s="21">
        <f t="shared" si="6"/>
        <v>0.63269625338825475</v>
      </c>
      <c r="I30" s="21">
        <f t="shared" si="6"/>
        <v>1.2583132200422202</v>
      </c>
      <c r="J30" s="21">
        <f t="shared" si="6"/>
        <v>0.217538082190955</v>
      </c>
      <c r="K30" s="21">
        <f t="shared" si="6"/>
        <v>0.27445234785702027</v>
      </c>
      <c r="L30" s="21">
        <f t="shared" si="6"/>
        <v>0</v>
      </c>
      <c r="M30" s="21">
        <f t="shared" si="6"/>
        <v>5.9226132736453723</v>
      </c>
      <c r="O30" s="68"/>
      <c r="Q30" s="69"/>
    </row>
    <row r="31" spans="1:17" x14ac:dyDescent="0.2">
      <c r="A31" s="4" t="s">
        <v>39</v>
      </c>
      <c r="B31" s="68">
        <f>+'Calculation of Revenue'!D39</f>
        <v>29.196960542388201</v>
      </c>
      <c r="C31" s="21">
        <f t="shared" ref="C31:M31" si="7">+$B31*C16</f>
        <v>0</v>
      </c>
      <c r="D31" s="21">
        <f t="shared" si="7"/>
        <v>7.3205950801243533</v>
      </c>
      <c r="E31" s="21">
        <f t="shared" si="7"/>
        <v>6.4717629621129706</v>
      </c>
      <c r="F31" s="21">
        <f t="shared" si="7"/>
        <v>0.52067132026560281</v>
      </c>
      <c r="G31" s="21">
        <f t="shared" si="7"/>
        <v>4.6774536651888381</v>
      </c>
      <c r="H31" s="21">
        <f t="shared" si="7"/>
        <v>0.44168875971708044</v>
      </c>
      <c r="I31" s="21">
        <f t="shared" si="7"/>
        <v>1.0642477093411733</v>
      </c>
      <c r="J31" s="21">
        <f t="shared" si="7"/>
        <v>0.15203764152902505</v>
      </c>
      <c r="K31" s="21">
        <f t="shared" si="7"/>
        <v>0.25022927590660382</v>
      </c>
      <c r="L31" s="21">
        <f t="shared" si="7"/>
        <v>0</v>
      </c>
      <c r="M31" s="21">
        <f t="shared" si="7"/>
        <v>8.2982741282025536</v>
      </c>
      <c r="O31" s="68"/>
      <c r="Q31" s="69"/>
    </row>
    <row r="32" spans="1:17" x14ac:dyDescent="0.2">
      <c r="A32" s="4" t="s">
        <v>40</v>
      </c>
      <c r="B32" s="68">
        <f>+'Calculation of Revenue'!D40</f>
        <v>29.089425517941599</v>
      </c>
      <c r="C32" s="21">
        <f t="shared" ref="C32:M32" si="8">+$B32*C17</f>
        <v>0</v>
      </c>
      <c r="D32" s="21">
        <f t="shared" si="8"/>
        <v>4.4787082453060272</v>
      </c>
      <c r="E32" s="21">
        <f t="shared" si="8"/>
        <v>6.7373982055704262</v>
      </c>
      <c r="F32" s="21">
        <f t="shared" si="8"/>
        <v>0.55208338124265177</v>
      </c>
      <c r="G32" s="21">
        <f t="shared" si="8"/>
        <v>4.5977951857841619</v>
      </c>
      <c r="H32" s="21">
        <f t="shared" si="8"/>
        <v>0.55544239089451808</v>
      </c>
      <c r="I32" s="21">
        <f t="shared" si="8"/>
        <v>0.98485014613353739</v>
      </c>
      <c r="J32" s="21">
        <f t="shared" si="8"/>
        <v>0.14618869356669695</v>
      </c>
      <c r="K32" s="21">
        <f t="shared" si="8"/>
        <v>0.24423158212330928</v>
      </c>
      <c r="L32" s="21">
        <f t="shared" si="8"/>
        <v>0</v>
      </c>
      <c r="M32" s="21">
        <f t="shared" si="8"/>
        <v>10.792727687320271</v>
      </c>
      <c r="O32" s="68"/>
      <c r="Q32" s="69"/>
    </row>
    <row r="33" spans="1:17" x14ac:dyDescent="0.2">
      <c r="A33" s="4" t="s">
        <v>10</v>
      </c>
      <c r="B33" s="68">
        <f>+'Calculation of Revenue'!D41</f>
        <v>31.960149465273201</v>
      </c>
      <c r="C33" s="21">
        <f t="shared" ref="C33:M33" si="9">+$B33*C18</f>
        <v>0</v>
      </c>
      <c r="D33" s="21">
        <f t="shared" si="9"/>
        <v>5.0086261447424221</v>
      </c>
      <c r="E33" s="21">
        <f t="shared" si="9"/>
        <v>7.0975600662928091</v>
      </c>
      <c r="F33" s="21">
        <f t="shared" si="9"/>
        <v>0.58491147786204312</v>
      </c>
      <c r="G33" s="21">
        <f t="shared" si="9"/>
        <v>4.8162025873759164</v>
      </c>
      <c r="H33" s="21">
        <f t="shared" si="9"/>
        <v>0.50491691957272611</v>
      </c>
      <c r="I33" s="21">
        <f t="shared" si="9"/>
        <v>1.3224519492008573</v>
      </c>
      <c r="J33" s="21">
        <f t="shared" si="9"/>
        <v>0.1750212324053205</v>
      </c>
      <c r="K33" s="21">
        <f t="shared" si="9"/>
        <v>0.36563594595865601</v>
      </c>
      <c r="L33" s="21">
        <f t="shared" si="9"/>
        <v>0</v>
      </c>
      <c r="M33" s="21">
        <f t="shared" si="9"/>
        <v>12.084823141862453</v>
      </c>
      <c r="O33" s="68"/>
      <c r="Q33" s="69"/>
    </row>
    <row r="34" spans="1:17" x14ac:dyDescent="0.2">
      <c r="A34" s="4" t="s">
        <v>41</v>
      </c>
      <c r="B34" s="68">
        <f>+'Calculation of Revenue'!D42</f>
        <v>32.064918836315996</v>
      </c>
      <c r="C34" s="21">
        <f t="shared" ref="C34:M34" si="10">+$B34*C19</f>
        <v>0</v>
      </c>
      <c r="D34" s="21">
        <f t="shared" si="10"/>
        <v>6.8594477958286335</v>
      </c>
      <c r="E34" s="21">
        <f t="shared" si="10"/>
        <v>9.2726198800749557</v>
      </c>
      <c r="F34" s="21">
        <f t="shared" si="10"/>
        <v>0.56591198641397489</v>
      </c>
      <c r="G34" s="21">
        <f t="shared" si="10"/>
        <v>5.045974044209915</v>
      </c>
      <c r="H34" s="21">
        <f t="shared" si="10"/>
        <v>0.45602254724064517</v>
      </c>
      <c r="I34" s="21">
        <f t="shared" si="10"/>
        <v>1.0135158850942225</v>
      </c>
      <c r="J34" s="21">
        <f t="shared" si="10"/>
        <v>0.16509491336142293</v>
      </c>
      <c r="K34" s="21">
        <f t="shared" si="10"/>
        <v>0.28265798794821234</v>
      </c>
      <c r="L34" s="21">
        <f t="shared" si="10"/>
        <v>0</v>
      </c>
      <c r="M34" s="21">
        <f t="shared" si="10"/>
        <v>8.4036737961440142</v>
      </c>
      <c r="O34" s="68"/>
      <c r="Q34" s="69"/>
    </row>
    <row r="35" spans="1:17" x14ac:dyDescent="0.2">
      <c r="A35" s="4" t="s">
        <v>42</v>
      </c>
      <c r="B35" s="68">
        <f>+'Calculation of Revenue'!D43</f>
        <v>35.770000000000003</v>
      </c>
      <c r="C35" s="21">
        <f t="shared" ref="C35:M35" si="11">+$B35*C20</f>
        <v>0</v>
      </c>
      <c r="D35" s="21">
        <f t="shared" si="11"/>
        <v>4.2979816269602953</v>
      </c>
      <c r="E35" s="21">
        <f t="shared" si="11"/>
        <v>9.4485259062532787</v>
      </c>
      <c r="F35" s="21">
        <f t="shared" si="11"/>
        <v>0.61014203878042617</v>
      </c>
      <c r="G35" s="21">
        <f t="shared" si="11"/>
        <v>5.7637458827138914</v>
      </c>
      <c r="H35" s="21">
        <f t="shared" si="11"/>
        <v>0.54195032904876994</v>
      </c>
      <c r="I35" s="21">
        <f t="shared" si="11"/>
        <v>1.3719819482952831</v>
      </c>
      <c r="J35" s="21">
        <f t="shared" si="11"/>
        <v>0.17043770415739487</v>
      </c>
      <c r="K35" s="21">
        <f t="shared" si="11"/>
        <v>0.30250613979350305</v>
      </c>
      <c r="L35" s="21">
        <f t="shared" si="11"/>
        <v>0</v>
      </c>
      <c r="M35" s="21">
        <f t="shared" si="11"/>
        <v>13.262728423997162</v>
      </c>
      <c r="O35" s="68"/>
      <c r="Q35" s="69"/>
    </row>
    <row r="36" spans="1:17" ht="15" x14ac:dyDescent="0.35">
      <c r="A36" s="4" t="s">
        <v>43</v>
      </c>
      <c r="B36" s="71">
        <f>+'Calculation of Revenue'!D44</f>
        <v>35.770000000000003</v>
      </c>
      <c r="C36" s="28">
        <f t="shared" ref="C36:M36" si="12">+$B36*C21</f>
        <v>0</v>
      </c>
      <c r="D36" s="28">
        <f t="shared" si="12"/>
        <v>8.6255208475439833</v>
      </c>
      <c r="E36" s="28">
        <f t="shared" si="12"/>
        <v>7.4083751685201724</v>
      </c>
      <c r="F36" s="28">
        <f t="shared" si="12"/>
        <v>0.54090249118625244</v>
      </c>
      <c r="G36" s="28">
        <f t="shared" si="12"/>
        <v>5.6431699236751429</v>
      </c>
      <c r="H36" s="28">
        <f t="shared" si="12"/>
        <v>0.51784965069133182</v>
      </c>
      <c r="I36" s="28">
        <f t="shared" si="12"/>
        <v>1.2875812607311574</v>
      </c>
      <c r="J36" s="28">
        <f t="shared" si="12"/>
        <v>0.17522373731539218</v>
      </c>
      <c r="K36" s="28">
        <f t="shared" si="12"/>
        <v>0.33307391821515592</v>
      </c>
      <c r="L36" s="28">
        <f t="shared" si="12"/>
        <v>0</v>
      </c>
      <c r="M36" s="28">
        <f t="shared" si="12"/>
        <v>11.238303002121414</v>
      </c>
      <c r="O36" s="71"/>
      <c r="Q36" s="69"/>
    </row>
    <row r="37" spans="1:17" ht="15" x14ac:dyDescent="0.35">
      <c r="B37" s="31">
        <f>SUM(B25:B36)</f>
        <v>444.45611194256639</v>
      </c>
      <c r="C37" s="31">
        <f>SUM(C25:C36)</f>
        <v>0</v>
      </c>
      <c r="D37" s="31">
        <f t="shared" ref="D37:L37" si="13">SUM(D25:D36)</f>
        <v>103.16526985386719</v>
      </c>
      <c r="E37" s="31">
        <f t="shared" si="13"/>
        <v>120.94959264119784</v>
      </c>
      <c r="F37" s="31">
        <f t="shared" si="13"/>
        <v>6.7731263102801753</v>
      </c>
      <c r="G37" s="31">
        <f>SUM(G25:G36)</f>
        <v>86.550312095333567</v>
      </c>
      <c r="H37" s="31">
        <f t="shared" si="13"/>
        <v>5.8297032204642516</v>
      </c>
      <c r="I37" s="31">
        <f t="shared" si="13"/>
        <v>13.232303332661472</v>
      </c>
      <c r="J37" s="31">
        <f t="shared" si="13"/>
        <v>1.9289225891039559</v>
      </c>
      <c r="K37" s="31">
        <f t="shared" si="13"/>
        <v>2.8855897143252389</v>
      </c>
      <c r="L37" s="31">
        <f t="shared" si="13"/>
        <v>0.5921301451406692</v>
      </c>
      <c r="M37" s="31">
        <f t="shared" ref="M37" si="14">SUM(M25:M36)</f>
        <v>102.54916204019202</v>
      </c>
      <c r="O37" s="31"/>
      <c r="Q37" s="69"/>
    </row>
    <row r="40" spans="1:17" x14ac:dyDescent="0.2">
      <c r="A40" s="12" t="s">
        <v>57</v>
      </c>
    </row>
    <row r="41" spans="1:17" x14ac:dyDescent="0.2">
      <c r="A41" s="4" t="s">
        <v>58</v>
      </c>
      <c r="C41" s="18">
        <f>+'Reg. Res''l - SS Mix &amp; Prices'!C41</f>
        <v>0</v>
      </c>
      <c r="D41" s="18">
        <f>+'Reg. Res''l - SS Mix &amp; Prices'!D41</f>
        <v>54.06</v>
      </c>
      <c r="E41" s="18">
        <f>+'Reg. Res''l - SS Mix &amp; Prices'!E41</f>
        <v>125.53</v>
      </c>
      <c r="F41" s="18">
        <f>+'Reg. Res''l - SS Mix &amp; Prices'!F41</f>
        <v>1378.94</v>
      </c>
      <c r="G41" s="18">
        <f>+'Reg. Res''l - SS Mix &amp; Prices'!H41</f>
        <v>-21.56</v>
      </c>
      <c r="H41" s="18">
        <f>+'Reg. Res''l - SS Mix &amp; Prices'!G41</f>
        <v>197.6</v>
      </c>
      <c r="I41" s="18">
        <f>+'Reg. Res''l - SS Mix &amp; Prices'!I41</f>
        <v>63</v>
      </c>
      <c r="J41" s="18">
        <f>+'Reg. Res''l - SS Mix &amp; Prices'!J41</f>
        <v>446.86</v>
      </c>
      <c r="K41" s="18">
        <f>+'Reg. Res''l - SS Mix &amp; Prices'!K41</f>
        <v>100</v>
      </c>
      <c r="L41" s="18">
        <f>+'Reg. Res''l - SS Mix &amp; Prices'!L41</f>
        <v>-187.5</v>
      </c>
    </row>
    <row r="42" spans="1:17" x14ac:dyDescent="0.2">
      <c r="A42" s="4" t="s">
        <v>35</v>
      </c>
      <c r="C42" s="18">
        <f>+'Reg. Res''l - SS Mix &amp; Prices'!C42</f>
        <v>0</v>
      </c>
      <c r="D42" s="18">
        <f>+'Reg. Res''l - SS Mix &amp; Prices'!D42</f>
        <v>54.12</v>
      </c>
      <c r="E42" s="18">
        <f>+'Reg. Res''l - SS Mix &amp; Prices'!E42</f>
        <v>139.84</v>
      </c>
      <c r="F42" s="18">
        <f>+'Reg. Res''l - SS Mix &amp; Prices'!F42</f>
        <v>1356.05</v>
      </c>
      <c r="G42" s="18">
        <f>+'Reg. Res''l - SS Mix &amp; Prices'!H42</f>
        <v>-26.39</v>
      </c>
      <c r="H42" s="18">
        <f>+'Reg. Res''l - SS Mix &amp; Prices'!G42</f>
        <v>186.08</v>
      </c>
      <c r="I42" s="18">
        <f>+'Reg. Res''l - SS Mix &amp; Prices'!I42</f>
        <v>100</v>
      </c>
      <c r="J42" s="18">
        <f>+'Reg. Res''l - SS Mix &amp; Prices'!J42</f>
        <v>520</v>
      </c>
      <c r="K42" s="18">
        <f>+'Reg. Res''l - SS Mix &amp; Prices'!K42</f>
        <v>100</v>
      </c>
      <c r="L42" s="18">
        <f>+'Reg. Res''l - SS Mix &amp; Prices'!L42</f>
        <v>-187.5</v>
      </c>
    </row>
    <row r="43" spans="1:17" x14ac:dyDescent="0.2">
      <c r="A43" s="4" t="s">
        <v>36</v>
      </c>
      <c r="C43" s="18">
        <f>+'Reg. Res''l - SS Mix &amp; Prices'!C43</f>
        <v>0</v>
      </c>
      <c r="D43" s="18">
        <f>+'Reg. Res''l - SS Mix &amp; Prices'!D43</f>
        <v>56.75</v>
      </c>
      <c r="E43" s="18">
        <f>+'Reg. Res''l - SS Mix &amp; Prices'!E43</f>
        <v>140.37</v>
      </c>
      <c r="F43" s="18">
        <f>+'Reg. Res''l - SS Mix &amp; Prices'!F43</f>
        <v>1360.06</v>
      </c>
      <c r="G43" s="18">
        <f>+'Reg. Res''l - SS Mix &amp; Prices'!H43</f>
        <v>-22.45</v>
      </c>
      <c r="H43" s="18">
        <f>+'Reg. Res''l - SS Mix &amp; Prices'!G43</f>
        <v>201.66</v>
      </c>
      <c r="I43" s="18">
        <f>+'Reg. Res''l - SS Mix &amp; Prices'!I43</f>
        <v>120</v>
      </c>
      <c r="J43" s="18">
        <f>+'Reg. Res''l - SS Mix &amp; Prices'!J43</f>
        <v>540</v>
      </c>
      <c r="K43" s="18">
        <f>+'Reg. Res''l - SS Mix &amp; Prices'!K43</f>
        <v>300</v>
      </c>
      <c r="L43" s="18">
        <f>+'Reg. Res''l - SS Mix &amp; Prices'!L43</f>
        <v>-187.5</v>
      </c>
    </row>
    <row r="44" spans="1:17" x14ac:dyDescent="0.2">
      <c r="A44" s="4" t="s">
        <v>37</v>
      </c>
      <c r="C44" s="18">
        <f>+'Reg. Res''l - SS Mix &amp; Prices'!C44</f>
        <v>0</v>
      </c>
      <c r="D44" s="18">
        <f>+'Reg. Res''l - SS Mix &amp; Prices'!D44</f>
        <v>56.86</v>
      </c>
      <c r="E44" s="18">
        <f>+'Reg. Res''l - SS Mix &amp; Prices'!E44</f>
        <v>148.05000000000001</v>
      </c>
      <c r="F44" s="18">
        <f>+'Reg. Res''l - SS Mix &amp; Prices'!F44</f>
        <v>1417.34</v>
      </c>
      <c r="G44" s="18">
        <f>+'Reg. Res''l - SS Mix &amp; Prices'!H44</f>
        <v>-27.75</v>
      </c>
      <c r="H44" s="18">
        <f>+'Reg. Res''l - SS Mix &amp; Prices'!G44</f>
        <v>219.28</v>
      </c>
      <c r="I44" s="18">
        <f>+'Reg. Res''l - SS Mix &amp; Prices'!I44</f>
        <v>126.47</v>
      </c>
      <c r="J44" s="18">
        <f>+'Reg. Res''l - SS Mix &amp; Prices'!J44</f>
        <v>553.85</v>
      </c>
      <c r="K44" s="18">
        <f>+'Reg. Res''l - SS Mix &amp; Prices'!K44</f>
        <v>320</v>
      </c>
      <c r="L44" s="18">
        <f>+'Reg. Res''l - SS Mix &amp; Prices'!L44</f>
        <v>-187.5</v>
      </c>
    </row>
    <row r="45" spans="1:17" x14ac:dyDescent="0.2">
      <c r="A45" s="4" t="s">
        <v>45</v>
      </c>
      <c r="C45" s="18">
        <f>+'Reg. Res''l - SS Mix &amp; Prices'!C45</f>
        <v>127.91</v>
      </c>
      <c r="D45" s="18">
        <f>+'Reg. Res''l - SS Mix &amp; Prices'!D45</f>
        <v>85.78</v>
      </c>
      <c r="E45" s="18">
        <f>+'Reg. Res''l - SS Mix &amp; Prices'!E45</f>
        <v>150.01</v>
      </c>
      <c r="F45" s="18">
        <f>+'Reg. Res''l - SS Mix &amp; Prices'!F45</f>
        <v>1355.04</v>
      </c>
      <c r="G45" s="18">
        <f>+'Reg. Res''l - SS Mix &amp; Prices'!H45</f>
        <v>-26.7</v>
      </c>
      <c r="H45" s="18">
        <f>+'Reg. Res''l - SS Mix &amp; Prices'!G45</f>
        <v>225.48</v>
      </c>
      <c r="I45" s="18">
        <f>+'Reg. Res''l - SS Mix &amp; Prices'!I45</f>
        <v>150</v>
      </c>
      <c r="J45" s="18">
        <f>+'Reg. Res''l - SS Mix &amp; Prices'!J45</f>
        <v>619.78</v>
      </c>
      <c r="K45" s="18">
        <f>+'Reg. Res''l - SS Mix &amp; Prices'!K45</f>
        <v>340</v>
      </c>
      <c r="L45" s="18">
        <f>+'Reg. Res''l - SS Mix &amp; Prices'!L45</f>
        <v>-187.5</v>
      </c>
    </row>
    <row r="46" spans="1:17" x14ac:dyDescent="0.2">
      <c r="A46" s="4" t="s">
        <v>38</v>
      </c>
      <c r="C46" s="18">
        <f>+'Reg. Res''l - SS Mix &amp; Prices'!C46</f>
        <v>0</v>
      </c>
      <c r="D46" s="18">
        <f>+'Reg. Res''l - SS Mix &amp; Prices'!D46</f>
        <v>66.48</v>
      </c>
      <c r="E46" s="18">
        <f>+'Reg. Res''l - SS Mix &amp; Prices'!E46</f>
        <v>157.72999999999999</v>
      </c>
      <c r="F46" s="18">
        <f>+'Reg. Res''l - SS Mix &amp; Prices'!F46</f>
        <v>1319.47</v>
      </c>
      <c r="G46" s="18">
        <f>+'Reg. Res''l - SS Mix &amp; Prices'!H46</f>
        <v>-28.95</v>
      </c>
      <c r="H46" s="18">
        <f>+'Reg. Res''l - SS Mix &amp; Prices'!G46</f>
        <v>220.58</v>
      </c>
      <c r="I46" s="18">
        <f>+'Reg. Res''l - SS Mix &amp; Prices'!I46</f>
        <v>150</v>
      </c>
      <c r="J46" s="18">
        <f>+'Reg. Res''l - SS Mix &amp; Prices'!J46</f>
        <v>543.30999999999995</v>
      </c>
      <c r="K46" s="18">
        <f>+'Reg. Res''l - SS Mix &amp; Prices'!K46</f>
        <v>340</v>
      </c>
      <c r="L46" s="18">
        <f>+'Reg. Res''l - SS Mix &amp; Prices'!L46</f>
        <v>-187.5</v>
      </c>
    </row>
    <row r="47" spans="1:17" x14ac:dyDescent="0.2">
      <c r="A47" s="4" t="s">
        <v>39</v>
      </c>
      <c r="C47" s="18">
        <f>+'Reg. Res''l - SS Mix &amp; Prices'!C47</f>
        <v>0</v>
      </c>
      <c r="D47" s="18">
        <f>+'Reg. Res''l - SS Mix &amp; Prices'!D47</f>
        <v>67.63</v>
      </c>
      <c r="E47" s="18">
        <f>+'Reg. Res''l - SS Mix &amp; Prices'!E47</f>
        <v>175.48</v>
      </c>
      <c r="F47" s="18">
        <f>+'Reg. Res''l - SS Mix &amp; Prices'!F47</f>
        <v>1325.07</v>
      </c>
      <c r="G47" s="18">
        <f>+'Reg. Res''l - SS Mix &amp; Prices'!H47</f>
        <v>-28.49</v>
      </c>
      <c r="H47" s="18">
        <f>+'Reg. Res''l - SS Mix &amp; Prices'!G47</f>
        <v>194.68</v>
      </c>
      <c r="I47" s="18">
        <f>+'Reg. Res''l - SS Mix &amp; Prices'!I47</f>
        <v>150</v>
      </c>
      <c r="J47" s="18">
        <f>+'Reg. Res''l - SS Mix &amp; Prices'!J47</f>
        <v>560</v>
      </c>
      <c r="K47" s="18">
        <f>+'Reg. Res''l - SS Mix &amp; Prices'!K47</f>
        <v>340</v>
      </c>
      <c r="L47" s="18">
        <f>+'Reg. Res''l - SS Mix &amp; Prices'!L47</f>
        <v>-187.5</v>
      </c>
      <c r="M47" s="38"/>
    </row>
    <row r="48" spans="1:17" x14ac:dyDescent="0.2">
      <c r="A48" s="4" t="s">
        <v>40</v>
      </c>
      <c r="C48" s="18">
        <f>+'Reg. Res''l - SS Mix &amp; Prices'!C48</f>
        <v>0</v>
      </c>
      <c r="D48" s="18">
        <f>+'Reg. Res''l - SS Mix &amp; Prices'!D48</f>
        <v>81.92</v>
      </c>
      <c r="E48" s="18">
        <f>+'Reg. Res''l - SS Mix &amp; Prices'!E48</f>
        <v>150.25</v>
      </c>
      <c r="F48" s="18">
        <f>+'Reg. Res''l - SS Mix &amp; Prices'!F48</f>
        <v>1538.59</v>
      </c>
      <c r="G48" s="18">
        <f>+'Reg. Res''l - SS Mix &amp; Prices'!H48</f>
        <v>-27.25</v>
      </c>
      <c r="H48" s="18">
        <f>+'Reg. Res''l - SS Mix &amp; Prices'!G48</f>
        <v>193.42</v>
      </c>
      <c r="I48" s="18">
        <f>+'Reg. Res''l - SS Mix &amp; Prices'!I48</f>
        <v>171.08</v>
      </c>
      <c r="J48" s="18">
        <f>+'Reg. Res''l - SS Mix &amp; Prices'!J48</f>
        <v>560</v>
      </c>
      <c r="K48" s="18">
        <f>+'Reg. Res''l - SS Mix &amp; Prices'!K48</f>
        <v>340</v>
      </c>
      <c r="L48" s="18">
        <f>+'Reg. Res''l - SS Mix &amp; Prices'!L48</f>
        <v>-187.5</v>
      </c>
    </row>
    <row r="49" spans="1:12" x14ac:dyDescent="0.2">
      <c r="A49" s="4" t="s">
        <v>10</v>
      </c>
      <c r="C49" s="18">
        <f>+'Reg. Res''l - SS Mix &amp; Prices'!C49</f>
        <v>0</v>
      </c>
      <c r="D49" s="18">
        <f>+'Reg. Res''l - SS Mix &amp; Prices'!D49</f>
        <v>91.75</v>
      </c>
      <c r="E49" s="18">
        <f>+'Reg. Res''l - SS Mix &amp; Prices'!E49</f>
        <v>180.01</v>
      </c>
      <c r="F49" s="18">
        <f>+'Reg. Res''l - SS Mix &amp; Prices'!F49</f>
        <v>1579.12</v>
      </c>
      <c r="G49" s="18">
        <f>+'Reg. Res''l - SS Mix &amp; Prices'!H49</f>
        <v>-26.1</v>
      </c>
      <c r="H49" s="18">
        <f>+'Reg. Res''l - SS Mix &amp; Prices'!G49</f>
        <v>198</v>
      </c>
      <c r="I49" s="18">
        <f>+'Reg. Res''l - SS Mix &amp; Prices'!I49</f>
        <v>210</v>
      </c>
      <c r="J49" s="18">
        <f>+'Reg. Res''l - SS Mix &amp; Prices'!J49</f>
        <v>600</v>
      </c>
      <c r="K49" s="18">
        <f>+'Reg. Res''l - SS Mix &amp; Prices'!K49</f>
        <v>346.65</v>
      </c>
      <c r="L49" s="18">
        <f>+'Reg. Res''l - SS Mix &amp; Prices'!L49</f>
        <v>-187.5</v>
      </c>
    </row>
    <row r="50" spans="1:12" x14ac:dyDescent="0.2">
      <c r="A50" s="4" t="s">
        <v>41</v>
      </c>
      <c r="C50" s="18">
        <f>+'Reg. Res''l - SS Mix &amp; Prices'!C50</f>
        <v>0</v>
      </c>
      <c r="D50" s="18">
        <f>+'Reg. Res''l - SS Mix &amp; Prices'!D50</f>
        <v>105.54</v>
      </c>
      <c r="E50" s="18">
        <f>+'Reg. Res''l - SS Mix &amp; Prices'!E50</f>
        <v>192.39</v>
      </c>
      <c r="F50" s="18">
        <f>+'Reg. Res''l - SS Mix &amp; Prices'!F50</f>
        <v>1589.98</v>
      </c>
      <c r="G50" s="18">
        <f>+'Reg. Res''l - SS Mix &amp; Prices'!H50</f>
        <v>-22.01</v>
      </c>
      <c r="H50" s="18">
        <f>+'Reg. Res''l - SS Mix &amp; Prices'!G50</f>
        <v>186.28</v>
      </c>
      <c r="I50" s="18">
        <f>+'Reg. Res''l - SS Mix &amp; Prices'!I50</f>
        <v>229.79</v>
      </c>
      <c r="J50" s="18">
        <f>+'Reg. Res''l - SS Mix &amp; Prices'!J50</f>
        <v>600</v>
      </c>
      <c r="K50" s="18">
        <f>+'Reg. Res''l - SS Mix &amp; Prices'!K50</f>
        <v>344.99</v>
      </c>
      <c r="L50" s="18">
        <f>+'Reg. Res''l - SS Mix &amp; Prices'!L50</f>
        <v>-187.5</v>
      </c>
    </row>
    <row r="51" spans="1:12" x14ac:dyDescent="0.2">
      <c r="A51" s="4" t="s">
        <v>42</v>
      </c>
      <c r="C51" s="18">
        <f>+'Reg. Res''l - SS Mix &amp; Prices'!C51</f>
        <v>0</v>
      </c>
      <c r="D51" s="18">
        <f>+'Reg. Res''l - SS Mix &amp; Prices'!D51</f>
        <v>101.15</v>
      </c>
      <c r="E51" s="18">
        <f>+'Reg. Res''l - SS Mix &amp; Prices'!E51</f>
        <v>187.68</v>
      </c>
      <c r="F51" s="18">
        <f>+'Reg. Res''l - SS Mix &amp; Prices'!F51</f>
        <v>1540.01</v>
      </c>
      <c r="G51" s="18">
        <f>+'Reg. Res''l - SS Mix &amp; Prices'!H51</f>
        <v>-28.06</v>
      </c>
      <c r="H51" s="18">
        <f>+'Reg. Res''l - SS Mix &amp; Prices'!G51</f>
        <v>221.74</v>
      </c>
      <c r="I51" s="18">
        <f>+'Reg. Res''l - SS Mix &amp; Prices'!I51</f>
        <v>231.89</v>
      </c>
      <c r="J51" s="18">
        <f>+'Reg. Res''l - SS Mix &amp; Prices'!J51</f>
        <v>860</v>
      </c>
      <c r="K51" s="18">
        <f>+'Reg. Res''l - SS Mix &amp; Prices'!K51</f>
        <v>220</v>
      </c>
      <c r="L51" s="18">
        <f>+'Reg. Res''l - SS Mix &amp; Prices'!L51</f>
        <v>-187.5</v>
      </c>
    </row>
    <row r="52" spans="1:12" x14ac:dyDescent="0.2">
      <c r="A52" s="4" t="s">
        <v>43</v>
      </c>
      <c r="C52" s="18">
        <f>+'Reg. Res''l - SS Mix &amp; Prices'!C52</f>
        <v>0</v>
      </c>
      <c r="D52" s="18">
        <f>+'Reg. Res''l - SS Mix &amp; Prices'!D52</f>
        <v>102.96</v>
      </c>
      <c r="E52" s="18">
        <f>+'Reg. Res''l - SS Mix &amp; Prices'!E52</f>
        <v>149.78</v>
      </c>
      <c r="F52" s="18">
        <f>+'Reg. Res''l - SS Mix &amp; Prices'!F52</f>
        <v>1535.08</v>
      </c>
      <c r="G52" s="18">
        <f>+'Reg. Res''l - SS Mix &amp; Prices'!H52</f>
        <v>-23.97</v>
      </c>
      <c r="H52" s="18">
        <f>+'Reg. Res''l - SS Mix &amp; Prices'!G52</f>
        <v>230</v>
      </c>
      <c r="I52" s="18">
        <f>+'Reg. Res''l - SS Mix &amp; Prices'!I52</f>
        <v>260</v>
      </c>
      <c r="J52" s="18">
        <f>+'Reg. Res''l - SS Mix &amp; Prices'!J52</f>
        <v>680</v>
      </c>
      <c r="K52" s="18">
        <f>+'Reg. Res''l - SS Mix &amp; Prices'!K52</f>
        <v>200</v>
      </c>
      <c r="L52" s="18">
        <f>+'Reg. Res''l - SS Mix &amp; Prices'!L52</f>
        <v>-187.5</v>
      </c>
    </row>
    <row r="55" spans="1:12" x14ac:dyDescent="0.2">
      <c r="A55" s="12" t="s">
        <v>60</v>
      </c>
    </row>
    <row r="56" spans="1:12" x14ac:dyDescent="0.2">
      <c r="A56" s="4" t="s">
        <v>58</v>
      </c>
      <c r="B56" s="20">
        <f t="shared" ref="B56:B67" si="15">SUM(C56:L56)</f>
        <v>3138.2808407254847</v>
      </c>
      <c r="C56" s="20">
        <f t="shared" ref="C56:L56" si="16">+C41*C25</f>
        <v>0</v>
      </c>
      <c r="D56" s="20">
        <f t="shared" si="16"/>
        <v>588.21539095702462</v>
      </c>
      <c r="E56" s="20">
        <f t="shared" si="16"/>
        <v>1780.6521981946814</v>
      </c>
      <c r="F56" s="20">
        <f t="shared" si="16"/>
        <v>652.59903173528073</v>
      </c>
      <c r="G56" s="20">
        <f t="shared" si="16"/>
        <v>-114.37428124217736</v>
      </c>
      <c r="H56" s="20">
        <f t="shared" si="16"/>
        <v>108.81231101748013</v>
      </c>
      <c r="I56" s="20">
        <f t="shared" si="16"/>
        <v>43.434368577721521</v>
      </c>
      <c r="J56" s="20">
        <f t="shared" si="16"/>
        <v>74.305488986464965</v>
      </c>
      <c r="K56" s="20">
        <f t="shared" si="16"/>
        <v>22.847492516387334</v>
      </c>
      <c r="L56" s="20">
        <f t="shared" si="16"/>
        <v>-18.211160017378361</v>
      </c>
    </row>
    <row r="57" spans="1:12" x14ac:dyDescent="0.2">
      <c r="A57" s="4" t="s">
        <v>35</v>
      </c>
      <c r="B57" s="20">
        <f t="shared" si="15"/>
        <v>3503.63616176096</v>
      </c>
      <c r="C57" s="20">
        <f t="shared" ref="C57:L57" si="17">+C42*C26</f>
        <v>0</v>
      </c>
      <c r="D57" s="20">
        <f t="shared" si="17"/>
        <v>322.61680962113223</v>
      </c>
      <c r="E57" s="20">
        <f t="shared" si="17"/>
        <v>2111.100352676704</v>
      </c>
      <c r="F57" s="20">
        <f t="shared" si="17"/>
        <v>972.69555182456691</v>
      </c>
      <c r="G57" s="20">
        <f t="shared" si="17"/>
        <v>-172.83639705075421</v>
      </c>
      <c r="H57" s="20">
        <f t="shared" si="17"/>
        <v>121.86849098524114</v>
      </c>
      <c r="I57" s="20">
        <f t="shared" si="17"/>
        <v>123.20196561153436</v>
      </c>
      <c r="J57" s="20">
        <f t="shared" si="17"/>
        <v>20.842630277323952</v>
      </c>
      <c r="K57" s="20">
        <f t="shared" si="17"/>
        <v>21.633496538022559</v>
      </c>
      <c r="L57" s="20">
        <f t="shared" si="17"/>
        <v>-17.486738722810959</v>
      </c>
    </row>
    <row r="58" spans="1:12" x14ac:dyDescent="0.2">
      <c r="A58" s="4" t="s">
        <v>36</v>
      </c>
      <c r="B58" s="20">
        <f t="shared" si="15"/>
        <v>2794.9474254917004</v>
      </c>
      <c r="C58" s="20">
        <f t="shared" ref="C58:L58" si="18">+C43*C27</f>
        <v>0</v>
      </c>
      <c r="D58" s="20">
        <f t="shared" si="18"/>
        <v>633.99604810696337</v>
      </c>
      <c r="E58" s="20">
        <f t="shared" si="18"/>
        <v>1628.2524178178255</v>
      </c>
      <c r="F58" s="20">
        <f t="shared" si="18"/>
        <v>495.18654066232608</v>
      </c>
      <c r="G58" s="20">
        <f t="shared" si="18"/>
        <v>-254.89094501859915</v>
      </c>
      <c r="H58" s="20">
        <f t="shared" si="18"/>
        <v>130.72115474444354</v>
      </c>
      <c r="I58" s="20">
        <f t="shared" si="18"/>
        <v>119.61742069545291</v>
      </c>
      <c r="J58" s="20">
        <f t="shared" si="18"/>
        <v>16.146357791419046</v>
      </c>
      <c r="K58" s="20">
        <f t="shared" si="18"/>
        <v>52.007417858836511</v>
      </c>
      <c r="L58" s="20">
        <f t="shared" si="18"/>
        <v>-26.088987166967172</v>
      </c>
    </row>
    <row r="59" spans="1:12" x14ac:dyDescent="0.2">
      <c r="A59" s="4" t="s">
        <v>37</v>
      </c>
      <c r="B59" s="20">
        <f t="shared" si="15"/>
        <v>2926.1249329281759</v>
      </c>
      <c r="C59" s="20">
        <f t="shared" ref="C59:L59" si="19">+C44*C28</f>
        <v>0</v>
      </c>
      <c r="D59" s="20">
        <f t="shared" si="19"/>
        <v>547.20825709956478</v>
      </c>
      <c r="E59" s="20">
        <f t="shared" si="19"/>
        <v>1774.9535525512799</v>
      </c>
      <c r="F59" s="20">
        <f t="shared" si="19"/>
        <v>694.21952314909981</v>
      </c>
      <c r="G59" s="20">
        <f t="shared" si="19"/>
        <v>-338.20389701755221</v>
      </c>
      <c r="H59" s="20">
        <f t="shared" si="19"/>
        <v>38.712197739973014</v>
      </c>
      <c r="I59" s="20">
        <f t="shared" si="19"/>
        <v>70.483240864385195</v>
      </c>
      <c r="J59" s="20">
        <f t="shared" si="19"/>
        <v>154.09439509330721</v>
      </c>
      <c r="K59" s="20">
        <f t="shared" si="19"/>
        <v>18.665639387641487</v>
      </c>
      <c r="L59" s="20">
        <f t="shared" si="19"/>
        <v>-34.007975939522971</v>
      </c>
    </row>
    <row r="60" spans="1:12" x14ac:dyDescent="0.2">
      <c r="A60" s="4" t="s">
        <v>45</v>
      </c>
      <c r="B60" s="20">
        <f t="shared" si="15"/>
        <v>4450.6769946798304</v>
      </c>
      <c r="C60" s="20">
        <f t="shared" ref="C60:L60" si="20">+C45*C29</f>
        <v>0</v>
      </c>
      <c r="D60" s="20">
        <f t="shared" si="20"/>
        <v>1336.137695507718</v>
      </c>
      <c r="E60" s="20">
        <f t="shared" si="20"/>
        <v>2046.8301821720941</v>
      </c>
      <c r="F60" s="20">
        <f t="shared" si="20"/>
        <v>950.17731400843991</v>
      </c>
      <c r="G60" s="20">
        <f t="shared" si="20"/>
        <v>-303.94030789004836</v>
      </c>
      <c r="H60" s="20">
        <f t="shared" si="20"/>
        <v>33.545497296901537</v>
      </c>
      <c r="I60" s="20">
        <f t="shared" si="20"/>
        <v>218.06750372883002</v>
      </c>
      <c r="J60" s="20">
        <f t="shared" si="20"/>
        <v>131.94513947972439</v>
      </c>
      <c r="K60" s="20">
        <f t="shared" si="20"/>
        <v>53.143510743367031</v>
      </c>
      <c r="L60" s="20">
        <f t="shared" si="20"/>
        <v>-15.229540367196021</v>
      </c>
    </row>
    <row r="61" spans="1:12" x14ac:dyDescent="0.2">
      <c r="A61" s="4" t="s">
        <v>38</v>
      </c>
      <c r="B61" s="20">
        <f t="shared" si="15"/>
        <v>3283.8978234842057</v>
      </c>
      <c r="C61" s="20">
        <f t="shared" ref="C61:L61" si="21">+C46*C30</f>
        <v>0</v>
      </c>
      <c r="D61" s="20">
        <f t="shared" si="21"/>
        <v>888.21360981940882</v>
      </c>
      <c r="E61" s="20">
        <f t="shared" si="21"/>
        <v>1261.6056319189004</v>
      </c>
      <c r="F61" s="20">
        <f t="shared" si="21"/>
        <v>861.38725805883155</v>
      </c>
      <c r="G61" s="20">
        <f t="shared" si="21"/>
        <v>-267.12021259820466</v>
      </c>
      <c r="H61" s="20">
        <f t="shared" si="21"/>
        <v>139.56013957238125</v>
      </c>
      <c r="I61" s="20">
        <f t="shared" si="21"/>
        <v>188.74698300633304</v>
      </c>
      <c r="J61" s="20">
        <f t="shared" si="21"/>
        <v>118.19061543516774</v>
      </c>
      <c r="K61" s="20">
        <f t="shared" si="21"/>
        <v>93.313798271386887</v>
      </c>
      <c r="L61" s="20">
        <f t="shared" si="21"/>
        <v>0</v>
      </c>
    </row>
    <row r="62" spans="1:12" x14ac:dyDescent="0.2">
      <c r="A62" s="4" t="s">
        <v>39</v>
      </c>
      <c r="B62" s="20">
        <f t="shared" si="15"/>
        <v>2603.2662584909031</v>
      </c>
      <c r="C62" s="20">
        <f t="shared" ref="C62:L62" si="22">+C47*C31</f>
        <v>0</v>
      </c>
      <c r="D62" s="20">
        <f t="shared" si="22"/>
        <v>495.09184526881</v>
      </c>
      <c r="E62" s="20">
        <f t="shared" si="22"/>
        <v>1135.6649645915841</v>
      </c>
      <c r="F62" s="20">
        <f t="shared" si="22"/>
        <v>689.92594634434226</v>
      </c>
      <c r="G62" s="20">
        <f t="shared" si="22"/>
        <v>-133.26065492122999</v>
      </c>
      <c r="H62" s="20">
        <f t="shared" si="22"/>
        <v>85.987967741721221</v>
      </c>
      <c r="I62" s="20">
        <f t="shared" si="22"/>
        <v>159.63715640117599</v>
      </c>
      <c r="J62" s="20">
        <f t="shared" si="22"/>
        <v>85.141079256254031</v>
      </c>
      <c r="K62" s="20">
        <f t="shared" si="22"/>
        <v>85.077953808245297</v>
      </c>
      <c r="L62" s="20">
        <f t="shared" si="22"/>
        <v>0</v>
      </c>
    </row>
    <row r="63" spans="1:12" x14ac:dyDescent="0.2">
      <c r="A63" s="4" t="s">
        <v>40</v>
      </c>
      <c r="B63" s="20">
        <f t="shared" si="15"/>
        <v>2544.1561471425584</v>
      </c>
      <c r="C63" s="20">
        <f t="shared" ref="C63:L63" si="23">+C48*C32</f>
        <v>0</v>
      </c>
      <c r="D63" s="20">
        <f t="shared" si="23"/>
        <v>366.89577945546978</v>
      </c>
      <c r="E63" s="20">
        <f t="shared" si="23"/>
        <v>1012.2940803869566</v>
      </c>
      <c r="F63" s="20">
        <f t="shared" si="23"/>
        <v>849.42996954613159</v>
      </c>
      <c r="G63" s="20">
        <f t="shared" si="23"/>
        <v>-125.28991881261841</v>
      </c>
      <c r="H63" s="20">
        <f t="shared" si="23"/>
        <v>107.43366724681768</v>
      </c>
      <c r="I63" s="20">
        <f t="shared" si="23"/>
        <v>168.48816300052559</v>
      </c>
      <c r="J63" s="20">
        <f t="shared" si="23"/>
        <v>81.865668397350291</v>
      </c>
      <c r="K63" s="20">
        <f t="shared" si="23"/>
        <v>83.038737921925161</v>
      </c>
      <c r="L63" s="20">
        <f t="shared" si="23"/>
        <v>0</v>
      </c>
    </row>
    <row r="64" spans="1:12" x14ac:dyDescent="0.2">
      <c r="A64" s="4" t="s">
        <v>10</v>
      </c>
      <c r="B64" s="20">
        <f t="shared" si="15"/>
        <v>3144.5646612218238</v>
      </c>
      <c r="C64" s="20">
        <f t="shared" ref="C64:L64" si="24">+C49*C33</f>
        <v>0</v>
      </c>
      <c r="D64" s="20">
        <f t="shared" si="24"/>
        <v>459.54144878011721</v>
      </c>
      <c r="E64" s="20">
        <f t="shared" si="24"/>
        <v>1277.6317875333684</v>
      </c>
      <c r="F64" s="20">
        <f t="shared" si="24"/>
        <v>923.64541292150943</v>
      </c>
      <c r="G64" s="20">
        <f t="shared" si="24"/>
        <v>-125.70288753051143</v>
      </c>
      <c r="H64" s="20">
        <f t="shared" si="24"/>
        <v>99.973550075399771</v>
      </c>
      <c r="I64" s="20">
        <f t="shared" si="24"/>
        <v>277.71490933218001</v>
      </c>
      <c r="J64" s="20">
        <f t="shared" si="24"/>
        <v>105.0127394431923</v>
      </c>
      <c r="K64" s="20">
        <f t="shared" si="24"/>
        <v>126.74770066656809</v>
      </c>
      <c r="L64" s="20">
        <f t="shared" si="24"/>
        <v>0</v>
      </c>
    </row>
    <row r="65" spans="1:12" x14ac:dyDescent="0.2">
      <c r="A65" s="4" t="s">
        <v>41</v>
      </c>
      <c r="B65" s="20">
        <f t="shared" si="15"/>
        <v>3811.0471331597023</v>
      </c>
      <c r="C65" s="20">
        <f t="shared" ref="C65:L65" si="25">+C50*C34</f>
        <v>0</v>
      </c>
      <c r="D65" s="20">
        <f t="shared" si="25"/>
        <v>723.94612037175398</v>
      </c>
      <c r="E65" s="20">
        <f t="shared" si="25"/>
        <v>1783.9593387276207</v>
      </c>
      <c r="F65" s="20">
        <f t="shared" si="25"/>
        <v>899.78874015849181</v>
      </c>
      <c r="G65" s="20">
        <f t="shared" si="25"/>
        <v>-111.06188871306024</v>
      </c>
      <c r="H65" s="20">
        <f t="shared" si="25"/>
        <v>84.947880099987387</v>
      </c>
      <c r="I65" s="20">
        <f t="shared" si="25"/>
        <v>232.89581523580139</v>
      </c>
      <c r="J65" s="20">
        <f t="shared" si="25"/>
        <v>99.056948016853752</v>
      </c>
      <c r="K65" s="20">
        <f t="shared" si="25"/>
        <v>97.514179262253776</v>
      </c>
      <c r="L65" s="20">
        <f t="shared" si="25"/>
        <v>0</v>
      </c>
    </row>
    <row r="66" spans="1:12" x14ac:dyDescent="0.2">
      <c r="A66" s="4" t="s">
        <v>42</v>
      </c>
      <c r="B66" s="20">
        <f t="shared" si="15"/>
        <v>3637.3830516093399</v>
      </c>
      <c r="C66" s="20">
        <f t="shared" ref="C66:L66" si="26">+C51*C35</f>
        <v>0</v>
      </c>
      <c r="D66" s="20">
        <f t="shared" si="26"/>
        <v>434.7408415670339</v>
      </c>
      <c r="E66" s="20">
        <f t="shared" si="26"/>
        <v>1773.2993420856153</v>
      </c>
      <c r="F66" s="20">
        <f t="shared" si="26"/>
        <v>939.62484114224412</v>
      </c>
      <c r="G66" s="20">
        <f t="shared" si="26"/>
        <v>-161.73070946895177</v>
      </c>
      <c r="H66" s="20">
        <f t="shared" si="26"/>
        <v>120.17206596327425</v>
      </c>
      <c r="I66" s="20">
        <f t="shared" si="26"/>
        <v>318.14889399019319</v>
      </c>
      <c r="J66" s="20">
        <f t="shared" si="26"/>
        <v>146.57642557535959</v>
      </c>
      <c r="K66" s="20">
        <f t="shared" si="26"/>
        <v>66.551350754570677</v>
      </c>
      <c r="L66" s="20">
        <f t="shared" si="26"/>
        <v>0</v>
      </c>
    </row>
    <row r="67" spans="1:12" ht="15" x14ac:dyDescent="0.35">
      <c r="A67" s="4" t="s">
        <v>43</v>
      </c>
      <c r="B67" s="27">
        <f t="shared" si="15"/>
        <v>3332.4153447703843</v>
      </c>
      <c r="C67" s="27">
        <f t="shared" ref="C67:L67" si="27">+C52*C36</f>
        <v>0</v>
      </c>
      <c r="D67" s="27">
        <f t="shared" si="27"/>
        <v>888.08362646312844</v>
      </c>
      <c r="E67" s="27">
        <f t="shared" si="27"/>
        <v>1109.6264327409515</v>
      </c>
      <c r="F67" s="27">
        <f t="shared" si="27"/>
        <v>830.32859617019233</v>
      </c>
      <c r="G67" s="27">
        <f t="shared" si="27"/>
        <v>-135.26678307049318</v>
      </c>
      <c r="H67" s="27">
        <f t="shared" si="27"/>
        <v>119.10541965900632</v>
      </c>
      <c r="I67" s="27">
        <f t="shared" si="27"/>
        <v>334.77112779010093</v>
      </c>
      <c r="J67" s="27">
        <f t="shared" si="27"/>
        <v>119.15214137446668</v>
      </c>
      <c r="K67" s="27">
        <f t="shared" si="27"/>
        <v>66.614783643031188</v>
      </c>
      <c r="L67" s="27">
        <f t="shared" si="27"/>
        <v>0</v>
      </c>
    </row>
    <row r="68" spans="1:12" ht="15" x14ac:dyDescent="0.35">
      <c r="B68" s="39">
        <f t="shared" ref="B68" si="28">SUM(B56:B67)</f>
        <v>39170.396775465073</v>
      </c>
      <c r="C68" s="39">
        <f t="shared" ref="C68" si="29">SUM(C56:C67)</f>
        <v>0</v>
      </c>
      <c r="D68" s="39">
        <f>SUM(D56:D67)</f>
        <v>7684.6874730181262</v>
      </c>
      <c r="E68" s="39">
        <f t="shared" ref="E68:L68" si="30">SUM(E56:E67)</f>
        <v>18695.870281397583</v>
      </c>
      <c r="F68" s="39">
        <f t="shared" si="30"/>
        <v>9759.0087257214564</v>
      </c>
      <c r="G68" s="39">
        <f>SUM(G56:G67)</f>
        <v>-2243.6788833342007</v>
      </c>
      <c r="H68" s="39">
        <f t="shared" si="30"/>
        <v>1190.8403421426274</v>
      </c>
      <c r="I68" s="39">
        <f t="shared" si="30"/>
        <v>2255.2075482342339</v>
      </c>
      <c r="J68" s="39">
        <f t="shared" si="30"/>
        <v>1152.3296291268841</v>
      </c>
      <c r="K68" s="39">
        <f t="shared" si="30"/>
        <v>787.15606137223585</v>
      </c>
      <c r="L68" s="39">
        <f t="shared" si="30"/>
        <v>-111.02440221387548</v>
      </c>
    </row>
  </sheetData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J61"/>
  <sheetViews>
    <sheetView workbookViewId="0">
      <selection activeCell="H21" sqref="H21"/>
    </sheetView>
  </sheetViews>
  <sheetFormatPr defaultRowHeight="12.75" x14ac:dyDescent="0.2"/>
  <cols>
    <col min="1" max="1" width="9.140625" style="147"/>
    <col min="2" max="2" width="10.42578125" style="147" bestFit="1" customWidth="1"/>
    <col min="3" max="3" width="9.28515625" style="147" bestFit="1" customWidth="1"/>
    <col min="4" max="4" width="10.42578125" style="147" bestFit="1" customWidth="1"/>
    <col min="5" max="5" width="4.85546875" style="147" customWidth="1"/>
    <col min="6" max="9" width="10.42578125" style="147" customWidth="1"/>
    <col min="10" max="10" width="11.140625" style="147" bestFit="1" customWidth="1"/>
    <col min="11" max="12" width="9.28515625" style="147" bestFit="1" customWidth="1"/>
    <col min="13" max="13" width="10.28515625" style="147" bestFit="1" customWidth="1"/>
    <col min="14" max="14" width="9.28515625" style="147" bestFit="1" customWidth="1"/>
    <col min="15" max="15" width="10.7109375" style="147" bestFit="1" customWidth="1"/>
    <col min="16" max="17" width="7.7109375" style="147" bestFit="1" customWidth="1"/>
    <col min="18" max="18" width="8.140625" style="147" bestFit="1" customWidth="1"/>
    <col min="19" max="19" width="7.85546875" style="147" bestFit="1" customWidth="1"/>
    <col min="20" max="20" width="9.28515625" style="147" bestFit="1" customWidth="1"/>
    <col min="21" max="21" width="3.5703125" style="147" customWidth="1"/>
    <col min="22" max="22" width="11.140625" style="147" bestFit="1" customWidth="1"/>
    <col min="23" max="23" width="11.140625" style="147" customWidth="1"/>
    <col min="24" max="24" width="12.42578125" style="147" bestFit="1" customWidth="1"/>
    <col min="25" max="16384" width="9.140625" style="147"/>
  </cols>
  <sheetData>
    <row r="1" spans="1:36" ht="26.25" x14ac:dyDescent="0.4">
      <c r="A1" s="146" t="s">
        <v>18</v>
      </c>
    </row>
    <row r="2" spans="1:36" ht="15" x14ac:dyDescent="0.25">
      <c r="A2" s="148" t="s">
        <v>165</v>
      </c>
    </row>
    <row r="5" spans="1:36" x14ac:dyDescent="0.2">
      <c r="B5" s="612" t="s">
        <v>127</v>
      </c>
      <c r="C5" s="612"/>
      <c r="D5" s="612"/>
      <c r="E5" s="10"/>
      <c r="F5" s="612" t="s">
        <v>90</v>
      </c>
      <c r="G5" s="612"/>
      <c r="H5" s="612"/>
      <c r="I5" s="612"/>
    </row>
    <row r="6" spans="1:36" x14ac:dyDescent="0.2">
      <c r="B6" s="2" t="s">
        <v>22</v>
      </c>
      <c r="D6" s="2" t="s">
        <v>101</v>
      </c>
      <c r="E6" s="343"/>
      <c r="F6" s="343" t="s">
        <v>101</v>
      </c>
      <c r="G6" s="343"/>
      <c r="H6" s="343"/>
      <c r="I6" s="343"/>
      <c r="X6" s="342" t="s">
        <v>90</v>
      </c>
    </row>
    <row r="7" spans="1:36" x14ac:dyDescent="0.2">
      <c r="B7" s="2" t="s">
        <v>99</v>
      </c>
      <c r="C7" s="2" t="s">
        <v>24</v>
      </c>
      <c r="D7" s="2" t="s">
        <v>102</v>
      </c>
      <c r="E7" s="343"/>
      <c r="F7" s="343" t="s">
        <v>102</v>
      </c>
      <c r="G7" s="343"/>
      <c r="H7" s="343" t="s">
        <v>24</v>
      </c>
      <c r="I7" s="343"/>
      <c r="J7" s="257" t="s">
        <v>98</v>
      </c>
      <c r="K7" s="41" t="s">
        <v>46</v>
      </c>
      <c r="L7" s="41"/>
      <c r="M7" s="41" t="s">
        <v>1</v>
      </c>
      <c r="N7" s="41"/>
      <c r="O7" s="41"/>
      <c r="P7" s="41"/>
      <c r="Q7" s="41" t="s">
        <v>2</v>
      </c>
      <c r="R7" s="41" t="s">
        <v>2</v>
      </c>
      <c r="S7" s="41" t="s">
        <v>48</v>
      </c>
      <c r="X7" s="342" t="s">
        <v>24</v>
      </c>
      <c r="Y7" s="2"/>
    </row>
    <row r="8" spans="1:36" x14ac:dyDescent="0.2">
      <c r="B8" s="10" t="s">
        <v>0</v>
      </c>
      <c r="C8" s="10" t="s">
        <v>0</v>
      </c>
      <c r="D8" s="10" t="s">
        <v>0</v>
      </c>
      <c r="E8" s="10"/>
      <c r="F8" s="10" t="s">
        <v>0</v>
      </c>
      <c r="G8" s="10" t="s">
        <v>93</v>
      </c>
      <c r="H8" s="10" t="s">
        <v>0</v>
      </c>
      <c r="I8" s="10" t="s">
        <v>93</v>
      </c>
      <c r="J8" s="42" t="s">
        <v>92</v>
      </c>
      <c r="K8" s="42" t="s">
        <v>49</v>
      </c>
      <c r="L8" s="42" t="s">
        <v>50</v>
      </c>
      <c r="M8" s="42" t="s">
        <v>51</v>
      </c>
      <c r="N8" s="42" t="s">
        <v>4</v>
      </c>
      <c r="O8" s="42" t="s">
        <v>52</v>
      </c>
      <c r="P8" s="42" t="s">
        <v>3</v>
      </c>
      <c r="Q8" s="42" t="s">
        <v>53</v>
      </c>
      <c r="R8" s="42" t="s">
        <v>54</v>
      </c>
      <c r="S8" s="42" t="s">
        <v>55</v>
      </c>
      <c r="T8" s="59" t="s">
        <v>86</v>
      </c>
      <c r="X8" s="10" t="s">
        <v>0</v>
      </c>
      <c r="Y8" s="10" t="s">
        <v>93</v>
      </c>
    </row>
    <row r="9" spans="1:36" x14ac:dyDescent="0.2">
      <c r="B9" s="10"/>
      <c r="C9" s="10"/>
      <c r="D9" s="10"/>
      <c r="E9" s="10"/>
      <c r="F9" s="10"/>
      <c r="G9" s="10"/>
      <c r="H9" s="10"/>
      <c r="I9" s="10"/>
      <c r="J9" s="42"/>
      <c r="K9" s="42"/>
      <c r="L9" s="42"/>
      <c r="M9" s="42"/>
      <c r="N9" s="42"/>
      <c r="O9" s="42"/>
      <c r="P9" s="42"/>
      <c r="Q9" s="42"/>
      <c r="R9" s="42"/>
      <c r="S9" s="42"/>
      <c r="T9" s="59"/>
      <c r="X9" s="10"/>
      <c r="Y9" s="10"/>
    </row>
    <row r="10" spans="1:36" x14ac:dyDescent="0.2">
      <c r="A10" s="149" t="s">
        <v>172</v>
      </c>
      <c r="B10" s="515">
        <f>'[11]BRA TA September 23'!$G$3</f>
        <v>921.28754969122997</v>
      </c>
      <c r="C10" s="516">
        <f>'[11]BRA TA September 23'!$G$4</f>
        <v>71.179095078172296</v>
      </c>
      <c r="D10" s="150">
        <f>+B10-C10</f>
        <v>850.10845461305769</v>
      </c>
      <c r="E10" s="150"/>
      <c r="F10" s="517">
        <f>'[11]BRA TA September 23'!$E$3</f>
        <v>701.90877977096295</v>
      </c>
      <c r="G10" s="219">
        <f>+F10/D10</f>
        <v>0.82566968480562808</v>
      </c>
      <c r="H10" s="516">
        <f>'[11]BRA TA September 23'!$E$4</f>
        <v>37.396500786460798</v>
      </c>
      <c r="I10" s="345">
        <f>+H10/C10</f>
        <v>0.52538601039237953</v>
      </c>
      <c r="J10" s="140">
        <v>0</v>
      </c>
      <c r="K10" s="140">
        <f>+'Composition - CRC'!C$6</f>
        <v>0.29095737882463113</v>
      </c>
      <c r="L10" s="140">
        <f>+'Composition - CRC'!C$7</f>
        <v>0.3793155129021179</v>
      </c>
      <c r="M10" s="140">
        <f>+'Composition - CRC'!C$8</f>
        <v>1.2655231338032362E-2</v>
      </c>
      <c r="N10" s="140">
        <f>+'Composition - CRC'!C$9</f>
        <v>0.14185630861505319</v>
      </c>
      <c r="O10" s="140">
        <f>+'Composition - CRC'!C$14</f>
        <v>1.4725163547087829E-2</v>
      </c>
      <c r="P10" s="140">
        <f>+'Composition - CRC'!C$10</f>
        <v>1.8435800338790029E-2</v>
      </c>
      <c r="Q10" s="140">
        <f>+'Composition - CRC'!C$11</f>
        <v>4.446501553962116E-3</v>
      </c>
      <c r="R10" s="140">
        <f>+'Composition - CRC'!C$12</f>
        <v>6.1095268369759205E-3</v>
      </c>
      <c r="S10" s="140">
        <f>+'Composition - CRC'!C$13</f>
        <v>2.5971998640716477E-3</v>
      </c>
      <c r="T10" s="140">
        <f>1-SUM(J10:S10)</f>
        <v>0.12890137617927777</v>
      </c>
      <c r="V10" s="157"/>
      <c r="W10" s="158">
        <v>751.99</v>
      </c>
      <c r="X10" s="188">
        <v>46.59</v>
      </c>
      <c r="Y10" s="345">
        <f t="shared" ref="Y10:Y19" si="0">+X10/C10</f>
        <v>0.65454611285564435</v>
      </c>
      <c r="AA10" s="150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1:36" x14ac:dyDescent="0.2">
      <c r="A11" s="149" t="s">
        <v>35</v>
      </c>
      <c r="B11" s="515">
        <f>'[12]BRA TA October 23'!$I$3</f>
        <v>971.85506370676399</v>
      </c>
      <c r="C11" s="516">
        <f>'[12]BRA TA October 23'!$I$4</f>
        <v>73.289629885517002</v>
      </c>
      <c r="D11" s="150">
        <f t="shared" ref="D11:D21" si="1">+B11-C11</f>
        <v>898.56543382124698</v>
      </c>
      <c r="E11" s="150"/>
      <c r="F11" s="517">
        <f>'[12]BRA TA October 23'!$F$3</f>
        <v>750.57054090114605</v>
      </c>
      <c r="G11" s="219">
        <f t="shared" ref="G11:G22" si="2">+F11/D11</f>
        <v>0.8352987024097549</v>
      </c>
      <c r="H11" s="516">
        <f>'[12]BRA TA October 23'!$F$4</f>
        <v>38.060059857009001</v>
      </c>
      <c r="I11" s="345">
        <f t="shared" ref="I11:I22" si="3">+H11/C11</f>
        <v>0.51931030237785625</v>
      </c>
      <c r="J11" s="140">
        <v>0</v>
      </c>
      <c r="K11" s="140">
        <f>+'Composition - CRC'!E$6</f>
        <v>0.15662451429535507</v>
      </c>
      <c r="L11" s="140">
        <f>+'Composition - CRC'!E$7</f>
        <v>0.3966504908379252</v>
      </c>
      <c r="M11" s="140">
        <f>+'Composition - CRC'!E$8</f>
        <v>1.8846545608997733E-2</v>
      </c>
      <c r="N11" s="140">
        <f>+'Composition - CRC'!E$9</f>
        <v>0.17207839522563009</v>
      </c>
      <c r="O11" s="140">
        <f>+'Composition - CRC'!E$14</f>
        <v>1.7207677942724316E-2</v>
      </c>
      <c r="P11" s="140">
        <f>+'Composition - CRC'!E$10</f>
        <v>3.2370407738296275E-2</v>
      </c>
      <c r="Q11" s="140">
        <f>+'Composition - CRC'!E$11</f>
        <v>1.0531244946312061E-3</v>
      </c>
      <c r="R11" s="140">
        <f>+'Composition - CRC'!E$12</f>
        <v>5.6840416487255246E-3</v>
      </c>
      <c r="S11" s="140">
        <f>+'Composition - CRC'!E$13</f>
        <v>2.4504061967333857E-3</v>
      </c>
      <c r="T11" s="140">
        <f t="shared" ref="T11:T21" si="4">1-SUM(J11:S11)</f>
        <v>0.19703439601098138</v>
      </c>
      <c r="U11" s="352" t="s">
        <v>139</v>
      </c>
      <c r="V11" s="157"/>
      <c r="W11" s="157"/>
      <c r="X11" s="188">
        <v>55.76</v>
      </c>
      <c r="Y11" s="345">
        <f t="shared" si="0"/>
        <v>0.76081704993053745</v>
      </c>
      <c r="AA11" s="150"/>
      <c r="AB11" s="140"/>
      <c r="AC11" s="140"/>
      <c r="AD11" s="140"/>
      <c r="AE11" s="140"/>
      <c r="AF11" s="140"/>
      <c r="AG11" s="140"/>
      <c r="AH11" s="140"/>
      <c r="AI11" s="140"/>
      <c r="AJ11" s="140"/>
    </row>
    <row r="12" spans="1:36" x14ac:dyDescent="0.2">
      <c r="A12" s="149" t="s">
        <v>36</v>
      </c>
      <c r="B12" s="515">
        <f>'[13]BRA TA November 23'!$H$3</f>
        <v>1099.8229002329999</v>
      </c>
      <c r="C12" s="516">
        <f>'[13]BRA TA November 23'!$H$4</f>
        <v>80.128734246521802</v>
      </c>
      <c r="D12" s="150">
        <f t="shared" si="1"/>
        <v>1019.6941659864781</v>
      </c>
      <c r="E12" s="150"/>
      <c r="F12" s="517">
        <f>'[13]BRA TA November 23'!$E$3</f>
        <v>857.59218843052997</v>
      </c>
      <c r="G12" s="219">
        <f t="shared" si="2"/>
        <v>0.84102882711001237</v>
      </c>
      <c r="H12" s="516">
        <f>'[13]BRA TA November 23'!$E$4</f>
        <v>43.150588370281298</v>
      </c>
      <c r="I12" s="345">
        <f t="shared" si="3"/>
        <v>0.5385157868277991</v>
      </c>
      <c r="J12" s="140">
        <v>0</v>
      </c>
      <c r="K12" s="140">
        <f>+'Composition - CRC'!G$6</f>
        <v>0.25890114022670857</v>
      </c>
      <c r="L12" s="140">
        <f>+'Composition - CRC'!G$7</f>
        <v>0.26881946349916697</v>
      </c>
      <c r="M12" s="140">
        <f>+'Composition - CRC'!G$8</f>
        <v>8.4376992613428778E-3</v>
      </c>
      <c r="N12" s="140">
        <f>+'Composition - CRC'!G$9</f>
        <v>0.26311847314581116</v>
      </c>
      <c r="O12" s="140">
        <f>+'Composition - CRC'!G$14</f>
        <v>1.5022402394438871E-2</v>
      </c>
      <c r="P12" s="140">
        <f>+'Composition - CRC'!G$10</f>
        <v>2.3100770505722679E-2</v>
      </c>
      <c r="Q12" s="140">
        <f>+'Composition - CRC'!G$11</f>
        <v>6.9293754050628754E-4</v>
      </c>
      <c r="R12" s="140">
        <f>+'Composition - CRC'!G$12</f>
        <v>4.0175132269772325E-3</v>
      </c>
      <c r="S12" s="140">
        <f>+'Composition - CRC'!G$13</f>
        <v>3.2245508148463866E-3</v>
      </c>
      <c r="T12" s="140">
        <f t="shared" si="4"/>
        <v>0.15466504938447911</v>
      </c>
      <c r="U12" s="352" t="s">
        <v>140</v>
      </c>
      <c r="V12" s="157"/>
      <c r="W12" s="157"/>
      <c r="X12" s="188">
        <v>51.05</v>
      </c>
      <c r="Y12" s="345">
        <f t="shared" si="0"/>
        <v>0.63709979297739816</v>
      </c>
      <c r="AA12" s="150"/>
      <c r="AB12" s="140"/>
      <c r="AC12" s="140"/>
      <c r="AD12" s="140"/>
      <c r="AE12" s="140"/>
      <c r="AF12" s="140"/>
      <c r="AG12" s="140"/>
      <c r="AH12" s="140"/>
      <c r="AI12" s="140"/>
      <c r="AJ12" s="140"/>
    </row>
    <row r="13" spans="1:36" x14ac:dyDescent="0.2">
      <c r="A13" s="149" t="s">
        <v>37</v>
      </c>
      <c r="B13" s="515">
        <f>'[14]BRA TA December 23'!$H$3</f>
        <v>1095.1221706532799</v>
      </c>
      <c r="C13" s="516">
        <f>'[14]BRA TA December 23'!$H$4</f>
        <v>81.188603487335996</v>
      </c>
      <c r="D13" s="150">
        <f t="shared" si="1"/>
        <v>1013.9335671659439</v>
      </c>
      <c r="E13" s="150"/>
      <c r="F13" s="517">
        <f>'[14]BRA TA December 23'!$E$3</f>
        <v>834.39219401804701</v>
      </c>
      <c r="G13" s="219">
        <f t="shared" si="2"/>
        <v>0.82292590070793803</v>
      </c>
      <c r="H13" s="516">
        <f>'[14]BRA TA December 23'!$E$4</f>
        <v>42.344512485863099</v>
      </c>
      <c r="I13" s="345">
        <f t="shared" si="3"/>
        <v>0.52155734508314466</v>
      </c>
      <c r="J13" s="140">
        <v>0</v>
      </c>
      <c r="K13" s="140">
        <f>+'Composition - CRC'!I$6</f>
        <v>0.22727342118888369</v>
      </c>
      <c r="L13" s="140">
        <f>+'Composition - CRC'!I$7</f>
        <v>0.28312710215132281</v>
      </c>
      <c r="M13" s="140">
        <f>+'Composition - CRC'!I$8</f>
        <v>1.1567130674126076E-2</v>
      </c>
      <c r="N13" s="140">
        <f>+'Composition - CRC'!I$9</f>
        <v>0.28781835248478044</v>
      </c>
      <c r="O13" s="140">
        <f>+'Composition - CRC'!I$14</f>
        <v>4.1691898111569847E-3</v>
      </c>
      <c r="P13" s="140">
        <f>+'Composition - CRC'!I$10</f>
        <v>1.3161373358688911E-2</v>
      </c>
      <c r="Q13" s="140">
        <f>+'Composition - CRC'!I$11</f>
        <v>6.5704867690248841E-3</v>
      </c>
      <c r="R13" s="140">
        <f>+'Composition - CRC'!I$12</f>
        <v>1.3775131572444817E-3</v>
      </c>
      <c r="S13" s="140">
        <f>+'Composition - CRC'!I$13</f>
        <v>4.2833382894184695E-3</v>
      </c>
      <c r="T13" s="140">
        <f t="shared" si="4"/>
        <v>0.16065209211535336</v>
      </c>
      <c r="U13" s="352" t="s">
        <v>141</v>
      </c>
      <c r="V13" s="157"/>
      <c r="W13" s="157"/>
      <c r="X13" s="188">
        <v>55.96</v>
      </c>
      <c r="Y13" s="345">
        <f t="shared" si="0"/>
        <v>0.68925929990566692</v>
      </c>
      <c r="AA13" s="150"/>
      <c r="AB13" s="140"/>
      <c r="AC13" s="140"/>
      <c r="AD13" s="140"/>
      <c r="AE13" s="140"/>
      <c r="AF13" s="140"/>
      <c r="AG13" s="140"/>
      <c r="AH13" s="140"/>
      <c r="AI13" s="140"/>
      <c r="AJ13" s="140"/>
    </row>
    <row r="14" spans="1:36" x14ac:dyDescent="0.2">
      <c r="A14" s="149" t="s">
        <v>173</v>
      </c>
      <c r="B14" s="515">
        <f>'[15]PricingDashboard - MUNI_SHARE p'!$H$3</f>
        <v>1199.4330038560499</v>
      </c>
      <c r="C14" s="515">
        <f>'[15]PricingDashboard - MUNI_SHARE p'!$H$4</f>
        <v>93.672853189346796</v>
      </c>
      <c r="D14" s="150">
        <f t="shared" si="1"/>
        <v>1105.7601506667031</v>
      </c>
      <c r="E14" s="150"/>
      <c r="F14" s="515">
        <f>'[15]PricingDashboard - MUNI_SHARE p'!$E$3</f>
        <v>901.06316033382495</v>
      </c>
      <c r="G14" s="219">
        <f t="shared" si="2"/>
        <v>0.81488120166976641</v>
      </c>
      <c r="H14" s="516">
        <f>'[15]PricingDashboard - MUNI_SHARE p'!$E$4</f>
        <v>50.108476345413997</v>
      </c>
      <c r="I14" s="345">
        <f t="shared" si="3"/>
        <v>0.5349306083815617</v>
      </c>
      <c r="J14" s="140">
        <v>0</v>
      </c>
      <c r="K14" s="140">
        <f>+'Composition - CRC'!K$6</f>
        <v>0.3108522229436349</v>
      </c>
      <c r="L14" s="140">
        <f>+'Composition - CRC'!K$7</f>
        <v>0.27230173218791809</v>
      </c>
      <c r="M14" s="140">
        <f>+'Composition - CRC'!K$8</f>
        <v>1.3993983076742407E-2</v>
      </c>
      <c r="N14" s="140">
        <f>+'Composition - CRC'!K$9</f>
        <v>0.22717777431991823</v>
      </c>
      <c r="O14" s="140">
        <f>+'Composition - CRC'!K$14</f>
        <v>2.9690329066502669E-3</v>
      </c>
      <c r="P14" s="140">
        <f>+'Composition - CRC'!K$10</f>
        <v>2.9012723280005551E-2</v>
      </c>
      <c r="Q14" s="140">
        <f>+'Composition - CRC'!K$11</f>
        <v>4.2485882297051466E-3</v>
      </c>
      <c r="R14" s="140">
        <f>+'Composition - CRC'!K$12</f>
        <v>3.1193214155103605E-3</v>
      </c>
      <c r="S14" s="140">
        <f>+'Composition - CRC'!K$13</f>
        <v>1.620967573067024E-3</v>
      </c>
      <c r="T14" s="140">
        <f t="shared" si="4"/>
        <v>0.13470365406684781</v>
      </c>
      <c r="U14" s="352" t="s">
        <v>142</v>
      </c>
      <c r="V14" s="157"/>
      <c r="W14" s="157"/>
      <c r="X14" s="188">
        <v>61.72</v>
      </c>
      <c r="Y14" s="345">
        <f t="shared" si="0"/>
        <v>0.65888886586214579</v>
      </c>
      <c r="AA14" s="150"/>
      <c r="AB14" s="140"/>
      <c r="AC14" s="140"/>
      <c r="AD14" s="140"/>
      <c r="AE14" s="140"/>
      <c r="AF14" s="140"/>
      <c r="AG14" s="140"/>
      <c r="AH14" s="140"/>
      <c r="AI14" s="140"/>
      <c r="AJ14" s="140"/>
    </row>
    <row r="15" spans="1:36" x14ac:dyDescent="0.2">
      <c r="A15" s="149" t="s">
        <v>38</v>
      </c>
      <c r="B15" s="515">
        <f>'[16]PricingDashboard - MUNI_SHARE p'!$H$5</f>
        <v>1052.73900021599</v>
      </c>
      <c r="C15" s="515">
        <f>'[16]PricingDashboard - MUNI_SHARE p'!$H$4</f>
        <v>73.996942158882106</v>
      </c>
      <c r="D15" s="150">
        <f t="shared" si="1"/>
        <v>978.7420580571079</v>
      </c>
      <c r="E15" s="150"/>
      <c r="F15" s="515">
        <f>'[16]PricingDashboard - MUNI_SHARE p'!$E$5</f>
        <v>784.00391855246096</v>
      </c>
      <c r="G15" s="219">
        <f t="shared" si="2"/>
        <v>0.80103221487056575</v>
      </c>
      <c r="H15" s="518">
        <f>'[16]PricingDashboard - MUNI_SHARE p'!$E$4</f>
        <v>39.544519735619197</v>
      </c>
      <c r="I15" s="345">
        <f t="shared" si="3"/>
        <v>0.53440748471350896</v>
      </c>
      <c r="J15" s="140">
        <v>0</v>
      </c>
      <c r="K15" s="140">
        <f>+'Composition - CRC'!M$6</f>
        <v>0.33786259020063059</v>
      </c>
      <c r="L15" s="140">
        <f>+'Composition - CRC'!M$7</f>
        <v>0.20226605790196261</v>
      </c>
      <c r="M15" s="140">
        <f>+'Composition - CRC'!M$8</f>
        <v>1.6508690189646617E-2</v>
      </c>
      <c r="N15" s="140">
        <f>+'Composition - CRC'!M$9</f>
        <v>0.23333069690828254</v>
      </c>
      <c r="O15" s="140">
        <f>+'Composition - CRC'!M$14</f>
        <v>1.5999593815230029E-2</v>
      </c>
      <c r="P15" s="140">
        <f>+'Composition - CRC'!M$10</f>
        <v>3.1820166952459192E-2</v>
      </c>
      <c r="Q15" s="140">
        <f>+'Composition - CRC'!M$11</f>
        <v>5.5010930375520651E-3</v>
      </c>
      <c r="R15" s="140">
        <f>+'Composition - CRC'!M$12</f>
        <v>6.9403383753782449E-3</v>
      </c>
      <c r="S15" s="140">
        <f>+'Composition - CRC'!M$13</f>
        <v>0</v>
      </c>
      <c r="T15" s="140">
        <f t="shared" si="4"/>
        <v>0.14977077261885807</v>
      </c>
      <c r="U15" s="352" t="s">
        <v>143</v>
      </c>
      <c r="V15" s="157"/>
      <c r="W15" s="157"/>
      <c r="X15" s="151">
        <v>41.19</v>
      </c>
      <c r="Y15" s="345">
        <f t="shared" si="0"/>
        <v>0.556644623389425</v>
      </c>
      <c r="AA15" s="150"/>
      <c r="AB15" s="140"/>
      <c r="AC15" s="140"/>
      <c r="AD15" s="140"/>
      <c r="AE15" s="140"/>
      <c r="AF15" s="140"/>
      <c r="AG15" s="140"/>
      <c r="AH15" s="140"/>
      <c r="AI15" s="140"/>
      <c r="AJ15" s="140"/>
    </row>
    <row r="16" spans="1:36" x14ac:dyDescent="0.2">
      <c r="A16" s="149" t="s">
        <v>39</v>
      </c>
      <c r="B16" s="515">
        <f>'[17]BRA TA March 24'!$H$3</f>
        <v>1116.33174869042</v>
      </c>
      <c r="C16" s="515">
        <f>'[17]BRA TA March 24'!$H$4</f>
        <v>56.714602621934802</v>
      </c>
      <c r="D16" s="150">
        <f t="shared" si="1"/>
        <v>1059.6171460684852</v>
      </c>
      <c r="E16" s="150"/>
      <c r="F16" s="515">
        <f>'[17]BRA TA March 24'!$E$3</f>
        <v>853.32846670855599</v>
      </c>
      <c r="G16" s="219">
        <f t="shared" si="2"/>
        <v>0.80531772241953092</v>
      </c>
      <c r="H16" s="518">
        <f>'[17]BRA TA March 24'!$E$4</f>
        <v>29.196960542388201</v>
      </c>
      <c r="I16" s="345">
        <f t="shared" si="3"/>
        <v>0.51480499188221507</v>
      </c>
      <c r="J16" s="140">
        <v>0</v>
      </c>
      <c r="K16" s="140">
        <f>+'Composition - CRC'!O$6</f>
        <v>0.25073140984988146</v>
      </c>
      <c r="L16" s="140">
        <f>+'Composition - CRC'!O$7</f>
        <v>0.22165879056887627</v>
      </c>
      <c r="M16" s="140">
        <f>+'Composition - CRC'!O$8</f>
        <v>1.7833065860047015E-2</v>
      </c>
      <c r="N16" s="140">
        <f>+'Composition - CRC'!O$9</f>
        <v>0.1602034450948448</v>
      </c>
      <c r="O16" s="140">
        <f>+'Composition - CRC'!O$14</f>
        <v>1.5127902066238569E-2</v>
      </c>
      <c r="P16" s="140">
        <f>+'Composition - CRC'!O$10</f>
        <v>3.645063354440941E-2</v>
      </c>
      <c r="Q16" s="140">
        <f>+'Composition - CRC'!O$11</f>
        <v>5.2073105797535504E-3</v>
      </c>
      <c r="R16" s="140">
        <f>+'Composition - CRC'!O$12</f>
        <v>8.5703878505887787E-3</v>
      </c>
      <c r="S16" s="140">
        <f>+'Composition - CRC'!O$13</f>
        <v>0</v>
      </c>
      <c r="T16" s="140">
        <f t="shared" si="4"/>
        <v>0.28421705458536017</v>
      </c>
      <c r="U16" s="352" t="s">
        <v>144</v>
      </c>
      <c r="V16" s="157"/>
      <c r="W16" s="157"/>
      <c r="X16" s="151">
        <v>42.81</v>
      </c>
      <c r="Y16" s="345">
        <f t="shared" si="0"/>
        <v>0.7548320541955611</v>
      </c>
      <c r="AA16" s="150"/>
      <c r="AB16" s="140"/>
      <c r="AC16" s="140"/>
      <c r="AD16" s="140"/>
      <c r="AE16" s="140"/>
      <c r="AF16" s="140"/>
      <c r="AG16" s="140"/>
      <c r="AH16" s="140"/>
      <c r="AI16" s="140"/>
      <c r="AJ16" s="140"/>
    </row>
    <row r="17" spans="1:36" x14ac:dyDescent="0.2">
      <c r="A17" s="149" t="s">
        <v>40</v>
      </c>
      <c r="B17" s="515">
        <f>'[18]BRA TA April 24'!$H$3</f>
        <v>1086.33953387579</v>
      </c>
      <c r="C17" s="516">
        <f>'[18]BRA TA April 24'!$H$4</f>
        <v>57.7270833449017</v>
      </c>
      <c r="D17" s="150">
        <f t="shared" si="1"/>
        <v>1028.6124505308883</v>
      </c>
      <c r="E17" s="150"/>
      <c r="F17" s="517">
        <f>'[18]BRA TA April 24'!$E$3</f>
        <v>842.57978180836801</v>
      </c>
      <c r="G17" s="219">
        <f t="shared" si="2"/>
        <v>0.81914211846599272</v>
      </c>
      <c r="H17" s="518">
        <f>'[18]BRA TA April 24'!$E$4</f>
        <v>29.089425517941599</v>
      </c>
      <c r="I17" s="345">
        <f t="shared" si="3"/>
        <v>0.5039129613415797</v>
      </c>
      <c r="J17" s="140">
        <v>0</v>
      </c>
      <c r="K17" s="140">
        <f>+'Composition - CRC'!Q$6</f>
        <v>0.15396344773270537</v>
      </c>
      <c r="L17" s="140">
        <f>+'Composition - CRC'!Q$7</f>
        <v>0.23160987491537</v>
      </c>
      <c r="M17" s="140">
        <f>+'Composition - CRC'!Q$8</f>
        <v>1.8978834109396252E-2</v>
      </c>
      <c r="N17" s="140">
        <f>+'Composition - CRC'!Q$9</f>
        <v>0.15805727008765991</v>
      </c>
      <c r="O17" s="140">
        <f>+'Composition - CRC'!Q$14</f>
        <v>1.909430595499164E-2</v>
      </c>
      <c r="P17" s="140">
        <f>+'Composition - CRC'!Q$10</f>
        <v>3.3855950353028026E-2</v>
      </c>
      <c r="Q17" s="140">
        <f>+'Composition - CRC'!Q$11</f>
        <v>5.0254926305275975E-3</v>
      </c>
      <c r="R17" s="140">
        <f>+'Composition - CRC'!Q$12</f>
        <v>8.3958888075212623E-3</v>
      </c>
      <c r="S17" s="140">
        <f>+'Composition - CRC'!Q$13</f>
        <v>0</v>
      </c>
      <c r="T17" s="140">
        <f t="shared" si="4"/>
        <v>0.37101893540879982</v>
      </c>
      <c r="U17" s="352" t="s">
        <v>145</v>
      </c>
      <c r="V17" s="157"/>
      <c r="W17" s="157"/>
      <c r="X17" s="151">
        <v>55.29</v>
      </c>
      <c r="Y17" s="345">
        <f t="shared" si="0"/>
        <v>0.95778266969871195</v>
      </c>
      <c r="AA17" s="150"/>
      <c r="AB17" s="140"/>
      <c r="AC17" s="140"/>
      <c r="AD17" s="140"/>
      <c r="AE17" s="140"/>
      <c r="AF17" s="140"/>
      <c r="AG17" s="140"/>
      <c r="AH17" s="140"/>
      <c r="AI17" s="140"/>
      <c r="AJ17" s="140"/>
    </row>
    <row r="18" spans="1:36" x14ac:dyDescent="0.2">
      <c r="A18" s="149" t="s">
        <v>10</v>
      </c>
      <c r="B18" s="515">
        <f>'[19]BRA TA May 24'!$F$3</f>
        <v>1151.30239101086</v>
      </c>
      <c r="C18" s="515">
        <f>'[19]BRA TA May 24'!$F$4</f>
        <v>61.541156532402098</v>
      </c>
      <c r="D18" s="150">
        <f t="shared" si="1"/>
        <v>1089.7612344784579</v>
      </c>
      <c r="E18" s="150"/>
      <c r="F18" s="517">
        <f>'[19]BRA TA May 24'!$D$3</f>
        <v>890.28820581554703</v>
      </c>
      <c r="G18" s="219">
        <f t="shared" si="2"/>
        <v>0.81695712569701062</v>
      </c>
      <c r="H18" s="518">
        <f>'[19]BRA TA May 24'!$D$4</f>
        <v>31.960149465273201</v>
      </c>
      <c r="I18" s="345">
        <f t="shared" si="3"/>
        <v>0.51932968546741287</v>
      </c>
      <c r="J18" s="140">
        <v>0</v>
      </c>
      <c r="K18" s="140">
        <f>+'Composition - CRC'!S$6</f>
        <v>0.15671472845221274</v>
      </c>
      <c r="L18" s="140">
        <f>+'Composition - CRC'!S$7</f>
        <v>0.22207530894074115</v>
      </c>
      <c r="M18" s="140">
        <f>+'Composition - CRC'!S$8</f>
        <v>1.8301274795275529E-2</v>
      </c>
      <c r="N18" s="140">
        <f>+'Composition - CRC'!S$9</f>
        <v>0.15069399448863768</v>
      </c>
      <c r="O18" s="140">
        <f>+'Composition - CRC'!S$14</f>
        <v>1.579832785579903E-2</v>
      </c>
      <c r="P18" s="140">
        <f>+'Composition - CRC'!S$10</f>
        <v>4.1378152834916748E-2</v>
      </c>
      <c r="Q18" s="140">
        <f>+'Composition - CRC'!S$11</f>
        <v>5.4762332258643702E-3</v>
      </c>
      <c r="R18" s="140">
        <f>+'Composition - CRC'!S$12</f>
        <v>1.1440370338566265E-2</v>
      </c>
      <c r="S18" s="140">
        <f>+'Composition - CRC'!S$13</f>
        <v>0</v>
      </c>
      <c r="T18" s="140">
        <f t="shared" si="4"/>
        <v>0.37812160906798642</v>
      </c>
      <c r="U18" s="352" t="s">
        <v>146</v>
      </c>
      <c r="V18" s="157"/>
      <c r="W18" s="157"/>
      <c r="X18" s="151">
        <v>50.07</v>
      </c>
      <c r="Y18" s="345">
        <f t="shared" si="0"/>
        <v>0.81360186940324386</v>
      </c>
      <c r="AA18" s="150"/>
      <c r="AB18" s="140"/>
      <c r="AC18" s="140"/>
      <c r="AD18" s="140"/>
      <c r="AE18" s="140"/>
      <c r="AF18" s="140"/>
      <c r="AG18" s="140"/>
      <c r="AH18" s="140"/>
      <c r="AI18" s="140"/>
      <c r="AJ18" s="140"/>
    </row>
    <row r="19" spans="1:36" x14ac:dyDescent="0.2">
      <c r="A19" s="149" t="s">
        <v>41</v>
      </c>
      <c r="B19" s="515">
        <f>'[20]BRA TA June 24'!$F$5</f>
        <v>1067.47556693398</v>
      </c>
      <c r="C19" s="515">
        <f>'[20]BRA TA June 24'!$F$4</f>
        <v>61.335533055039797</v>
      </c>
      <c r="D19" s="150">
        <f t="shared" si="1"/>
        <v>1006.1400338789401</v>
      </c>
      <c r="E19" s="150"/>
      <c r="F19" s="517">
        <f>'[20]BRA TA June 24'!$D$3</f>
        <v>776.15400228935198</v>
      </c>
      <c r="G19" s="219">
        <f t="shared" si="2"/>
        <v>0.77141747287111695</v>
      </c>
      <c r="H19" s="518">
        <f>'[20]BRA TA June 24'!$D$4</f>
        <v>32.064918836315996</v>
      </c>
      <c r="I19" s="345">
        <f t="shared" si="3"/>
        <v>0.52277884024489285</v>
      </c>
      <c r="J19" s="256">
        <v>0</v>
      </c>
      <c r="K19" s="140">
        <f>+'Composition - CRC'!U$6</f>
        <v>0.21392375358392546</v>
      </c>
      <c r="L19" s="140">
        <f>+'Composition - CRC'!U$7</f>
        <v>0.28918270236109245</v>
      </c>
      <c r="M19" s="140">
        <f>+'Composition - CRC'!U$8</f>
        <v>1.7648944920235877E-2</v>
      </c>
      <c r="N19" s="140">
        <f>+'Composition - CRC'!U$9</f>
        <v>0.15736743541963874</v>
      </c>
      <c r="O19" s="140">
        <f>+'Composition - CRC'!U$14</f>
        <v>1.4221852535118986E-2</v>
      </c>
      <c r="P19" s="140">
        <f>+'Composition - CRC'!U$10</f>
        <v>3.1608247326867941E-2</v>
      </c>
      <c r="Q19" s="140">
        <f>+'Composition - CRC'!U$11</f>
        <v>5.1487706613010413E-3</v>
      </c>
      <c r="R19" s="140">
        <f>+'Composition - CRC'!U$12</f>
        <v>8.8151786502599951E-3</v>
      </c>
      <c r="S19" s="140">
        <f>+'Composition - CRC'!U$13</f>
        <v>0</v>
      </c>
      <c r="T19" s="140">
        <f t="shared" si="4"/>
        <v>0.26208311454155953</v>
      </c>
      <c r="U19" s="352" t="s">
        <v>147</v>
      </c>
      <c r="V19" s="157"/>
      <c r="W19" s="157"/>
      <c r="X19" s="151">
        <v>43.47</v>
      </c>
      <c r="Y19" s="345">
        <f t="shared" si="0"/>
        <v>0.7087245815731632</v>
      </c>
      <c r="AA19" s="150"/>
      <c r="AB19" s="140"/>
      <c r="AC19" s="140"/>
      <c r="AD19" s="140"/>
      <c r="AE19" s="140"/>
      <c r="AF19" s="140"/>
      <c r="AG19" s="140"/>
      <c r="AH19" s="140"/>
      <c r="AI19" s="140"/>
      <c r="AJ19" s="140"/>
    </row>
    <row r="20" spans="1:36" x14ac:dyDescent="0.2">
      <c r="A20" s="149" t="s">
        <v>42</v>
      </c>
      <c r="B20" s="515">
        <v>1148.43</v>
      </c>
      <c r="C20" s="515">
        <v>67</v>
      </c>
      <c r="D20" s="150">
        <f t="shared" si="1"/>
        <v>1081.43</v>
      </c>
      <c r="E20" s="150"/>
      <c r="F20" s="517">
        <v>864.66</v>
      </c>
      <c r="G20" s="219">
        <f t="shared" si="2"/>
        <v>0.79955244444855411</v>
      </c>
      <c r="H20" s="518">
        <v>35.770000000000003</v>
      </c>
      <c r="I20" s="345">
        <f t="shared" si="3"/>
        <v>0.53388059701492541</v>
      </c>
      <c r="J20" s="256">
        <f>+J19</f>
        <v>0</v>
      </c>
      <c r="K20" s="140">
        <f>+'Composition - CRC'!W$6</f>
        <v>0.12015604212916675</v>
      </c>
      <c r="L20" s="140">
        <f>+'Composition - CRC'!W$7</f>
        <v>0.2641466565908101</v>
      </c>
      <c r="M20" s="140">
        <f>+'Composition - CRC'!W$8</f>
        <v>1.7057367592407776E-2</v>
      </c>
      <c r="N20" s="140">
        <f>+'Composition - CRC'!W$9</f>
        <v>0.16113351643035759</v>
      </c>
      <c r="O20" s="140">
        <f>+'Composition - CRC'!W$14</f>
        <v>1.5150973694402291E-2</v>
      </c>
      <c r="P20" s="140">
        <f>+'Composition - CRC'!W$10</f>
        <v>3.8355659723099886E-2</v>
      </c>
      <c r="Q20" s="140">
        <f>+'Composition - CRC'!W$11</f>
        <v>4.7648225931617239E-3</v>
      </c>
      <c r="R20" s="140">
        <f>+'Composition - CRC'!W$12</f>
        <v>8.4569790269360644E-3</v>
      </c>
      <c r="S20" s="140">
        <f>+'Composition - CRC'!W$13</f>
        <v>0</v>
      </c>
      <c r="T20" s="140">
        <f t="shared" si="4"/>
        <v>0.37077798221965785</v>
      </c>
      <c r="U20" s="352" t="s">
        <v>148</v>
      </c>
      <c r="V20" s="157"/>
      <c r="W20" s="157"/>
      <c r="X20" s="151">
        <v>52.99</v>
      </c>
      <c r="Y20" s="345">
        <f>+X20/C20</f>
        <v>0.79089552238805971</v>
      </c>
      <c r="AA20" s="223"/>
      <c r="AB20" s="140"/>
      <c r="AC20" s="140"/>
      <c r="AD20" s="140"/>
      <c r="AE20" s="140"/>
      <c r="AF20" s="140"/>
      <c r="AG20" s="140"/>
      <c r="AH20" s="140"/>
      <c r="AI20" s="140"/>
      <c r="AJ20" s="140"/>
    </row>
    <row r="21" spans="1:36" ht="15" x14ac:dyDescent="0.35">
      <c r="A21" s="149" t="s">
        <v>43</v>
      </c>
      <c r="B21" s="515">
        <f>B20</f>
        <v>1148.43</v>
      </c>
      <c r="C21" s="515">
        <f>C20</f>
        <v>67</v>
      </c>
      <c r="D21" s="547">
        <f t="shared" si="1"/>
        <v>1081.43</v>
      </c>
      <c r="E21" s="547"/>
      <c r="F21" s="517">
        <f>F20</f>
        <v>864.66</v>
      </c>
      <c r="G21" s="190">
        <f t="shared" si="2"/>
        <v>0.79955244444855411</v>
      </c>
      <c r="H21" s="518">
        <f>H20</f>
        <v>35.770000000000003</v>
      </c>
      <c r="I21" s="346">
        <f t="shared" si="3"/>
        <v>0.53388059701492541</v>
      </c>
      <c r="J21" s="190">
        <f>+J20</f>
        <v>0</v>
      </c>
      <c r="K21" s="190">
        <f>+'Composition - CRC'!Y$6</f>
        <v>0.24113840781504006</v>
      </c>
      <c r="L21" s="190">
        <f>+'Composition - CRC'!Y$7</f>
        <v>0.20711141091753346</v>
      </c>
      <c r="M21" s="190">
        <f>+'Composition - CRC'!Y$8</f>
        <v>1.5121679932520336E-2</v>
      </c>
      <c r="N21" s="190">
        <f>+'Composition - CRC'!Y$9</f>
        <v>0.15776264813181834</v>
      </c>
      <c r="O21" s="190">
        <f>+'Composition - CRC'!Y$14</f>
        <v>1.4477205778343076E-2</v>
      </c>
      <c r="P21" s="190">
        <f>+'Composition - CRC'!Y$10</f>
        <v>3.5996121351164589E-2</v>
      </c>
      <c r="Q21" s="190">
        <f>+'Composition - CRC'!Y$11</f>
        <v>4.8986227932734739E-3</v>
      </c>
      <c r="R21" s="190">
        <f>+'Composition - CRC'!Y$12</f>
        <v>9.3115437018494798E-3</v>
      </c>
      <c r="S21" s="190">
        <f>+'Composition - CRC'!Y$13</f>
        <v>0</v>
      </c>
      <c r="T21" s="190">
        <f t="shared" si="4"/>
        <v>0.31418235957845708</v>
      </c>
      <c r="U21" s="352" t="s">
        <v>149</v>
      </c>
      <c r="V21" s="157"/>
      <c r="W21" s="157"/>
      <c r="X21" s="189">
        <f>+X20</f>
        <v>52.99</v>
      </c>
      <c r="Y21" s="346">
        <f>+X21/C21</f>
        <v>0.79089552238805971</v>
      </c>
      <c r="AA21" s="224"/>
      <c r="AB21" s="190"/>
      <c r="AC21" s="190"/>
      <c r="AD21" s="190"/>
      <c r="AE21" s="190"/>
      <c r="AF21" s="190"/>
      <c r="AG21" s="190"/>
      <c r="AH21" s="190"/>
      <c r="AI21" s="190"/>
      <c r="AJ21" s="190"/>
    </row>
    <row r="22" spans="1:36" ht="15" x14ac:dyDescent="0.35">
      <c r="A22" s="149"/>
      <c r="B22" s="153">
        <f>SUM(B10:B21)</f>
        <v>13058.568928867364</v>
      </c>
      <c r="C22" s="350">
        <f>SUM(C10:C21)</f>
        <v>844.77423360005446</v>
      </c>
      <c r="D22" s="153">
        <f>SUM(D10:D21)</f>
        <v>12213.79469526731</v>
      </c>
      <c r="E22" s="153"/>
      <c r="F22" s="153">
        <f>SUM(F10:F21)</f>
        <v>9921.201238628797</v>
      </c>
      <c r="G22" s="155">
        <f t="shared" si="2"/>
        <v>0.81229474427576032</v>
      </c>
      <c r="H22" s="154">
        <f>SUM(H10:H21)</f>
        <v>444.45611194256639</v>
      </c>
      <c r="I22" s="155">
        <f t="shared" si="3"/>
        <v>0.52612413383927548</v>
      </c>
      <c r="J22" s="155">
        <f>+J42/$D$42</f>
        <v>0</v>
      </c>
      <c r="K22" s="155">
        <f t="shared" ref="K22:T22" si="5">+K42/$D$42</f>
        <v>0.22578672702509922</v>
      </c>
      <c r="L22" s="155">
        <f t="shared" si="5"/>
        <v>0.26648870922801299</v>
      </c>
      <c r="M22" s="155">
        <f t="shared" si="5"/>
        <v>1.5603331806244973E-2</v>
      </c>
      <c r="N22" s="155">
        <f t="shared" si="5"/>
        <v>0.18951298780787881</v>
      </c>
      <c r="O22" s="155">
        <f t="shared" si="5"/>
        <v>1.3567042334226799E-2</v>
      </c>
      <c r="P22" s="155">
        <f t="shared" si="5"/>
        <v>3.0754891628077752E-2</v>
      </c>
      <c r="Q22" s="155">
        <f t="shared" si="5"/>
        <v>4.4591016884099541E-3</v>
      </c>
      <c r="R22" s="155">
        <f t="shared" si="5"/>
        <v>6.9025266383172731E-3</v>
      </c>
      <c r="S22" s="155">
        <f t="shared" si="5"/>
        <v>1.1325906229738883E-3</v>
      </c>
      <c r="T22" s="155">
        <f t="shared" si="5"/>
        <v>0.24579209122075824</v>
      </c>
      <c r="V22" s="157"/>
      <c r="W22" s="157"/>
      <c r="X22" s="154">
        <f>SUM(X10:X21)</f>
        <v>609.89</v>
      </c>
      <c r="Y22" s="155">
        <f>+X22/C22</f>
        <v>0.72195620527027482</v>
      </c>
    </row>
    <row r="23" spans="1:36" x14ac:dyDescent="0.2">
      <c r="B23" s="151"/>
      <c r="C23" s="151"/>
      <c r="X23" s="156"/>
    </row>
    <row r="24" spans="1:36" x14ac:dyDescent="0.2">
      <c r="B24" s="158"/>
      <c r="C24" s="158"/>
      <c r="D24" s="158"/>
      <c r="E24" s="158"/>
      <c r="F24" s="158"/>
      <c r="G24" s="158"/>
      <c r="H24" s="158"/>
      <c r="I24" s="158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X24" s="156"/>
    </row>
    <row r="26" spans="1:36" ht="15" x14ac:dyDescent="0.2">
      <c r="D26" s="2" t="s">
        <v>101</v>
      </c>
      <c r="E26" s="343"/>
      <c r="F26" s="343"/>
      <c r="G26" s="343"/>
      <c r="H26" s="343"/>
      <c r="I26" s="343"/>
      <c r="J26" s="611" t="s">
        <v>103</v>
      </c>
      <c r="K26" s="611"/>
      <c r="L26" s="611"/>
      <c r="M26" s="611"/>
      <c r="N26" s="611"/>
      <c r="O26" s="611"/>
      <c r="P26" s="611"/>
      <c r="Q26" s="611"/>
      <c r="R26" s="611"/>
      <c r="S26" s="611"/>
      <c r="T26" s="611"/>
    </row>
    <row r="27" spans="1:36" x14ac:dyDescent="0.2">
      <c r="D27" s="2" t="s">
        <v>102</v>
      </c>
      <c r="E27" s="343"/>
      <c r="F27" s="343"/>
      <c r="G27" s="343"/>
      <c r="H27" s="343"/>
      <c r="I27" s="343"/>
      <c r="J27" s="41" t="s">
        <v>98</v>
      </c>
      <c r="K27" s="41" t="s">
        <v>46</v>
      </c>
      <c r="L27" s="41"/>
      <c r="M27" s="41" t="s">
        <v>1</v>
      </c>
      <c r="N27" s="41"/>
      <c r="O27" s="41" t="s">
        <v>47</v>
      </c>
      <c r="P27" s="41"/>
      <c r="Q27" s="41" t="s">
        <v>2</v>
      </c>
      <c r="R27" s="41" t="s">
        <v>2</v>
      </c>
      <c r="S27" s="41" t="s">
        <v>48</v>
      </c>
    </row>
    <row r="28" spans="1:36" x14ac:dyDescent="0.2">
      <c r="C28" s="151"/>
      <c r="D28" s="10" t="s">
        <v>0</v>
      </c>
      <c r="E28" s="10"/>
      <c r="F28" s="10"/>
      <c r="G28" s="10"/>
      <c r="H28" s="10"/>
      <c r="I28" s="10"/>
      <c r="J28" s="42" t="s">
        <v>92</v>
      </c>
      <c r="K28" s="42" t="s">
        <v>49</v>
      </c>
      <c r="L28" s="42" t="s">
        <v>50</v>
      </c>
      <c r="M28" s="42" t="s">
        <v>51</v>
      </c>
      <c r="N28" s="42" t="s">
        <v>4</v>
      </c>
      <c r="O28" s="42" t="s">
        <v>52</v>
      </c>
      <c r="P28" s="42" t="s">
        <v>3</v>
      </c>
      <c r="Q28" s="42" t="s">
        <v>53</v>
      </c>
      <c r="R28" s="42" t="s">
        <v>54</v>
      </c>
      <c r="S28" s="42" t="s">
        <v>55</v>
      </c>
      <c r="T28" s="59" t="s">
        <v>86</v>
      </c>
    </row>
    <row r="29" spans="1:36" x14ac:dyDescent="0.2">
      <c r="C29" s="151"/>
      <c r="D29" s="151"/>
      <c r="E29" s="151"/>
      <c r="F29" s="151"/>
      <c r="G29" s="151"/>
      <c r="H29" s="151"/>
      <c r="I29" s="151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59"/>
    </row>
    <row r="30" spans="1:36" x14ac:dyDescent="0.2">
      <c r="A30" s="149" t="s">
        <v>172</v>
      </c>
      <c r="C30" s="151"/>
      <c r="D30" s="158">
        <f t="shared" ref="D30:D41" si="6">SUM(J30:T30)</f>
        <v>850.10845461305769</v>
      </c>
      <c r="E30" s="158"/>
      <c r="F30" s="158"/>
      <c r="G30" s="158"/>
      <c r="H30" s="158"/>
      <c r="I30" s="158"/>
      <c r="J30" s="158">
        <f t="shared" ref="J30:T30" si="7">+$D10*J10</f>
        <v>0</v>
      </c>
      <c r="K30" s="158">
        <f t="shared" si="7"/>
        <v>247.34532767087316</v>
      </c>
      <c r="L30" s="158">
        <f t="shared" si="7"/>
        <v>322.45932448397878</v>
      </c>
      <c r="M30" s="158">
        <f t="shared" si="7"/>
        <v>10.758319155545429</v>
      </c>
      <c r="N30" s="158">
        <f t="shared" si="7"/>
        <v>120.59324729385585</v>
      </c>
      <c r="O30" s="158">
        <f t="shared" si="7"/>
        <v>12.517986026939365</v>
      </c>
      <c r="P30" s="158">
        <f t="shared" si="7"/>
        <v>15.672429735563677</v>
      </c>
      <c r="Q30" s="158">
        <f t="shared" si="7"/>
        <v>3.7800085644732939</v>
      </c>
      <c r="R30" s="158">
        <f t="shared" si="7"/>
        <v>5.1937604177986021</v>
      </c>
      <c r="S30" s="158">
        <f t="shared" si="7"/>
        <v>2.2079015627671921</v>
      </c>
      <c r="T30" s="158">
        <f t="shared" si="7"/>
        <v>109.58014970126223</v>
      </c>
    </row>
    <row r="31" spans="1:36" x14ac:dyDescent="0.2">
      <c r="A31" s="149" t="s">
        <v>35</v>
      </c>
      <c r="C31" s="151"/>
      <c r="D31" s="158">
        <f t="shared" si="6"/>
        <v>898.56543382124698</v>
      </c>
      <c r="E31" s="158"/>
      <c r="F31" s="158"/>
      <c r="G31" s="158"/>
      <c r="H31" s="158"/>
      <c r="I31" s="158"/>
      <c r="J31" s="158">
        <f t="shared" ref="J31:T31" si="8">+$D11*J11</f>
        <v>0</v>
      </c>
      <c r="K31" s="158">
        <f t="shared" si="8"/>
        <v>140.73737463484781</v>
      </c>
      <c r="L31" s="158">
        <f t="shared" si="8"/>
        <v>356.4164203751908</v>
      </c>
      <c r="M31" s="158">
        <f t="shared" si="8"/>
        <v>16.934854431180966</v>
      </c>
      <c r="N31" s="158">
        <f t="shared" si="8"/>
        <v>154.62369785718229</v>
      </c>
      <c r="O31" s="158">
        <f t="shared" si="8"/>
        <v>15.462224595660379</v>
      </c>
      <c r="P31" s="158">
        <f t="shared" si="8"/>
        <v>29.086929472332844</v>
      </c>
      <c r="Q31" s="158">
        <f t="shared" si="8"/>
        <v>0.9463012683860712</v>
      </c>
      <c r="R31" s="158">
        <f t="shared" si="8"/>
        <v>5.1074833499450873</v>
      </c>
      <c r="S31" s="158">
        <f t="shared" si="8"/>
        <v>2.2018503072060067</v>
      </c>
      <c r="T31" s="158">
        <f t="shared" si="8"/>
        <v>177.04829752931485</v>
      </c>
    </row>
    <row r="32" spans="1:36" x14ac:dyDescent="0.2">
      <c r="A32" s="149" t="s">
        <v>36</v>
      </c>
      <c r="C32" s="151"/>
      <c r="D32" s="158">
        <f t="shared" si="6"/>
        <v>1019.6941659864782</v>
      </c>
      <c r="E32" s="158"/>
      <c r="F32" s="158"/>
      <c r="G32" s="158"/>
      <c r="H32" s="158"/>
      <c r="I32" s="158"/>
      <c r="J32" s="158">
        <f t="shared" ref="J32:T32" si="9">+$D12*J12</f>
        <v>0</v>
      </c>
      <c r="K32" s="158">
        <f t="shared" si="9"/>
        <v>263.99998225642179</v>
      </c>
      <c r="L32" s="158">
        <f t="shared" si="9"/>
        <v>274.11363863371554</v>
      </c>
      <c r="M32" s="158">
        <f t="shared" si="9"/>
        <v>8.6038727111397471</v>
      </c>
      <c r="N32" s="158">
        <f t="shared" si="9"/>
        <v>268.30037203005344</v>
      </c>
      <c r="O32" s="158">
        <f t="shared" si="9"/>
        <v>15.318256080710617</v>
      </c>
      <c r="P32" s="158">
        <f t="shared" si="9"/>
        <v>23.55572091447792</v>
      </c>
      <c r="Q32" s="158">
        <f t="shared" si="9"/>
        <v>0.70658436744728026</v>
      </c>
      <c r="R32" s="158">
        <f t="shared" si="9"/>
        <v>4.0966347993221932</v>
      </c>
      <c r="S32" s="158">
        <f t="shared" si="9"/>
        <v>3.2880556538258046</v>
      </c>
      <c r="T32" s="158">
        <f t="shared" si="9"/>
        <v>157.71104853936387</v>
      </c>
    </row>
    <row r="33" spans="1:20" x14ac:dyDescent="0.2">
      <c r="A33" s="149" t="s">
        <v>37</v>
      </c>
      <c r="C33" s="151"/>
      <c r="D33" s="158">
        <f t="shared" si="6"/>
        <v>1013.9335671659439</v>
      </c>
      <c r="E33" s="158"/>
      <c r="F33" s="158"/>
      <c r="G33" s="158"/>
      <c r="H33" s="158"/>
      <c r="I33" s="158"/>
      <c r="J33" s="158">
        <f t="shared" ref="J33:T33" si="10">+$D13*J13</f>
        <v>0</v>
      </c>
      <c r="K33" s="158">
        <f t="shared" si="10"/>
        <v>230.44015066805287</v>
      </c>
      <c r="L33" s="158">
        <f t="shared" si="10"/>
        <v>287.07207264564732</v>
      </c>
      <c r="M33" s="158">
        <f t="shared" si="10"/>
        <v>11.728302066291262</v>
      </c>
      <c r="N33" s="158">
        <f t="shared" si="10"/>
        <v>291.82868883071848</v>
      </c>
      <c r="O33" s="158">
        <f t="shared" si="10"/>
        <v>4.2272814974183097</v>
      </c>
      <c r="P33" s="158">
        <f t="shared" si="10"/>
        <v>13.344758238378267</v>
      </c>
      <c r="Q33" s="158">
        <f t="shared" si="10"/>
        <v>6.6620370877340385</v>
      </c>
      <c r="R33" s="158">
        <f t="shared" si="10"/>
        <v>1.3967068293429192</v>
      </c>
      <c r="S33" s="158">
        <f t="shared" si="10"/>
        <v>4.3430204711685407</v>
      </c>
      <c r="T33" s="158">
        <f t="shared" si="10"/>
        <v>162.89054883119206</v>
      </c>
    </row>
    <row r="34" spans="1:20" x14ac:dyDescent="0.2">
      <c r="A34" s="149" t="s">
        <v>173</v>
      </c>
      <c r="C34" s="151"/>
      <c r="D34" s="158">
        <f t="shared" si="6"/>
        <v>1105.7601506667029</v>
      </c>
      <c r="E34" s="158"/>
      <c r="F34" s="158"/>
      <c r="G34" s="158"/>
      <c r="H34" s="158"/>
      <c r="I34" s="158"/>
      <c r="J34" s="158">
        <f t="shared" ref="J34:T34" si="11">+$D14*J14</f>
        <v>0</v>
      </c>
      <c r="K34" s="158">
        <f t="shared" si="11"/>
        <v>343.72800087723334</v>
      </c>
      <c r="L34" s="158">
        <f t="shared" si="11"/>
        <v>301.10040441091655</v>
      </c>
      <c r="M34" s="158">
        <f t="shared" si="11"/>
        <v>15.473988835365978</v>
      </c>
      <c r="N34" s="158">
        <f t="shared" si="11"/>
        <v>251.20412996011905</v>
      </c>
      <c r="O34" s="158">
        <f t="shared" si="11"/>
        <v>3.2830382741919988</v>
      </c>
      <c r="P34" s="158">
        <f t="shared" si="11"/>
        <v>32.081113265350304</v>
      </c>
      <c r="Q34" s="158">
        <f t="shared" si="11"/>
        <v>4.6979195609995443</v>
      </c>
      <c r="R34" s="158">
        <f t="shared" si="11"/>
        <v>3.4492213183926097</v>
      </c>
      <c r="S34" s="158">
        <f t="shared" si="11"/>
        <v>1.7924013478204326</v>
      </c>
      <c r="T34" s="158">
        <f t="shared" si="11"/>
        <v>148.94993281631309</v>
      </c>
    </row>
    <row r="35" spans="1:20" x14ac:dyDescent="0.2">
      <c r="A35" s="149" t="s">
        <v>38</v>
      </c>
      <c r="C35" s="151"/>
      <c r="D35" s="158">
        <f t="shared" si="6"/>
        <v>978.74205805710778</v>
      </c>
      <c r="E35" s="158"/>
      <c r="F35" s="158"/>
      <c r="G35" s="158"/>
      <c r="H35" s="158"/>
      <c r="I35" s="158"/>
      <c r="J35" s="158">
        <f t="shared" ref="J35:T35" si="12">+$D15*J15</f>
        <v>0</v>
      </c>
      <c r="K35" s="158">
        <f t="shared" si="12"/>
        <v>330.68032687347045</v>
      </c>
      <c r="L35" s="158">
        <f t="shared" si="12"/>
        <v>197.96629778606504</v>
      </c>
      <c r="M35" s="158">
        <f t="shared" si="12"/>
        <v>16.157749412041916</v>
      </c>
      <c r="N35" s="158">
        <f t="shared" si="12"/>
        <v>228.37056649991172</v>
      </c>
      <c r="O35" s="158">
        <f t="shared" si="12"/>
        <v>15.659475378796014</v>
      </c>
      <c r="P35" s="158">
        <f t="shared" si="12"/>
        <v>31.143735690770679</v>
      </c>
      <c r="Q35" s="158">
        <f t="shared" si="12"/>
        <v>5.384151121137335</v>
      </c>
      <c r="R35" s="158">
        <f t="shared" si="12"/>
        <v>6.792801065130428</v>
      </c>
      <c r="S35" s="158">
        <f t="shared" si="12"/>
        <v>0</v>
      </c>
      <c r="T35" s="158">
        <f t="shared" si="12"/>
        <v>146.58695422978428</v>
      </c>
    </row>
    <row r="36" spans="1:20" x14ac:dyDescent="0.2">
      <c r="A36" s="149" t="s">
        <v>39</v>
      </c>
      <c r="C36" s="151"/>
      <c r="D36" s="158">
        <f t="shared" si="6"/>
        <v>1059.6171460684852</v>
      </c>
      <c r="E36" s="158"/>
      <c r="F36" s="158"/>
      <c r="G36" s="158"/>
      <c r="H36" s="158"/>
      <c r="I36" s="158"/>
      <c r="J36" s="158">
        <f t="shared" ref="J36:T36" si="13">+$D16*J16</f>
        <v>0</v>
      </c>
      <c r="K36" s="158">
        <f t="shared" si="13"/>
        <v>265.6793009348591</v>
      </c>
      <c r="L36" s="158">
        <f t="shared" si="13"/>
        <v>234.87345506358474</v>
      </c>
      <c r="M36" s="158">
        <f t="shared" si="13"/>
        <v>18.896222352274354</v>
      </c>
      <c r="N36" s="158">
        <f t="shared" si="13"/>
        <v>169.75431728173871</v>
      </c>
      <c r="O36" s="158">
        <f t="shared" si="13"/>
        <v>16.029784413431251</v>
      </c>
      <c r="P36" s="158">
        <f t="shared" si="13"/>
        <v>38.623716288715293</v>
      </c>
      <c r="Q36" s="158">
        <f t="shared" si="13"/>
        <v>5.5177555752106864</v>
      </c>
      <c r="R36" s="158">
        <f t="shared" si="13"/>
        <v>9.0813299149409019</v>
      </c>
      <c r="S36" s="158">
        <f t="shared" si="13"/>
        <v>0</v>
      </c>
      <c r="T36" s="158">
        <f t="shared" si="13"/>
        <v>301.16126424373022</v>
      </c>
    </row>
    <row r="37" spans="1:20" x14ac:dyDescent="0.2">
      <c r="A37" s="149" t="s">
        <v>40</v>
      </c>
      <c r="C37" s="151"/>
      <c r="D37" s="158">
        <f t="shared" si="6"/>
        <v>1028.6124505308883</v>
      </c>
      <c r="E37" s="158"/>
      <c r="F37" s="158"/>
      <c r="G37" s="158"/>
      <c r="H37" s="158"/>
      <c r="I37" s="158"/>
      <c r="J37" s="158">
        <f t="shared" ref="J37:T37" si="14">+$D17*J17</f>
        <v>0</v>
      </c>
      <c r="K37" s="158">
        <f t="shared" si="14"/>
        <v>158.36871926452241</v>
      </c>
      <c r="L37" s="158">
        <f t="shared" si="14"/>
        <v>238.23680100385124</v>
      </c>
      <c r="M37" s="158">
        <f t="shared" si="14"/>
        <v>19.521865061485286</v>
      </c>
      <c r="N37" s="158">
        <f t="shared" si="14"/>
        <v>162.57967590909033</v>
      </c>
      <c r="O37" s="158">
        <f t="shared" si="14"/>
        <v>19.640640839550485</v>
      </c>
      <c r="P37" s="158">
        <f t="shared" si="14"/>
        <v>34.824652057680247</v>
      </c>
      <c r="Q37" s="158">
        <f t="shared" si="14"/>
        <v>5.1692842898119116</v>
      </c>
      <c r="R37" s="158">
        <f t="shared" si="14"/>
        <v>8.6361157606893038</v>
      </c>
      <c r="S37" s="158">
        <f t="shared" si="14"/>
        <v>0</v>
      </c>
      <c r="T37" s="158">
        <f t="shared" si="14"/>
        <v>381.63469634420693</v>
      </c>
    </row>
    <row r="38" spans="1:20" x14ac:dyDescent="0.2">
      <c r="A38" s="149" t="s">
        <v>10</v>
      </c>
      <c r="C38" s="151"/>
      <c r="D38" s="158">
        <f t="shared" si="6"/>
        <v>1089.7612344784579</v>
      </c>
      <c r="E38" s="158"/>
      <c r="F38" s="158"/>
      <c r="G38" s="158"/>
      <c r="H38" s="158"/>
      <c r="I38" s="158"/>
      <c r="J38" s="158">
        <f t="shared" ref="J38:T38" si="15">+$D18*J18</f>
        <v>0</v>
      </c>
      <c r="K38" s="158">
        <f t="shared" si="15"/>
        <v>170.78163593903966</v>
      </c>
      <c r="L38" s="158">
        <f t="shared" si="15"/>
        <v>242.00906281844701</v>
      </c>
      <c r="M38" s="158">
        <f t="shared" si="15"/>
        <v>19.944019813428948</v>
      </c>
      <c r="N38" s="158">
        <f t="shared" si="15"/>
        <v>164.22047346242775</v>
      </c>
      <c r="O38" s="158">
        <f t="shared" si="15"/>
        <v>17.216405266830961</v>
      </c>
      <c r="P38" s="158">
        <f t="shared" si="15"/>
        <v>45.092306913817183</v>
      </c>
      <c r="Q38" s="158">
        <f t="shared" si="15"/>
        <v>5.9677866805099038</v>
      </c>
      <c r="R38" s="158">
        <f t="shared" si="15"/>
        <v>12.467272103046707</v>
      </c>
      <c r="S38" s="158">
        <f t="shared" si="15"/>
        <v>0</v>
      </c>
      <c r="T38" s="158">
        <f t="shared" si="15"/>
        <v>412.06227148090977</v>
      </c>
    </row>
    <row r="39" spans="1:20" x14ac:dyDescent="0.2">
      <c r="A39" s="149" t="s">
        <v>41</v>
      </c>
      <c r="C39" s="152"/>
      <c r="D39" s="158">
        <f t="shared" si="6"/>
        <v>1006.1400338789401</v>
      </c>
      <c r="E39" s="158"/>
      <c r="F39" s="158"/>
      <c r="G39" s="158"/>
      <c r="H39" s="158"/>
      <c r="I39" s="158"/>
      <c r="J39" s="158">
        <f t="shared" ref="J39:T39" si="16">+$D19*J19</f>
        <v>0</v>
      </c>
      <c r="K39" s="158">
        <f t="shared" si="16"/>
        <v>215.2372526784408</v>
      </c>
      <c r="L39" s="158">
        <f t="shared" si="16"/>
        <v>290.95829395079301</v>
      </c>
      <c r="M39" s="158">
        <f t="shared" si="16"/>
        <v>17.757310039973675</v>
      </c>
      <c r="N39" s="158">
        <f t="shared" si="16"/>
        <v>158.33367680455726</v>
      </c>
      <c r="O39" s="158">
        <f t="shared" si="16"/>
        <v>14.309175191505906</v>
      </c>
      <c r="P39" s="158">
        <f t="shared" si="16"/>
        <v>31.802323036308831</v>
      </c>
      <c r="Q39" s="158">
        <f t="shared" si="16"/>
        <v>5.1803842875963229</v>
      </c>
      <c r="R39" s="158">
        <f t="shared" si="16"/>
        <v>8.8693041458215003</v>
      </c>
      <c r="S39" s="158">
        <f t="shared" si="16"/>
        <v>0</v>
      </c>
      <c r="T39" s="158">
        <f t="shared" si="16"/>
        <v>263.69231374394286</v>
      </c>
    </row>
    <row r="40" spans="1:20" x14ac:dyDescent="0.2">
      <c r="A40" s="149" t="s">
        <v>42</v>
      </c>
      <c r="C40" s="154"/>
      <c r="D40" s="158">
        <f t="shared" si="6"/>
        <v>1081.4300000000003</v>
      </c>
      <c r="E40" s="158"/>
      <c r="F40" s="158"/>
      <c r="G40" s="158"/>
      <c r="H40" s="158"/>
      <c r="I40" s="158"/>
      <c r="J40" s="158">
        <f t="shared" ref="J40:T40" si="17">+$D20*J20</f>
        <v>0</v>
      </c>
      <c r="K40" s="158">
        <f t="shared" si="17"/>
        <v>129.9403486397448</v>
      </c>
      <c r="L40" s="158">
        <f t="shared" si="17"/>
        <v>285.65611883699978</v>
      </c>
      <c r="M40" s="158">
        <f t="shared" si="17"/>
        <v>18.446349035457541</v>
      </c>
      <c r="N40" s="158">
        <f t="shared" si="17"/>
        <v>174.25461867328161</v>
      </c>
      <c r="O40" s="158">
        <f t="shared" si="17"/>
        <v>16.384717482337471</v>
      </c>
      <c r="P40" s="158">
        <f t="shared" si="17"/>
        <v>41.478961094351909</v>
      </c>
      <c r="Q40" s="158">
        <f t="shared" si="17"/>
        <v>5.1528220969228835</v>
      </c>
      <c r="R40" s="158">
        <f t="shared" si="17"/>
        <v>9.1456308290994688</v>
      </c>
      <c r="S40" s="158">
        <f t="shared" si="17"/>
        <v>0</v>
      </c>
      <c r="T40" s="158">
        <f t="shared" si="17"/>
        <v>400.97043331180464</v>
      </c>
    </row>
    <row r="41" spans="1:20" ht="15" x14ac:dyDescent="0.35">
      <c r="A41" s="149" t="s">
        <v>43</v>
      </c>
      <c r="D41" s="159">
        <f t="shared" si="6"/>
        <v>1081.43</v>
      </c>
      <c r="E41" s="159"/>
      <c r="F41" s="159"/>
      <c r="G41" s="159"/>
      <c r="H41" s="159"/>
      <c r="I41" s="159"/>
      <c r="J41" s="159">
        <f t="shared" ref="J41:T41" si="18">+$D21*J21</f>
        <v>0</v>
      </c>
      <c r="K41" s="159">
        <f t="shared" si="18"/>
        <v>260.77430836341881</v>
      </c>
      <c r="L41" s="159">
        <f t="shared" si="18"/>
        <v>223.97649310854823</v>
      </c>
      <c r="M41" s="159">
        <f t="shared" si="18"/>
        <v>16.353038329425466</v>
      </c>
      <c r="N41" s="159">
        <f t="shared" si="18"/>
        <v>170.60926056919232</v>
      </c>
      <c r="O41" s="159">
        <f t="shared" si="18"/>
        <v>15.656084644873554</v>
      </c>
      <c r="P41" s="159">
        <f t="shared" si="18"/>
        <v>38.927285512789922</v>
      </c>
      <c r="Q41" s="159">
        <f t="shared" si="18"/>
        <v>5.297517647329733</v>
      </c>
      <c r="R41" s="159">
        <f t="shared" si="18"/>
        <v>10.069782705491084</v>
      </c>
      <c r="S41" s="159">
        <f t="shared" si="18"/>
        <v>0</v>
      </c>
      <c r="T41" s="159">
        <f t="shared" si="18"/>
        <v>339.76622911893088</v>
      </c>
    </row>
    <row r="42" spans="1:20" ht="15" x14ac:dyDescent="0.35">
      <c r="D42" s="153">
        <f>SUM(D30:D41)</f>
        <v>12213.79469526731</v>
      </c>
      <c r="E42" s="153"/>
      <c r="F42" s="153"/>
      <c r="G42" s="153"/>
      <c r="H42" s="153"/>
      <c r="I42" s="153"/>
      <c r="J42" s="153">
        <f>SUM(J30:J41)</f>
        <v>0</v>
      </c>
      <c r="K42" s="153">
        <f t="shared" ref="K42:T42" si="19">SUM(K30:K41)</f>
        <v>2757.7127288009251</v>
      </c>
      <c r="L42" s="153">
        <f t="shared" si="19"/>
        <v>3254.838383117738</v>
      </c>
      <c r="M42" s="153">
        <f t="shared" si="19"/>
        <v>190.57589124361056</v>
      </c>
      <c r="N42" s="153">
        <f>SUM(N30:N41)</f>
        <v>2314.6727251721286</v>
      </c>
      <c r="O42" s="153">
        <f t="shared" si="19"/>
        <v>165.7050696922463</v>
      </c>
      <c r="P42" s="153">
        <f t="shared" si="19"/>
        <v>375.63393222053708</v>
      </c>
      <c r="Q42" s="153">
        <f t="shared" si="19"/>
        <v>54.462552547559007</v>
      </c>
      <c r="R42" s="153">
        <f t="shared" si="19"/>
        <v>84.306043239020809</v>
      </c>
      <c r="S42" s="153">
        <f t="shared" si="19"/>
        <v>13.833229342787975</v>
      </c>
      <c r="T42" s="153">
        <f t="shared" si="19"/>
        <v>3002.0541398907558</v>
      </c>
    </row>
    <row r="45" spans="1:20" ht="15" x14ac:dyDescent="0.2">
      <c r="J45" s="611" t="s">
        <v>104</v>
      </c>
      <c r="K45" s="611"/>
      <c r="L45" s="611"/>
      <c r="M45" s="611"/>
      <c r="N45" s="611"/>
      <c r="O45" s="611"/>
      <c r="P45" s="611"/>
      <c r="Q45" s="611"/>
      <c r="R45" s="611"/>
      <c r="S45" s="611"/>
      <c r="T45" s="611"/>
    </row>
    <row r="46" spans="1:20" x14ac:dyDescent="0.2">
      <c r="D46" s="2" t="s">
        <v>24</v>
      </c>
      <c r="E46" s="343"/>
      <c r="F46" s="343"/>
      <c r="G46" s="343"/>
      <c r="H46" s="343"/>
      <c r="I46" s="343"/>
      <c r="J46" s="41" t="s">
        <v>98</v>
      </c>
      <c r="K46" s="41" t="s">
        <v>46</v>
      </c>
      <c r="L46" s="41"/>
      <c r="M46" s="41" t="s">
        <v>1</v>
      </c>
      <c r="N46" s="41"/>
      <c r="O46" s="41" t="s">
        <v>47</v>
      </c>
      <c r="P46" s="41"/>
      <c r="Q46" s="41" t="s">
        <v>2</v>
      </c>
      <c r="R46" s="41" t="s">
        <v>2</v>
      </c>
      <c r="S46" s="41" t="s">
        <v>48</v>
      </c>
    </row>
    <row r="47" spans="1:20" x14ac:dyDescent="0.2">
      <c r="D47" s="10" t="s">
        <v>0</v>
      </c>
      <c r="E47" s="10"/>
      <c r="F47" s="10"/>
      <c r="G47" s="10"/>
      <c r="H47" s="10"/>
      <c r="I47" s="10"/>
      <c r="J47" s="42" t="s">
        <v>92</v>
      </c>
      <c r="K47" s="42" t="s">
        <v>49</v>
      </c>
      <c r="L47" s="42" t="s">
        <v>50</v>
      </c>
      <c r="M47" s="42" t="s">
        <v>51</v>
      </c>
      <c r="N47" s="42" t="s">
        <v>4</v>
      </c>
      <c r="O47" s="42" t="s">
        <v>52</v>
      </c>
      <c r="P47" s="42" t="s">
        <v>3</v>
      </c>
      <c r="Q47" s="42" t="s">
        <v>53</v>
      </c>
      <c r="R47" s="42" t="s">
        <v>54</v>
      </c>
      <c r="S47" s="42" t="s">
        <v>55</v>
      </c>
      <c r="T47" s="59" t="s">
        <v>86</v>
      </c>
    </row>
    <row r="48" spans="1:20" x14ac:dyDescent="0.2"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59"/>
    </row>
    <row r="49" spans="1:20" x14ac:dyDescent="0.2">
      <c r="A49" s="149" t="s">
        <v>129</v>
      </c>
      <c r="C49" s="341">
        <f>+D49/D30</f>
        <v>8.3729428512237011E-2</v>
      </c>
      <c r="D49" s="158">
        <f t="shared" ref="D49:D60" si="20">SUM(J49:T49)</f>
        <v>71.179095078172296</v>
      </c>
      <c r="E49" s="158"/>
      <c r="F49" s="158"/>
      <c r="G49" s="158"/>
      <c r="H49" s="158"/>
      <c r="I49" s="158"/>
      <c r="J49" s="158">
        <f t="shared" ref="J49:T49" si="21">+$C10*J10</f>
        <v>0</v>
      </c>
      <c r="K49" s="158">
        <f t="shared" si="21"/>
        <v>20.710082931054213</v>
      </c>
      <c r="L49" s="158">
        <f t="shared" si="21"/>
        <v>26.999334957485541</v>
      </c>
      <c r="M49" s="158">
        <f t="shared" si="21"/>
        <v>0.90078791464607111</v>
      </c>
      <c r="N49" s="158">
        <f t="shared" si="21"/>
        <v>10.097203678349423</v>
      </c>
      <c r="O49" s="158">
        <f t="shared" si="21"/>
        <v>1.0481238161598014</v>
      </c>
      <c r="P49" s="158">
        <f t="shared" si="21"/>
        <v>1.3122435851569365</v>
      </c>
      <c r="Q49" s="158">
        <f t="shared" si="21"/>
        <v>0.31649795687471033</v>
      </c>
      <c r="R49" s="158">
        <f t="shared" si="21"/>
        <v>0.43487059161175429</v>
      </c>
      <c r="S49" s="158">
        <f t="shared" si="21"/>
        <v>0.18486633606177197</v>
      </c>
      <c r="T49" s="158">
        <f t="shared" si="21"/>
        <v>9.1750833107720666</v>
      </c>
    </row>
    <row r="50" spans="1:20" x14ac:dyDescent="0.2">
      <c r="A50" s="149" t="s">
        <v>35</v>
      </c>
      <c r="C50" s="341">
        <f t="shared" ref="C50:C60" si="22">+D50/D31</f>
        <v>8.1562930340915649E-2</v>
      </c>
      <c r="D50" s="158">
        <f t="shared" si="20"/>
        <v>73.289629885517016</v>
      </c>
      <c r="E50" s="158"/>
      <c r="F50" s="158"/>
      <c r="G50" s="158"/>
      <c r="H50" s="158"/>
      <c r="I50" s="158"/>
      <c r="J50" s="158">
        <f t="shared" ref="J50:T50" si="23">+$C11*J11</f>
        <v>0</v>
      </c>
      <c r="K50" s="158">
        <f t="shared" si="23"/>
        <v>11.47895268370544</v>
      </c>
      <c r="L50" s="158">
        <f t="shared" si="23"/>
        <v>29.070367667420189</v>
      </c>
      <c r="M50" s="158">
        <f t="shared" si="23"/>
        <v>1.3812563523039596</v>
      </c>
      <c r="N50" s="158">
        <f t="shared" si="23"/>
        <v>12.611561897380145</v>
      </c>
      <c r="O50" s="158">
        <f t="shared" si="23"/>
        <v>1.2611443476114397</v>
      </c>
      <c r="P50" s="158">
        <f t="shared" si="23"/>
        <v>2.3724152023830096</v>
      </c>
      <c r="Q50" s="158">
        <f t="shared" si="23"/>
        <v>7.7183104434893235E-2</v>
      </c>
      <c r="R50" s="158">
        <f t="shared" si="23"/>
        <v>0.41658130868895754</v>
      </c>
      <c r="S50" s="158">
        <f t="shared" si="23"/>
        <v>0.1795893632277672</v>
      </c>
      <c r="T50" s="158">
        <f t="shared" si="23"/>
        <v>14.440577958361214</v>
      </c>
    </row>
    <row r="51" spans="1:20" x14ac:dyDescent="0.2">
      <c r="A51" s="149" t="s">
        <v>36</v>
      </c>
      <c r="C51" s="341">
        <f t="shared" si="22"/>
        <v>7.8581144150219995E-2</v>
      </c>
      <c r="D51" s="158">
        <f t="shared" si="20"/>
        <v>80.128734246521802</v>
      </c>
      <c r="E51" s="158"/>
      <c r="F51" s="158"/>
      <c r="G51" s="158"/>
      <c r="H51" s="158"/>
      <c r="I51" s="158"/>
      <c r="J51" s="158">
        <f t="shared" ref="J51:T51" si="24">+$C12*J12</f>
        <v>0</v>
      </c>
      <c r="K51" s="158">
        <f t="shared" si="24"/>
        <v>20.745420661347406</v>
      </c>
      <c r="L51" s="158">
        <f t="shared" si="24"/>
        <v>21.540163351017316</v>
      </c>
      <c r="M51" s="158">
        <f t="shared" si="24"/>
        <v>0.67610216176421678</v>
      </c>
      <c r="N51" s="158">
        <f t="shared" si="24"/>
        <v>21.083350210051286</v>
      </c>
      <c r="O51" s="158">
        <f t="shared" si="24"/>
        <v>1.203726089208305</v>
      </c>
      <c r="P51" s="158">
        <f t="shared" si="24"/>
        <v>1.8510355007429415</v>
      </c>
      <c r="Q51" s="158">
        <f t="shared" si="24"/>
        <v>5.552420803266675E-2</v>
      </c>
      <c r="R51" s="158">
        <f t="shared" si="24"/>
        <v>0.32191824969634486</v>
      </c>
      <c r="S51" s="158">
        <f t="shared" si="24"/>
        <v>0.25837917530723142</v>
      </c>
      <c r="T51" s="158">
        <f t="shared" si="24"/>
        <v>12.393114639354097</v>
      </c>
    </row>
    <row r="52" spans="1:20" x14ac:dyDescent="0.2">
      <c r="A52" s="149" t="s">
        <v>37</v>
      </c>
      <c r="C52" s="341">
        <f t="shared" si="22"/>
        <v>8.0072902324623788E-2</v>
      </c>
      <c r="D52" s="158">
        <f t="shared" si="20"/>
        <v>81.188603487335996</v>
      </c>
      <c r="E52" s="158"/>
      <c r="F52" s="158"/>
      <c r="G52" s="158"/>
      <c r="H52" s="158"/>
      <c r="I52" s="158"/>
      <c r="J52" s="158">
        <f t="shared" ref="J52:T52" si="25">+$C13*J13</f>
        <v>0</v>
      </c>
      <c r="K52" s="158">
        <f t="shared" si="25"/>
        <v>18.452011676114584</v>
      </c>
      <c r="L52" s="158">
        <f t="shared" si="25"/>
        <v>22.986694033082223</v>
      </c>
      <c r="M52" s="158">
        <f t="shared" si="25"/>
        <v>0.9391191857878235</v>
      </c>
      <c r="N52" s="158">
        <f t="shared" si="25"/>
        <v>23.367570096265148</v>
      </c>
      <c r="O52" s="158">
        <f t="shared" si="25"/>
        <v>0.33849069844146568</v>
      </c>
      <c r="P52" s="158">
        <f t="shared" si="25"/>
        <v>1.0685535229673815</v>
      </c>
      <c r="Q52" s="158">
        <f t="shared" si="25"/>
        <v>0.53344864500914868</v>
      </c>
      <c r="R52" s="158">
        <f t="shared" si="25"/>
        <v>0.11183836952211054</v>
      </c>
      <c r="S52" s="158">
        <f t="shared" si="25"/>
        <v>0.34775825398172017</v>
      </c>
      <c r="T52" s="158">
        <f t="shared" si="25"/>
        <v>13.043119006164401</v>
      </c>
    </row>
    <row r="53" spans="1:20" x14ac:dyDescent="0.2">
      <c r="A53" s="149" t="s">
        <v>130</v>
      </c>
      <c r="C53" s="341">
        <f t="shared" si="22"/>
        <v>8.4713536776368739E-2</v>
      </c>
      <c r="D53" s="158">
        <f t="shared" si="20"/>
        <v>93.672853189346768</v>
      </c>
      <c r="E53" s="158"/>
      <c r="F53" s="158"/>
      <c r="G53" s="158"/>
      <c r="H53" s="158"/>
      <c r="I53" s="158"/>
      <c r="J53" s="158">
        <f t="shared" ref="J53:T53" si="26">+$C14*J14</f>
        <v>0</v>
      </c>
      <c r="K53" s="158">
        <f t="shared" si="26"/>
        <v>29.118414643381211</v>
      </c>
      <c r="L53" s="158">
        <f t="shared" si="26"/>
        <v>25.507280182443679</v>
      </c>
      <c r="M53" s="158">
        <f t="shared" si="26"/>
        <v>1.3108563222818952</v>
      </c>
      <c r="N53" s="158">
        <f t="shared" si="26"/>
        <v>21.280390301752259</v>
      </c>
      <c r="O53" s="158">
        <f t="shared" si="26"/>
        <v>0.27811778357899003</v>
      </c>
      <c r="P53" s="158">
        <f t="shared" si="26"/>
        <v>2.7177045684311039</v>
      </c>
      <c r="Q53" s="158">
        <f t="shared" si="26"/>
        <v>0.39797738150315698</v>
      </c>
      <c r="R53" s="158">
        <f t="shared" si="26"/>
        <v>0.29219573700548745</v>
      </c>
      <c r="S53" s="158">
        <f t="shared" si="26"/>
        <v>0.15184065749659911</v>
      </c>
      <c r="T53" s="158">
        <f t="shared" si="26"/>
        <v>12.618075611472392</v>
      </c>
    </row>
    <row r="54" spans="1:20" x14ac:dyDescent="0.2">
      <c r="A54" s="149" t="s">
        <v>38</v>
      </c>
      <c r="C54" s="341">
        <f t="shared" si="22"/>
        <v>7.5604130372994072E-2</v>
      </c>
      <c r="D54" s="158">
        <f t="shared" si="20"/>
        <v>73.996942158882106</v>
      </c>
      <c r="E54" s="158"/>
      <c r="F54" s="158"/>
      <c r="G54" s="158"/>
      <c r="H54" s="158"/>
      <c r="I54" s="158"/>
      <c r="J54" s="158">
        <f t="shared" ref="J54:T54" si="27">+$C15*J15</f>
        <v>0</v>
      </c>
      <c r="K54" s="158">
        <f t="shared" si="27"/>
        <v>25.000798544726148</v>
      </c>
      <c r="L54" s="158">
        <f t="shared" si="27"/>
        <v>14.967069787276627</v>
      </c>
      <c r="M54" s="158">
        <f t="shared" si="27"/>
        <v>1.2215925930821852</v>
      </c>
      <c r="N54" s="158">
        <f t="shared" si="27"/>
        <v>17.265758083013836</v>
      </c>
      <c r="O54" s="158">
        <f t="shared" si="27"/>
        <v>1.1839210181111843</v>
      </c>
      <c r="P54" s="158">
        <f t="shared" si="27"/>
        <v>2.3545950534670945</v>
      </c>
      <c r="Q54" s="158">
        <f t="shared" si="27"/>
        <v>0.40706406331036921</v>
      </c>
      <c r="R54" s="158">
        <f t="shared" si="27"/>
        <v>0.51356381732593381</v>
      </c>
      <c r="S54" s="158">
        <f t="shared" si="27"/>
        <v>0</v>
      </c>
      <c r="T54" s="158">
        <f t="shared" si="27"/>
        <v>11.082579198568725</v>
      </c>
    </row>
    <row r="55" spans="1:20" x14ac:dyDescent="0.2">
      <c r="A55" s="149" t="s">
        <v>39</v>
      </c>
      <c r="C55" s="341">
        <f>+D55/D36</f>
        <v>5.3523673934839498E-2</v>
      </c>
      <c r="D55" s="158">
        <f t="shared" si="20"/>
        <v>56.714602621934802</v>
      </c>
      <c r="E55" s="158"/>
      <c r="F55" s="158"/>
      <c r="G55" s="158"/>
      <c r="H55" s="158"/>
      <c r="I55" s="158"/>
      <c r="J55" s="158">
        <f t="shared" ref="J55:T55" si="28">+$C16*J16</f>
        <v>0</v>
      </c>
      <c r="K55" s="158">
        <f t="shared" si="28"/>
        <v>14.220132274473496</v>
      </c>
      <c r="L55" s="158">
        <f t="shared" si="28"/>
        <v>12.571290224772488</v>
      </c>
      <c r="M55" s="158">
        <f t="shared" si="28"/>
        <v>1.0113952437833584</v>
      </c>
      <c r="N55" s="158">
        <f t="shared" si="28"/>
        <v>9.085874727219073</v>
      </c>
      <c r="O55" s="158">
        <f t="shared" si="28"/>
        <v>0.85797295419026687</v>
      </c>
      <c r="P55" s="158">
        <f t="shared" si="28"/>
        <v>2.0672831967889467</v>
      </c>
      <c r="Q55" s="158">
        <f t="shared" si="28"/>
        <v>0.29533055025971955</v>
      </c>
      <c r="R55" s="158">
        <f t="shared" si="28"/>
        <v>0.48606614126200054</v>
      </c>
      <c r="S55" s="158">
        <f t="shared" si="28"/>
        <v>0</v>
      </c>
      <c r="T55" s="158">
        <f t="shared" si="28"/>
        <v>16.119257309185453</v>
      </c>
    </row>
    <row r="56" spans="1:20" x14ac:dyDescent="0.2">
      <c r="A56" s="149" t="s">
        <v>40</v>
      </c>
      <c r="C56" s="341">
        <f t="shared" si="22"/>
        <v>5.6121314995854411E-2</v>
      </c>
      <c r="D56" s="158">
        <f t="shared" si="20"/>
        <v>57.727083344901693</v>
      </c>
      <c r="E56" s="158"/>
      <c r="F56" s="158"/>
      <c r="G56" s="158"/>
      <c r="H56" s="158"/>
      <c r="I56" s="158"/>
      <c r="J56" s="158">
        <f t="shared" ref="J56:T56" si="29">+$C17*J17</f>
        <v>0</v>
      </c>
      <c r="K56" s="158">
        <f t="shared" si="29"/>
        <v>8.8878607793343001</v>
      </c>
      <c r="L56" s="158">
        <f t="shared" si="29"/>
        <v>13.370162552741821</v>
      </c>
      <c r="M56" s="158">
        <f t="shared" si="29"/>
        <v>1.0955927384221806</v>
      </c>
      <c r="N56" s="158">
        <f t="shared" si="29"/>
        <v>9.1241852036179818</v>
      </c>
      <c r="O56" s="158">
        <f t="shared" si="29"/>
        <v>1.1022585912768552</v>
      </c>
      <c r="P56" s="158">
        <f t="shared" si="29"/>
        <v>1.9544052677501029</v>
      </c>
      <c r="Q56" s="158">
        <f t="shared" si="29"/>
        <v>0.29010703193165593</v>
      </c>
      <c r="R56" s="158">
        <f t="shared" si="29"/>
        <v>0.48467017294630726</v>
      </c>
      <c r="S56" s="158">
        <f t="shared" si="29"/>
        <v>0</v>
      </c>
      <c r="T56" s="158">
        <f t="shared" si="29"/>
        <v>21.417841006880487</v>
      </c>
    </row>
    <row r="57" spans="1:20" x14ac:dyDescent="0.2">
      <c r="A57" s="149" t="s">
        <v>10</v>
      </c>
      <c r="C57" s="341">
        <f t="shared" si="22"/>
        <v>5.6472146911937735E-2</v>
      </c>
      <c r="D57" s="158">
        <f t="shared" si="20"/>
        <v>61.541156532402098</v>
      </c>
      <c r="E57" s="158"/>
      <c r="F57" s="158"/>
      <c r="G57" s="158"/>
      <c r="H57" s="158"/>
      <c r="I57" s="158"/>
      <c r="J57" s="158">
        <f t="shared" ref="J57:T57" si="30">+$C18*J18</f>
        <v>0</v>
      </c>
      <c r="K57" s="158">
        <f t="shared" si="30"/>
        <v>9.6444056346105125</v>
      </c>
      <c r="L57" s="158">
        <f t="shared" si="30"/>
        <v>13.666771349503707</v>
      </c>
      <c r="M57" s="158">
        <f t="shared" si="30"/>
        <v>1.1262816169185565</v>
      </c>
      <c r="N57" s="158">
        <f t="shared" si="30"/>
        <v>9.2738827033181916</v>
      </c>
      <c r="O57" s="158">
        <f t="shared" si="30"/>
        <v>0.97224736752393648</v>
      </c>
      <c r="P57" s="158">
        <f t="shared" si="30"/>
        <v>2.5464593806352691</v>
      </c>
      <c r="Q57" s="158">
        <f t="shared" si="30"/>
        <v>0.33701372616086051</v>
      </c>
      <c r="R57" s="158">
        <f t="shared" si="30"/>
        <v>0.70405362179435649</v>
      </c>
      <c r="S57" s="158">
        <f t="shared" si="30"/>
        <v>0</v>
      </c>
      <c r="T57" s="158">
        <f t="shared" si="30"/>
        <v>23.270041131936704</v>
      </c>
    </row>
    <row r="58" spans="1:20" x14ac:dyDescent="0.2">
      <c r="A58" s="149" t="s">
        <v>41</v>
      </c>
      <c r="C58" s="341">
        <f t="shared" si="22"/>
        <v>6.0961229043411419E-2</v>
      </c>
      <c r="D58" s="158">
        <f t="shared" si="20"/>
        <v>61.335533055039797</v>
      </c>
      <c r="E58" s="158"/>
      <c r="F58" s="158"/>
      <c r="G58" s="158"/>
      <c r="H58" s="158"/>
      <c r="I58" s="158"/>
      <c r="J58" s="158">
        <f t="shared" ref="J58:T58" si="31">+$C19*J19</f>
        <v>0</v>
      </c>
      <c r="K58" s="158">
        <f t="shared" si="31"/>
        <v>13.121127459205049</v>
      </c>
      <c r="L58" s="158">
        <f t="shared" si="31"/>
        <v>17.737175199614519</v>
      </c>
      <c r="M58" s="158">
        <f t="shared" si="31"/>
        <v>1.0825074445417042</v>
      </c>
      <c r="N58" s="158">
        <f t="shared" si="31"/>
        <v>9.6522155369680931</v>
      </c>
      <c r="O58" s="158">
        <f t="shared" si="31"/>
        <v>0.8723049062716921</v>
      </c>
      <c r="P58" s="158">
        <f t="shared" si="31"/>
        <v>1.9387086987289819</v>
      </c>
      <c r="Q58" s="158">
        <f t="shared" si="31"/>
        <v>0.31580259308904912</v>
      </c>
      <c r="R58" s="158">
        <f t="shared" si="31"/>
        <v>0.54068368148910306</v>
      </c>
      <c r="S58" s="158">
        <f t="shared" si="31"/>
        <v>0</v>
      </c>
      <c r="T58" s="158">
        <f t="shared" si="31"/>
        <v>16.075007535131604</v>
      </c>
    </row>
    <row r="59" spans="1:20" x14ac:dyDescent="0.2">
      <c r="A59" s="149" t="s">
        <v>42</v>
      </c>
      <c r="C59" s="341">
        <f t="shared" si="22"/>
        <v>6.1955004022451736E-2</v>
      </c>
      <c r="D59" s="158">
        <f t="shared" si="20"/>
        <v>67</v>
      </c>
      <c r="E59" s="158"/>
      <c r="F59" s="158"/>
      <c r="G59" s="158"/>
      <c r="H59" s="158"/>
      <c r="I59" s="158"/>
      <c r="J59" s="158">
        <f t="shared" ref="J59:T59" si="32">+$C20*J20</f>
        <v>0</v>
      </c>
      <c r="K59" s="158">
        <f t="shared" si="32"/>
        <v>8.0504548226541726</v>
      </c>
      <c r="L59" s="158">
        <f t="shared" si="32"/>
        <v>17.697825991584278</v>
      </c>
      <c r="M59" s="158">
        <f t="shared" si="32"/>
        <v>1.1428436286913211</v>
      </c>
      <c r="N59" s="158">
        <f t="shared" si="32"/>
        <v>10.795945600833958</v>
      </c>
      <c r="O59" s="158">
        <f t="shared" si="32"/>
        <v>1.0151152375249535</v>
      </c>
      <c r="P59" s="158">
        <f t="shared" si="32"/>
        <v>2.5698292014476922</v>
      </c>
      <c r="Q59" s="158">
        <f t="shared" si="32"/>
        <v>0.3192431137418355</v>
      </c>
      <c r="R59" s="158">
        <f t="shared" si="32"/>
        <v>0.5666175948047163</v>
      </c>
      <c r="S59" s="158">
        <f t="shared" si="32"/>
        <v>0</v>
      </c>
      <c r="T59" s="158">
        <f t="shared" si="32"/>
        <v>24.842124808717077</v>
      </c>
    </row>
    <row r="60" spans="1:20" ht="15" x14ac:dyDescent="0.35">
      <c r="A60" s="149" t="s">
        <v>43</v>
      </c>
      <c r="C60" s="341">
        <f t="shared" si="22"/>
        <v>6.1955004022451722E-2</v>
      </c>
      <c r="D60" s="159">
        <f t="shared" si="20"/>
        <v>66.999999999999972</v>
      </c>
      <c r="E60" s="159"/>
      <c r="F60" s="159"/>
      <c r="G60" s="159"/>
      <c r="H60" s="159"/>
      <c r="I60" s="159"/>
      <c r="J60" s="159">
        <f t="shared" ref="J60:T60" si="33">+$C21*J21</f>
        <v>0</v>
      </c>
      <c r="K60" s="159">
        <f t="shared" si="33"/>
        <v>16.156273323607685</v>
      </c>
      <c r="L60" s="159">
        <f t="shared" si="33"/>
        <v>13.876464531474742</v>
      </c>
      <c r="M60" s="159">
        <f t="shared" si="33"/>
        <v>1.0131525554788625</v>
      </c>
      <c r="N60" s="159">
        <f t="shared" si="33"/>
        <v>10.570097424831829</v>
      </c>
      <c r="O60" s="159">
        <f t="shared" si="33"/>
        <v>0.96997278714898605</v>
      </c>
      <c r="P60" s="159">
        <f t="shared" si="33"/>
        <v>2.4117401305280275</v>
      </c>
      <c r="Q60" s="159">
        <f t="shared" si="33"/>
        <v>0.32820772714932273</v>
      </c>
      <c r="R60" s="159">
        <f t="shared" si="33"/>
        <v>0.6238734280239151</v>
      </c>
      <c r="S60" s="159">
        <f t="shared" si="33"/>
        <v>0</v>
      </c>
      <c r="T60" s="159">
        <f t="shared" si="33"/>
        <v>21.050218091756623</v>
      </c>
    </row>
    <row r="61" spans="1:20" ht="15" x14ac:dyDescent="0.35">
      <c r="D61" s="153">
        <f>SUM(D49:D60)</f>
        <v>844.77423360005434</v>
      </c>
      <c r="E61" s="153"/>
      <c r="F61" s="153"/>
      <c r="G61" s="153"/>
      <c r="H61" s="153"/>
      <c r="I61" s="153"/>
      <c r="J61" s="153">
        <f>SUM(J49:J60)</f>
        <v>0</v>
      </c>
      <c r="K61" s="153">
        <f t="shared" ref="K61:T61" si="34">SUM(K49:K60)</f>
        <v>195.58593543421418</v>
      </c>
      <c r="L61" s="153">
        <f t="shared" si="34"/>
        <v>229.99059982841709</v>
      </c>
      <c r="M61" s="153">
        <f t="shared" si="34"/>
        <v>12.901487757702133</v>
      </c>
      <c r="N61" s="153">
        <f>SUM(N49:N60)</f>
        <v>164.20803546360125</v>
      </c>
      <c r="O61" s="153">
        <f t="shared" si="34"/>
        <v>11.103395597047877</v>
      </c>
      <c r="P61" s="153">
        <f t="shared" si="34"/>
        <v>25.164973309027484</v>
      </c>
      <c r="Q61" s="153">
        <f t="shared" si="34"/>
        <v>3.6734001014973892</v>
      </c>
      <c r="R61" s="153">
        <f t="shared" si="34"/>
        <v>5.4969327141709883</v>
      </c>
      <c r="S61" s="153">
        <f t="shared" si="34"/>
        <v>1.1224337860750899</v>
      </c>
      <c r="T61" s="153">
        <f t="shared" si="34"/>
        <v>195.52703960830081</v>
      </c>
    </row>
  </sheetData>
  <mergeCells count="4">
    <mergeCell ref="J26:T26"/>
    <mergeCell ref="J45:T45"/>
    <mergeCell ref="B5:D5"/>
    <mergeCell ref="F5:I5"/>
  </mergeCells>
  <pageMargins left="0.45" right="0.5" top="0.5" bottom="0.5" header="0.3" footer="0.3"/>
  <pageSetup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R25"/>
  <sheetViews>
    <sheetView topLeftCell="A3" workbookViewId="0">
      <selection activeCell="Q23" sqref="Q23"/>
    </sheetView>
  </sheetViews>
  <sheetFormatPr defaultRowHeight="12.75" x14ac:dyDescent="0.2"/>
  <cols>
    <col min="1" max="1" width="18.140625" bestFit="1" customWidth="1"/>
    <col min="2" max="2" width="14.42578125" customWidth="1"/>
    <col min="3" max="3" width="12.7109375" bestFit="1" customWidth="1"/>
    <col min="4" max="4" width="9" customWidth="1"/>
    <col min="5" max="5" width="10.42578125" bestFit="1" customWidth="1"/>
    <col min="6" max="6" width="8.7109375" bestFit="1" customWidth="1"/>
    <col min="7" max="7" width="8.85546875" bestFit="1" customWidth="1"/>
    <col min="8" max="10" width="10.28515625" bestFit="1" customWidth="1"/>
    <col min="11" max="11" width="11" bestFit="1" customWidth="1"/>
    <col min="12" max="12" width="4" customWidth="1"/>
    <col min="13" max="13" width="5" customWidth="1"/>
  </cols>
  <sheetData>
    <row r="1" spans="1:18" ht="26.25" x14ac:dyDescent="0.4">
      <c r="A1" s="146" t="s">
        <v>18</v>
      </c>
    </row>
    <row r="2" spans="1:18" ht="15" x14ac:dyDescent="0.25">
      <c r="A2" s="148" t="s">
        <v>123</v>
      </c>
    </row>
    <row r="3" spans="1:18" ht="15" x14ac:dyDescent="0.25">
      <c r="A3" s="148"/>
    </row>
    <row r="4" spans="1:18" ht="15" x14ac:dyDescent="0.25">
      <c r="A4" s="148"/>
    </row>
    <row r="6" spans="1:18" x14ac:dyDescent="0.2">
      <c r="A6" s="226" t="s">
        <v>80</v>
      </c>
      <c r="B6" s="51" t="s">
        <v>81</v>
      </c>
      <c r="C6" s="52"/>
      <c r="D6" s="52"/>
      <c r="E6" s="53"/>
      <c r="F6" s="52"/>
      <c r="G6" s="52"/>
      <c r="H6" s="52"/>
      <c r="I6" s="53" t="s">
        <v>53</v>
      </c>
      <c r="J6" s="53" t="s">
        <v>54</v>
      </c>
      <c r="K6" s="53" t="s">
        <v>48</v>
      </c>
    </row>
    <row r="7" spans="1:18" x14ac:dyDescent="0.2">
      <c r="A7" s="54"/>
      <c r="B7" s="55" t="s">
        <v>82</v>
      </c>
      <c r="C7" s="55" t="s">
        <v>83</v>
      </c>
      <c r="D7" s="55" t="s">
        <v>50</v>
      </c>
      <c r="E7" s="55" t="s">
        <v>84</v>
      </c>
      <c r="F7" s="55" t="s">
        <v>4</v>
      </c>
      <c r="G7" s="55" t="s">
        <v>52</v>
      </c>
      <c r="H7" s="55" t="s">
        <v>3</v>
      </c>
      <c r="I7" s="55" t="s">
        <v>2</v>
      </c>
      <c r="J7" s="55" t="s">
        <v>2</v>
      </c>
      <c r="K7" s="53" t="s">
        <v>85</v>
      </c>
    </row>
    <row r="8" spans="1:18" x14ac:dyDescent="0.2">
      <c r="A8" s="56"/>
      <c r="B8" s="57"/>
      <c r="C8" s="56"/>
      <c r="D8" s="56"/>
      <c r="E8" s="56"/>
      <c r="F8" s="56"/>
      <c r="G8" s="56"/>
      <c r="H8" s="56"/>
      <c r="I8" s="56"/>
      <c r="J8" s="56"/>
      <c r="K8" s="56"/>
    </row>
    <row r="9" spans="1:18" x14ac:dyDescent="0.2">
      <c r="A9" s="225">
        <v>45170</v>
      </c>
      <c r="B9" s="427">
        <v>0</v>
      </c>
      <c r="C9" s="483">
        <v>54.06</v>
      </c>
      <c r="D9" s="483">
        <v>125.53</v>
      </c>
      <c r="E9" s="483">
        <v>1378.94</v>
      </c>
      <c r="F9" s="483">
        <v>-21.56</v>
      </c>
      <c r="G9" s="483">
        <v>197.6</v>
      </c>
      <c r="H9" s="483">
        <v>63</v>
      </c>
      <c r="I9" s="483">
        <v>446.86</v>
      </c>
      <c r="J9" s="483">
        <v>100</v>
      </c>
      <c r="K9" s="483">
        <v>-187.5</v>
      </c>
      <c r="O9" s="38"/>
    </row>
    <row r="10" spans="1:18" x14ac:dyDescent="0.2">
      <c r="A10" s="225">
        <v>45200</v>
      </c>
      <c r="B10" s="482">
        <v>0</v>
      </c>
      <c r="C10" s="482">
        <v>54.12</v>
      </c>
      <c r="D10" s="482">
        <v>139.84</v>
      </c>
      <c r="E10" s="482">
        <v>1356.05</v>
      </c>
      <c r="F10" s="483">
        <v>-26.39</v>
      </c>
      <c r="G10" s="482">
        <v>186.08</v>
      </c>
      <c r="H10" s="482">
        <v>100</v>
      </c>
      <c r="I10" s="482">
        <v>520</v>
      </c>
      <c r="J10" s="482">
        <v>100</v>
      </c>
      <c r="K10" s="482">
        <v>-187.5</v>
      </c>
      <c r="O10" s="38"/>
    </row>
    <row r="11" spans="1:18" x14ac:dyDescent="0.2">
      <c r="A11" s="225">
        <v>45231</v>
      </c>
      <c r="B11" s="482">
        <f>[1]Prices!B14</f>
        <v>0</v>
      </c>
      <c r="C11" s="482">
        <f>[1]Prices!C14</f>
        <v>56.75</v>
      </c>
      <c r="D11" s="482">
        <f>[1]Prices!D14</f>
        <v>140.37</v>
      </c>
      <c r="E11" s="482">
        <f>[1]Prices!E14</f>
        <v>1360.06</v>
      </c>
      <c r="F11" s="482">
        <f>[1]Prices!G14</f>
        <v>-22.45</v>
      </c>
      <c r="G11" s="482">
        <f>[1]Prices!F14</f>
        <v>201.66</v>
      </c>
      <c r="H11" s="482">
        <f>[1]Prices!H14</f>
        <v>120</v>
      </c>
      <c r="I11" s="482">
        <f>[1]Prices!J14</f>
        <v>540</v>
      </c>
      <c r="J11" s="482">
        <f>[1]Prices!K14</f>
        <v>300</v>
      </c>
      <c r="K11" s="482">
        <f>[1]Prices!L14</f>
        <v>-187.5</v>
      </c>
    </row>
    <row r="12" spans="1:18" x14ac:dyDescent="0.2">
      <c r="A12" s="225">
        <v>45261</v>
      </c>
      <c r="B12" s="482">
        <f>[1]Prices!B15</f>
        <v>0</v>
      </c>
      <c r="C12" s="482">
        <f>[1]Prices!C15</f>
        <v>56.86</v>
      </c>
      <c r="D12" s="482">
        <f>[1]Prices!D15</f>
        <v>148.05000000000001</v>
      </c>
      <c r="E12" s="482">
        <f>[1]Prices!E15</f>
        <v>1417.34</v>
      </c>
      <c r="F12" s="482">
        <f>[1]Prices!G15</f>
        <v>-27.75</v>
      </c>
      <c r="G12" s="482">
        <f>[1]Prices!F15</f>
        <v>219.28</v>
      </c>
      <c r="H12" s="482">
        <f>[1]Prices!H15</f>
        <v>126.47</v>
      </c>
      <c r="I12" s="482">
        <f>[1]Prices!J15</f>
        <v>553.85</v>
      </c>
      <c r="J12" s="482">
        <f>[1]Prices!K15</f>
        <v>320</v>
      </c>
      <c r="K12" s="482">
        <f>-[1]Prices!L15</f>
        <v>-187.5</v>
      </c>
    </row>
    <row r="13" spans="1:18" x14ac:dyDescent="0.2">
      <c r="A13" s="225">
        <v>45292</v>
      </c>
      <c r="B13" s="482">
        <f>[21]Prices!B4</f>
        <v>127.91</v>
      </c>
      <c r="C13" s="482">
        <f>[21]Prices!C4</f>
        <v>85.78</v>
      </c>
      <c r="D13" s="482">
        <f>[21]Prices!D4</f>
        <v>150.01</v>
      </c>
      <c r="E13" s="482">
        <f>[21]Prices!E4</f>
        <v>1355.04</v>
      </c>
      <c r="F13" s="483">
        <f>[21]Prices!G4</f>
        <v>-26.7</v>
      </c>
      <c r="G13" s="482">
        <f>[21]Prices!F4</f>
        <v>225.48</v>
      </c>
      <c r="H13" s="482">
        <f>[21]Prices!H4</f>
        <v>150</v>
      </c>
      <c r="I13" s="482">
        <f>[21]Prices!J4</f>
        <v>619.78</v>
      </c>
      <c r="J13" s="482">
        <f>[21]Prices!K4</f>
        <v>340</v>
      </c>
      <c r="K13" s="482">
        <f>[21]Prices!L4</f>
        <v>-187.5</v>
      </c>
    </row>
    <row r="14" spans="1:18" x14ac:dyDescent="0.2">
      <c r="A14" s="225">
        <v>45323</v>
      </c>
      <c r="B14" s="482">
        <f>[22]Prices!B5</f>
        <v>0</v>
      </c>
      <c r="C14" s="482">
        <f>[22]Prices!C5</f>
        <v>66.48</v>
      </c>
      <c r="D14" s="482">
        <f>[22]Prices!D5</f>
        <v>157.72999999999999</v>
      </c>
      <c r="E14" s="482">
        <f>[22]Prices!E5</f>
        <v>1319.47</v>
      </c>
      <c r="F14" s="482">
        <f>[22]Prices!G5</f>
        <v>-28.95</v>
      </c>
      <c r="G14" s="482">
        <f>[22]Prices!F5</f>
        <v>220.58</v>
      </c>
      <c r="H14" s="482">
        <f>[22]Prices!H5</f>
        <v>150</v>
      </c>
      <c r="I14" s="482">
        <f>[22]Prices!J5</f>
        <v>543.30999999999995</v>
      </c>
      <c r="J14" s="482">
        <f>[22]Prices!K5</f>
        <v>340</v>
      </c>
      <c r="K14" s="482">
        <f>[22]Prices!L5</f>
        <v>-187.5</v>
      </c>
    </row>
    <row r="15" spans="1:18" x14ac:dyDescent="0.2">
      <c r="A15" s="225">
        <v>45352</v>
      </c>
      <c r="B15" s="482">
        <f>[22]Prices!B6</f>
        <v>0</v>
      </c>
      <c r="C15" s="482">
        <f>[22]Prices!C6</f>
        <v>67.63</v>
      </c>
      <c r="D15" s="482">
        <f>[22]Prices!D6</f>
        <v>175.48</v>
      </c>
      <c r="E15" s="482">
        <f>[22]Prices!E6</f>
        <v>1325.07</v>
      </c>
      <c r="F15" s="482">
        <f>[22]Prices!G6</f>
        <v>-28.49</v>
      </c>
      <c r="G15" s="482">
        <f>[22]Prices!F6</f>
        <v>194.68</v>
      </c>
      <c r="H15" s="482">
        <f>[22]Prices!H6</f>
        <v>150</v>
      </c>
      <c r="I15" s="482">
        <f>[22]Prices!J6</f>
        <v>560</v>
      </c>
      <c r="J15" s="482">
        <f>[22]Prices!K6</f>
        <v>340</v>
      </c>
      <c r="K15" s="482">
        <f>[22]Prices!L6</f>
        <v>-187.5</v>
      </c>
      <c r="O15" s="18"/>
      <c r="P15" s="18"/>
      <c r="R15" s="18"/>
    </row>
    <row r="16" spans="1:18" x14ac:dyDescent="0.2">
      <c r="A16" s="225">
        <v>45383</v>
      </c>
      <c r="B16" s="482">
        <f>[23]Prices!B7</f>
        <v>0</v>
      </c>
      <c r="C16" s="482">
        <f>[23]Prices!C7</f>
        <v>81.92</v>
      </c>
      <c r="D16" s="482">
        <f>[23]Prices!D7</f>
        <v>150.25</v>
      </c>
      <c r="E16" s="482">
        <f>[23]Prices!E7</f>
        <v>1538.59</v>
      </c>
      <c r="F16" s="482">
        <f>[23]Prices!$G$7</f>
        <v>-27.25</v>
      </c>
      <c r="G16" s="482">
        <f>[23]Prices!$F$7</f>
        <v>193.42</v>
      </c>
      <c r="H16" s="482">
        <f>[23]Prices!$H$7</f>
        <v>171.08</v>
      </c>
      <c r="I16" s="482">
        <f>[23]Prices!J7</f>
        <v>560</v>
      </c>
      <c r="J16" s="482">
        <f>[23]Prices!K7</f>
        <v>340</v>
      </c>
      <c r="K16" s="482">
        <f>[23]Prices!L7</f>
        <v>-187.5</v>
      </c>
      <c r="O16" s="18"/>
      <c r="P16" s="18"/>
    </row>
    <row r="17" spans="1:16" x14ac:dyDescent="0.2">
      <c r="A17" s="225">
        <v>45413</v>
      </c>
      <c r="B17" s="482">
        <f>[24]Prices!B8</f>
        <v>0</v>
      </c>
      <c r="C17" s="482">
        <f>[24]Prices!C8</f>
        <v>91.75</v>
      </c>
      <c r="D17" s="482">
        <f>[24]Prices!D8</f>
        <v>180.01</v>
      </c>
      <c r="E17" s="482">
        <f>[24]Prices!E8</f>
        <v>1579.12</v>
      </c>
      <c r="F17" s="482">
        <f>[24]Prices!$G$8</f>
        <v>-26.1</v>
      </c>
      <c r="G17" s="482">
        <f>[24]Prices!$F$8</f>
        <v>198</v>
      </c>
      <c r="H17" s="482">
        <f>[24]Prices!$H$8</f>
        <v>210</v>
      </c>
      <c r="I17" s="482">
        <f>[24]Prices!J8</f>
        <v>600</v>
      </c>
      <c r="J17" s="482">
        <f>[24]Prices!K8</f>
        <v>346.65</v>
      </c>
      <c r="K17" s="482">
        <f>[24]Prices!L8</f>
        <v>-187.5</v>
      </c>
      <c r="O17" s="18"/>
      <c r="P17" s="18"/>
    </row>
    <row r="18" spans="1:16" x14ac:dyDescent="0.2">
      <c r="A18" s="225">
        <v>45444</v>
      </c>
      <c r="B18" s="482">
        <v>0</v>
      </c>
      <c r="C18" s="482">
        <v>105.54</v>
      </c>
      <c r="D18" s="482">
        <v>192.39</v>
      </c>
      <c r="E18" s="482">
        <v>1589.98</v>
      </c>
      <c r="F18" s="482">
        <v>-22.01</v>
      </c>
      <c r="G18" s="482">
        <v>186.28</v>
      </c>
      <c r="H18" s="482">
        <v>229.79</v>
      </c>
      <c r="I18" s="482">
        <v>600</v>
      </c>
      <c r="J18" s="482">
        <v>344.99</v>
      </c>
      <c r="K18" s="482">
        <v>-187.5</v>
      </c>
      <c r="O18" s="18"/>
      <c r="P18" s="18"/>
    </row>
    <row r="19" spans="1:16" x14ac:dyDescent="0.2">
      <c r="A19" s="225">
        <v>45474</v>
      </c>
      <c r="B19" s="483">
        <f>[25]Prices!$B$10</f>
        <v>0</v>
      </c>
      <c r="C19" s="483">
        <f>[25]Prices!$C$10</f>
        <v>101.15</v>
      </c>
      <c r="D19" s="483">
        <f>[25]Prices!$D$10</f>
        <v>187.68</v>
      </c>
      <c r="E19" s="483">
        <f>[25]Prices!$E$10</f>
        <v>1540.01</v>
      </c>
      <c r="F19" s="556">
        <f>[25]Prices!$G$10</f>
        <v>-28.06</v>
      </c>
      <c r="G19" s="482">
        <f>[25]Prices!$F$10</f>
        <v>221.74</v>
      </c>
      <c r="H19" s="483">
        <f>[25]Prices!$H$10</f>
        <v>231.89</v>
      </c>
      <c r="I19" s="483">
        <f>[25]Prices!$J$10</f>
        <v>860</v>
      </c>
      <c r="J19" s="483">
        <f>[25]Prices!$K$10</f>
        <v>220</v>
      </c>
      <c r="K19" s="482">
        <f>[25]Prices!$L$10</f>
        <v>-187.5</v>
      </c>
      <c r="O19" s="18"/>
      <c r="P19" s="18"/>
    </row>
    <row r="20" spans="1:16" x14ac:dyDescent="0.2">
      <c r="A20" s="225">
        <v>45505</v>
      </c>
      <c r="B20" s="483">
        <f>[26]Prices!B11</f>
        <v>0</v>
      </c>
      <c r="C20" s="483">
        <f>[26]Prices!C11</f>
        <v>102.96</v>
      </c>
      <c r="D20" s="483">
        <f>[26]Prices!D11</f>
        <v>149.78</v>
      </c>
      <c r="E20" s="483">
        <f>[26]Prices!E11</f>
        <v>1535.08</v>
      </c>
      <c r="F20" s="483">
        <f>[26]Prices!G11</f>
        <v>-23.97</v>
      </c>
      <c r="G20" s="483">
        <f>[26]Prices!$F$11</f>
        <v>230</v>
      </c>
      <c r="H20" s="483">
        <f>[26]Prices!H11</f>
        <v>260</v>
      </c>
      <c r="I20" s="483">
        <f>[26]Prices!J11</f>
        <v>680</v>
      </c>
      <c r="J20" s="483">
        <f>[26]Prices!K11</f>
        <v>200</v>
      </c>
      <c r="K20" s="483">
        <f>[26]Prices!L11</f>
        <v>-187.5</v>
      </c>
      <c r="O20" s="18"/>
      <c r="P20" s="18"/>
    </row>
    <row r="21" spans="1:16" x14ac:dyDescent="0.2">
      <c r="A21" s="6" t="s">
        <v>110</v>
      </c>
      <c r="B21" s="64"/>
      <c r="C21" s="64">
        <f>+'Reg. Res''l - SS Mix &amp; Prices'!D70</f>
        <v>75.810095096983019</v>
      </c>
      <c r="D21" s="64">
        <f>+'Reg. Res''l - SS Mix &amp; Prices'!E70</f>
        <v>156.75461924831714</v>
      </c>
      <c r="E21" s="64">
        <f>+'Reg. Res''l - SS Mix &amp; Prices'!F70</f>
        <v>1451.059892991434</v>
      </c>
      <c r="F21" s="64">
        <f>+'Reg. Res''l - SS Mix &amp; Prices'!H70</f>
        <v>-25.975305835575746</v>
      </c>
      <c r="G21" s="64">
        <f>+'Reg. Res''l - SS Mix &amp; Prices'!G70</f>
        <v>203.83798807071517</v>
      </c>
      <c r="H21" s="64">
        <f>+'Reg. Res''l - SS Mix &amp; Prices'!I70</f>
        <v>175.34513815265905</v>
      </c>
      <c r="I21" s="64">
        <f>+'Reg. Res''l - SS Mix &amp; Prices'!J70</f>
        <v>601.45998532924204</v>
      </c>
      <c r="J21" s="64">
        <f>+'Reg. Res''l - SS Mix &amp; Prices'!K70</f>
        <v>279.61980119423373</v>
      </c>
      <c r="K21" s="64">
        <f>+'Reg. Res''l - SS Mix &amp; Prices'!L70</f>
        <v>-187.50000000000003</v>
      </c>
    </row>
    <row r="23" spans="1:16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5" spans="1:16" x14ac:dyDescent="0.2"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2"/>
    </row>
  </sheetData>
  <pageMargins left="0.7" right="0.7" top="0.75" bottom="0.75" header="0.3" footer="0.3"/>
  <pageSetup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M27"/>
  <sheetViews>
    <sheetView workbookViewId="0">
      <selection activeCell="F30" sqref="F30"/>
    </sheetView>
  </sheetViews>
  <sheetFormatPr defaultRowHeight="12.75" x14ac:dyDescent="0.2"/>
  <cols>
    <col min="1" max="1" width="20.28515625" customWidth="1"/>
    <col min="2" max="2" width="13.5703125" bestFit="1" customWidth="1"/>
    <col min="3" max="4" width="13.5703125" customWidth="1"/>
    <col min="5" max="6" width="11" bestFit="1" customWidth="1"/>
    <col min="8" max="8" width="3.7109375" customWidth="1"/>
    <col min="9" max="9" width="10.28515625" bestFit="1" customWidth="1"/>
    <col min="10" max="10" width="11.28515625" bestFit="1" customWidth="1"/>
    <col min="11" max="11" width="12.28515625" bestFit="1" customWidth="1"/>
    <col min="13" max="13" width="12.28515625" bestFit="1" customWidth="1"/>
  </cols>
  <sheetData>
    <row r="1" spans="1:9" ht="15.75" x14ac:dyDescent="0.25">
      <c r="A1" s="613" t="s">
        <v>74</v>
      </c>
      <c r="B1" s="613"/>
      <c r="C1" s="613"/>
      <c r="D1" s="613"/>
      <c r="E1" s="613"/>
      <c r="F1" s="613"/>
      <c r="G1" s="613"/>
      <c r="H1" s="613"/>
      <c r="I1" s="613"/>
    </row>
    <row r="2" spans="1:9" ht="15.75" x14ac:dyDescent="0.25">
      <c r="A2" s="613" t="s">
        <v>166</v>
      </c>
      <c r="B2" s="613"/>
      <c r="C2" s="613"/>
      <c r="D2" s="613"/>
      <c r="E2" s="613"/>
      <c r="F2" s="613"/>
      <c r="G2" s="613"/>
      <c r="H2" s="613"/>
      <c r="I2" s="613"/>
    </row>
    <row r="3" spans="1:9" ht="15.75" x14ac:dyDescent="0.25">
      <c r="A3" s="613" t="s">
        <v>164</v>
      </c>
      <c r="B3" s="613"/>
      <c r="C3" s="613"/>
      <c r="D3" s="613"/>
      <c r="E3" s="613"/>
      <c r="F3" s="613"/>
      <c r="G3" s="613"/>
      <c r="H3" s="613"/>
      <c r="I3" s="613"/>
    </row>
    <row r="4" spans="1:9" ht="15.75" x14ac:dyDescent="0.25">
      <c r="A4" s="106"/>
      <c r="B4" s="106"/>
      <c r="C4" s="349"/>
      <c r="D4" s="349"/>
      <c r="E4" s="106"/>
      <c r="F4" s="106"/>
    </row>
    <row r="5" spans="1:9" ht="15.75" x14ac:dyDescent="0.25">
      <c r="A5" s="1"/>
      <c r="B5" s="106" t="s">
        <v>90</v>
      </c>
      <c r="C5" s="349"/>
      <c r="D5" s="349"/>
    </row>
    <row r="6" spans="1:9" ht="15.75" x14ac:dyDescent="0.25">
      <c r="A6" s="1"/>
      <c r="B6" s="106" t="s">
        <v>19</v>
      </c>
      <c r="C6" s="349"/>
      <c r="D6" s="349" t="s">
        <v>132</v>
      </c>
      <c r="E6" s="106" t="s">
        <v>22</v>
      </c>
      <c r="F6" s="106"/>
      <c r="G6" s="106" t="s">
        <v>93</v>
      </c>
      <c r="I6" s="106" t="s">
        <v>75</v>
      </c>
    </row>
    <row r="7" spans="1:9" ht="15.75" x14ac:dyDescent="0.25">
      <c r="A7" s="1"/>
      <c r="B7" s="50" t="s">
        <v>76</v>
      </c>
      <c r="C7" s="50" t="s">
        <v>131</v>
      </c>
      <c r="D7" s="50" t="s">
        <v>133</v>
      </c>
      <c r="E7" s="50" t="s">
        <v>91</v>
      </c>
      <c r="F7" s="50" t="s">
        <v>22</v>
      </c>
      <c r="G7" s="50" t="s">
        <v>94</v>
      </c>
      <c r="I7" s="50" t="s">
        <v>77</v>
      </c>
    </row>
    <row r="8" spans="1:9" ht="15" x14ac:dyDescent="0.2">
      <c r="A8" s="44"/>
      <c r="B8" s="45"/>
      <c r="C8" s="45"/>
      <c r="D8" s="45"/>
      <c r="E8" s="45"/>
      <c r="F8" s="45"/>
      <c r="G8" s="45"/>
      <c r="I8" s="45"/>
    </row>
    <row r="9" spans="1:9" ht="15" x14ac:dyDescent="0.2">
      <c r="A9" s="44" t="s">
        <v>14</v>
      </c>
      <c r="B9" s="545">
        <f>'[27]BRA CC September  23'!$D$3</f>
        <v>50923</v>
      </c>
      <c r="C9" s="545">
        <f>'[27]BRA CC September  23'!$C$3</f>
        <v>10826</v>
      </c>
      <c r="D9" s="545">
        <f>'[27]BRA CC September  23'!$E$3</f>
        <v>4757</v>
      </c>
      <c r="E9" s="105">
        <f>+D9+C9</f>
        <v>15583</v>
      </c>
      <c r="F9" s="46">
        <f>+E9+B9</f>
        <v>66506</v>
      </c>
      <c r="G9" s="141">
        <f>+B9/F9</f>
        <v>0.76569031365591078</v>
      </c>
      <c r="I9" s="105">
        <f>+'MF Units'!C9</f>
        <v>5447.2636363636339</v>
      </c>
    </row>
    <row r="10" spans="1:9" ht="15" x14ac:dyDescent="0.2">
      <c r="A10" s="44" t="s">
        <v>15</v>
      </c>
      <c r="B10" s="545">
        <f>'[28]BRA CC October 23'!$D$3</f>
        <v>50885</v>
      </c>
      <c r="C10" s="545">
        <f>'[28]BRA CC October 23'!$C$3</f>
        <v>10813</v>
      </c>
      <c r="D10" s="545">
        <f>'[28]BRA CC October 23'!$E$3</f>
        <v>4779</v>
      </c>
      <c r="E10" s="105">
        <f t="shared" ref="E10:E20" si="0">+D10+C10</f>
        <v>15592</v>
      </c>
      <c r="F10" s="46">
        <f t="shared" ref="F10:F12" si="1">+E10+B10</f>
        <v>66477</v>
      </c>
      <c r="G10" s="141">
        <f t="shared" ref="G10:G21" si="2">+B10/F10</f>
        <v>0.76545271296839512</v>
      </c>
      <c r="I10" s="105">
        <f>+'MF Units'!C10</f>
        <v>5533.2363636363607</v>
      </c>
    </row>
    <row r="11" spans="1:9" ht="15" x14ac:dyDescent="0.2">
      <c r="A11" s="44" t="s">
        <v>16</v>
      </c>
      <c r="B11" s="545">
        <f>'[29]BRA CC November 23'!$D$3</f>
        <v>50906</v>
      </c>
      <c r="C11" s="545">
        <f>'[29]BRA CC November 23'!$C$3</f>
        <v>10802</v>
      </c>
      <c r="D11" s="545">
        <f>'[29]BRA CC November 23'!$E$3</f>
        <v>4815</v>
      </c>
      <c r="E11" s="105">
        <f t="shared" si="0"/>
        <v>15617</v>
      </c>
      <c r="F11" s="46">
        <f t="shared" si="1"/>
        <v>66523</v>
      </c>
      <c r="G11" s="141">
        <f t="shared" si="2"/>
        <v>0.76523909023946601</v>
      </c>
      <c r="I11" s="105">
        <f>+'MF Units'!C11</f>
        <v>5435.2363636363607</v>
      </c>
    </row>
    <row r="12" spans="1:9" ht="15" x14ac:dyDescent="0.2">
      <c r="A12" s="44" t="s">
        <v>17</v>
      </c>
      <c r="B12" s="545">
        <f>'[30]BRA CC December 23'!$D$3</f>
        <v>50863</v>
      </c>
      <c r="C12" s="545">
        <f>'[30]BRA CC December 23'!$C$3</f>
        <v>10740</v>
      </c>
      <c r="D12" s="545">
        <f>'[30]BRA CC December 23'!$E$3</f>
        <v>4842</v>
      </c>
      <c r="E12" s="105">
        <f t="shared" si="0"/>
        <v>15582</v>
      </c>
      <c r="F12" s="46">
        <f t="shared" si="1"/>
        <v>66445</v>
      </c>
      <c r="G12" s="141">
        <f t="shared" si="2"/>
        <v>0.76549025509820157</v>
      </c>
      <c r="I12" s="105">
        <f>+'MF Units'!C12</f>
        <v>5524.4636363636337</v>
      </c>
    </row>
    <row r="13" spans="1:9" ht="15" x14ac:dyDescent="0.2">
      <c r="A13" s="44" t="s">
        <v>5</v>
      </c>
      <c r="B13" s="545">
        <f>'[31]PricingDashboard - QUANTITY per'!$D$3</f>
        <v>50860</v>
      </c>
      <c r="C13" s="545">
        <f>'[31]PricingDashboard - QUANTITY per'!$C$3</f>
        <v>10697</v>
      </c>
      <c r="D13" s="545">
        <f>'[31]PricingDashboard - QUANTITY per'!$E$3</f>
        <v>4864</v>
      </c>
      <c r="E13" s="105">
        <f t="shared" si="0"/>
        <v>15561</v>
      </c>
      <c r="F13" s="46">
        <f t="shared" ref="F13:F20" si="3">+E13+B13</f>
        <v>66421</v>
      </c>
      <c r="G13" s="141">
        <f t="shared" ref="G13:G20" si="4">+B13/F13</f>
        <v>0.76572168440703992</v>
      </c>
      <c r="I13" s="105">
        <f>+'MF Units'!C13</f>
        <v>5573.6999999999971</v>
      </c>
    </row>
    <row r="14" spans="1:9" ht="15" x14ac:dyDescent="0.2">
      <c r="A14" s="44" t="s">
        <v>6</v>
      </c>
      <c r="B14" s="545">
        <f>'[32]PricingDashboard - QUANTITY per'!$D$3</f>
        <v>50866</v>
      </c>
      <c r="C14" s="545">
        <f>'[32]PricingDashboard - QUANTITY per'!$C$3</f>
        <v>10747</v>
      </c>
      <c r="D14" s="545">
        <f>'[32]PricingDashboard - QUANTITY per'!$E$3</f>
        <v>4885</v>
      </c>
      <c r="E14" s="105">
        <f t="shared" si="0"/>
        <v>15632</v>
      </c>
      <c r="F14" s="46">
        <f t="shared" si="3"/>
        <v>66498</v>
      </c>
      <c r="G14" s="141">
        <f t="shared" si="4"/>
        <v>0.7649252609101026</v>
      </c>
      <c r="I14" s="105">
        <f>+'MF Units'!C14</f>
        <v>5657.6999999999971</v>
      </c>
    </row>
    <row r="15" spans="1:9" ht="15" x14ac:dyDescent="0.2">
      <c r="A15" s="44" t="s">
        <v>8</v>
      </c>
      <c r="B15" s="545">
        <f>'[33]BRA CC March 24'!$D$4</f>
        <v>50952</v>
      </c>
      <c r="C15" s="545">
        <f>'[33]BRA CC March 24'!$C$4</f>
        <v>10776</v>
      </c>
      <c r="D15" s="545">
        <f>'[33]BRA CC March 24'!$F$4</f>
        <v>4922</v>
      </c>
      <c r="E15" s="105">
        <f t="shared" si="0"/>
        <v>15698</v>
      </c>
      <c r="F15" s="46">
        <f t="shared" si="3"/>
        <v>66650</v>
      </c>
      <c r="G15" s="141">
        <f t="shared" si="4"/>
        <v>0.76447111777944488</v>
      </c>
      <c r="I15" s="105">
        <f>+'MF Units'!C15</f>
        <v>5569.3954545454517</v>
      </c>
    </row>
    <row r="16" spans="1:9" ht="15" x14ac:dyDescent="0.2">
      <c r="A16" s="44" t="s">
        <v>9</v>
      </c>
      <c r="B16" s="545">
        <f>'[34]BRA CC April 24'!$D$3</f>
        <v>51105</v>
      </c>
      <c r="C16" s="545">
        <f>'[34]BRA CC April 24'!$C$3</f>
        <v>10788</v>
      </c>
      <c r="D16" s="545">
        <f>'[34]BRA CC April 24'!$E$3</f>
        <v>4948</v>
      </c>
      <c r="E16" s="105">
        <f t="shared" si="0"/>
        <v>15736</v>
      </c>
      <c r="F16" s="46">
        <f t="shared" si="3"/>
        <v>66841</v>
      </c>
      <c r="G16" s="141">
        <f t="shared" si="4"/>
        <v>0.76457563471521972</v>
      </c>
      <c r="I16" s="105">
        <f>+'MF Units'!C16</f>
        <v>5665.6795454545427</v>
      </c>
    </row>
    <row r="17" spans="1:13" ht="15" x14ac:dyDescent="0.2">
      <c r="A17" s="44" t="s">
        <v>10</v>
      </c>
      <c r="B17" s="546">
        <f>'[35]BRA CC May 24'!$D$3</f>
        <v>51286</v>
      </c>
      <c r="C17" s="546">
        <f>'[35]BRA CC May 24'!$C$3</f>
        <v>10805</v>
      </c>
      <c r="D17" s="546">
        <f>'[35]BRA CC May 24'!$E$3</f>
        <v>4980</v>
      </c>
      <c r="E17" s="105">
        <f t="shared" si="0"/>
        <v>15785</v>
      </c>
      <c r="F17" s="46">
        <f t="shared" si="3"/>
        <v>67071</v>
      </c>
      <c r="G17" s="141">
        <f t="shared" si="4"/>
        <v>0.76465238329531393</v>
      </c>
      <c r="I17" s="105">
        <f>+'MF Units'!C17</f>
        <v>5607.8909090909065</v>
      </c>
    </row>
    <row r="18" spans="1:13" ht="15" x14ac:dyDescent="0.2">
      <c r="A18" s="44" t="s">
        <v>11</v>
      </c>
      <c r="B18" s="546">
        <v>51351</v>
      </c>
      <c r="C18" s="546">
        <v>10782</v>
      </c>
      <c r="D18" s="546">
        <v>5015</v>
      </c>
      <c r="E18" s="105">
        <f t="shared" si="0"/>
        <v>15797</v>
      </c>
      <c r="F18" s="46">
        <f t="shared" si="3"/>
        <v>67148</v>
      </c>
      <c r="G18" s="141">
        <f t="shared" si="4"/>
        <v>0.76474355155775298</v>
      </c>
      <c r="I18" s="105">
        <f>+'MF Units'!C18</f>
        <v>5514.427272727271</v>
      </c>
    </row>
    <row r="19" spans="1:13" ht="15" x14ac:dyDescent="0.2">
      <c r="A19" s="44" t="s">
        <v>12</v>
      </c>
      <c r="B19" s="546">
        <v>51419</v>
      </c>
      <c r="C19" s="546">
        <v>10819</v>
      </c>
      <c r="D19" s="546">
        <v>5049</v>
      </c>
      <c r="E19" s="105">
        <f t="shared" si="0"/>
        <v>15868</v>
      </c>
      <c r="F19" s="46">
        <f t="shared" si="3"/>
        <v>67287</v>
      </c>
      <c r="G19" s="141">
        <f t="shared" si="4"/>
        <v>0.76417435760250862</v>
      </c>
      <c r="I19" s="105">
        <f>+'MF Units'!C19</f>
        <v>5698.6840909090879</v>
      </c>
    </row>
    <row r="20" spans="1:13" ht="17.25" x14ac:dyDescent="0.35">
      <c r="A20" s="44" t="s">
        <v>13</v>
      </c>
      <c r="B20" s="546">
        <f>B19</f>
        <v>51419</v>
      </c>
      <c r="C20" s="546">
        <f>C19</f>
        <v>10819</v>
      </c>
      <c r="D20" s="546">
        <f>D19</f>
        <v>5049</v>
      </c>
      <c r="E20" s="258">
        <f t="shared" si="0"/>
        <v>15868</v>
      </c>
      <c r="F20" s="47">
        <f t="shared" si="3"/>
        <v>67287</v>
      </c>
      <c r="G20" s="145">
        <f t="shared" si="4"/>
        <v>0.76417435760250862</v>
      </c>
      <c r="I20" s="258">
        <f>+'MF Units'!C20</f>
        <v>5728.5431818181787</v>
      </c>
      <c r="K20" s="18"/>
      <c r="M20" s="38"/>
    </row>
    <row r="21" spans="1:13" ht="18" x14ac:dyDescent="0.4">
      <c r="A21" s="44"/>
      <c r="B21" s="48">
        <f>SUM(B9:B20)</f>
        <v>612835</v>
      </c>
      <c r="C21" s="48">
        <f t="shared" ref="C21:D21" si="5">SUM(C9:C20)</f>
        <v>129414</v>
      </c>
      <c r="D21" s="48">
        <f t="shared" si="5"/>
        <v>58905</v>
      </c>
      <c r="E21" s="48">
        <f>SUM(E9:E20)</f>
        <v>188319</v>
      </c>
      <c r="F21" s="48">
        <f t="shared" ref="F21" si="6">SUM(F9:F20)</f>
        <v>801154</v>
      </c>
      <c r="G21" s="142">
        <f t="shared" si="2"/>
        <v>0.76494032358323116</v>
      </c>
      <c r="I21" s="48">
        <f>SUM(I9:I20)</f>
        <v>66956.22045454543</v>
      </c>
    </row>
    <row r="22" spans="1:13" ht="15" x14ac:dyDescent="0.2">
      <c r="A22" s="44"/>
      <c r="B22" s="44"/>
      <c r="C22" s="44"/>
      <c r="D22" s="44"/>
      <c r="F22" s="44"/>
      <c r="G22" s="44"/>
      <c r="I22" s="44"/>
    </row>
    <row r="23" spans="1:13" ht="18" x14ac:dyDescent="0.4">
      <c r="A23" s="1" t="s">
        <v>78</v>
      </c>
      <c r="B23" s="48">
        <f>+B21/12</f>
        <v>51069.583333333336</v>
      </c>
      <c r="C23" s="48"/>
      <c r="D23" s="48"/>
      <c r="E23" s="48"/>
      <c r="F23" s="48"/>
      <c r="G23" s="49"/>
      <c r="I23" s="48">
        <f>+I21/12</f>
        <v>5579.6850378787858</v>
      </c>
    </row>
    <row r="25" spans="1:13" ht="15" x14ac:dyDescent="0.2">
      <c r="B25" s="546"/>
      <c r="C25" s="546"/>
      <c r="D25" s="546"/>
      <c r="I25" s="38"/>
    </row>
    <row r="27" spans="1:13" x14ac:dyDescent="0.2">
      <c r="B27" s="38"/>
      <c r="I27" s="38"/>
      <c r="J27" s="38"/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K25"/>
  <sheetViews>
    <sheetView workbookViewId="0">
      <selection activeCell="G9" sqref="G9:J12"/>
    </sheetView>
  </sheetViews>
  <sheetFormatPr defaultRowHeight="12.75" x14ac:dyDescent="0.2"/>
  <cols>
    <col min="1" max="1" width="11.5703125" bestFit="1" customWidth="1"/>
    <col min="2" max="2" width="4.28515625" customWidth="1"/>
    <col min="3" max="3" width="8.5703125" bestFit="1" customWidth="1"/>
    <col min="4" max="4" width="8.85546875" bestFit="1" customWidth="1"/>
    <col min="5" max="5" width="6.7109375" style="18" bestFit="1" customWidth="1"/>
    <col min="6" max="7" width="11.28515625" bestFit="1" customWidth="1"/>
    <col min="8" max="8" width="11.28515625" customWidth="1"/>
    <col min="9" max="9" width="11.28515625" bestFit="1" customWidth="1"/>
    <col min="10" max="10" width="14" bestFit="1" customWidth="1"/>
    <col min="11" max="11" width="11.42578125" bestFit="1" customWidth="1"/>
    <col min="12" max="12" width="11.7109375" bestFit="1" customWidth="1"/>
    <col min="13" max="16" width="11.28515625" bestFit="1" customWidth="1"/>
  </cols>
  <sheetData>
    <row r="1" spans="1:10" ht="26.25" x14ac:dyDescent="0.4">
      <c r="A1" s="146" t="s">
        <v>18</v>
      </c>
    </row>
    <row r="2" spans="1:10" ht="15" x14ac:dyDescent="0.25">
      <c r="A2" s="148" t="s">
        <v>124</v>
      </c>
    </row>
    <row r="6" spans="1:10" x14ac:dyDescent="0.2">
      <c r="B6" s="21"/>
      <c r="C6" s="21"/>
      <c r="D6" s="21"/>
      <c r="G6" s="612" t="s">
        <v>122</v>
      </c>
      <c r="H6" s="612"/>
      <c r="I6" s="612"/>
      <c r="J6" s="612"/>
    </row>
    <row r="7" spans="1:10" x14ac:dyDescent="0.2">
      <c r="B7" s="2"/>
      <c r="C7" s="2" t="s">
        <v>114</v>
      </c>
      <c r="D7" s="2" t="s">
        <v>116</v>
      </c>
      <c r="G7" s="2" t="s">
        <v>118</v>
      </c>
      <c r="H7" s="347" t="s">
        <v>154</v>
      </c>
      <c r="I7" s="2" t="s">
        <v>119</v>
      </c>
      <c r="J7" s="2" t="s">
        <v>120</v>
      </c>
    </row>
    <row r="8" spans="1:10" x14ac:dyDescent="0.2">
      <c r="A8" s="12" t="s">
        <v>112</v>
      </c>
      <c r="B8" s="10"/>
      <c r="C8" s="10" t="s">
        <v>115</v>
      </c>
      <c r="D8" s="10" t="s">
        <v>33</v>
      </c>
      <c r="E8" s="254" t="s">
        <v>113</v>
      </c>
      <c r="G8" s="10" t="s">
        <v>117</v>
      </c>
      <c r="H8" s="426" t="s">
        <v>117</v>
      </c>
      <c r="I8" s="10" t="s">
        <v>117</v>
      </c>
      <c r="J8" s="10" t="s">
        <v>117</v>
      </c>
    </row>
    <row r="9" spans="1:10" x14ac:dyDescent="0.2">
      <c r="A9" s="15" t="s">
        <v>174</v>
      </c>
      <c r="B9" s="3"/>
      <c r="C9" s="253">
        <f>+D9/E9</f>
        <v>5447.2636363636339</v>
      </c>
      <c r="D9" s="20">
        <f>SUM(G9:J9)</f>
        <v>23967.96</v>
      </c>
      <c r="E9" s="18">
        <v>4.4000000000000021</v>
      </c>
      <c r="G9" s="519">
        <v>2189.9299999999998</v>
      </c>
      <c r="H9" s="519">
        <v>115.87</v>
      </c>
      <c r="I9" s="519">
        <v>488.62</v>
      </c>
      <c r="J9" s="519">
        <v>21173.54</v>
      </c>
    </row>
    <row r="10" spans="1:10" x14ac:dyDescent="0.2">
      <c r="A10" s="15" t="s">
        <v>35</v>
      </c>
      <c r="B10" s="3"/>
      <c r="C10" s="253">
        <f t="shared" ref="C10:C20" si="0">+D10/E10</f>
        <v>5533.2363636363607</v>
      </c>
      <c r="D10" s="20">
        <f t="shared" ref="D10:D20" si="1">SUM(G10:J10)</f>
        <v>24346.239999999998</v>
      </c>
      <c r="E10" s="18">
        <v>4.4000000000000021</v>
      </c>
      <c r="G10" s="519">
        <v>2182.77</v>
      </c>
      <c r="H10" s="519">
        <v>115.87</v>
      </c>
      <c r="I10" s="519">
        <v>488.62</v>
      </c>
      <c r="J10" s="519">
        <v>21558.98</v>
      </c>
    </row>
    <row r="11" spans="1:10" x14ac:dyDescent="0.2">
      <c r="A11" s="15" t="s">
        <v>36</v>
      </c>
      <c r="B11" s="3"/>
      <c r="C11" s="253">
        <f t="shared" si="0"/>
        <v>5435.2363636363607</v>
      </c>
      <c r="D11" s="20">
        <f t="shared" si="1"/>
        <v>23915.039999999997</v>
      </c>
      <c r="E11" s="18">
        <v>4.4000000000000021</v>
      </c>
      <c r="G11" s="519">
        <v>2182.77</v>
      </c>
      <c r="H11" s="519">
        <v>115.87</v>
      </c>
      <c r="I11" s="519">
        <v>488.62</v>
      </c>
      <c r="J11" s="519">
        <v>21127.78</v>
      </c>
    </row>
    <row r="12" spans="1:10" x14ac:dyDescent="0.2">
      <c r="A12" s="15" t="s">
        <v>37</v>
      </c>
      <c r="B12" s="3"/>
      <c r="C12" s="253">
        <f t="shared" si="0"/>
        <v>5524.4636363636337</v>
      </c>
      <c r="D12" s="20">
        <f t="shared" si="1"/>
        <v>24307.64</v>
      </c>
      <c r="E12" s="18">
        <v>4.4000000000000021</v>
      </c>
      <c r="G12" s="519">
        <v>2196.9699999999998</v>
      </c>
      <c r="H12" s="519">
        <v>115.87</v>
      </c>
      <c r="I12" s="519">
        <v>488.62</v>
      </c>
      <c r="J12" s="519">
        <v>21506.18</v>
      </c>
    </row>
    <row r="13" spans="1:10" x14ac:dyDescent="0.2">
      <c r="A13" s="15" t="s">
        <v>175</v>
      </c>
      <c r="B13" s="3"/>
      <c r="C13" s="253">
        <f t="shared" si="0"/>
        <v>5573.6999999999971</v>
      </c>
      <c r="D13" s="20">
        <f t="shared" si="1"/>
        <v>24524.28</v>
      </c>
      <c r="E13" s="18">
        <v>4.4000000000000021</v>
      </c>
      <c r="G13" s="519">
        <v>2546</v>
      </c>
      <c r="H13" s="519">
        <v>115.87</v>
      </c>
      <c r="I13" s="519">
        <v>488.62</v>
      </c>
      <c r="J13" s="519">
        <v>21373.79</v>
      </c>
    </row>
    <row r="14" spans="1:10" x14ac:dyDescent="0.2">
      <c r="A14" s="15" t="s">
        <v>38</v>
      </c>
      <c r="B14" s="3"/>
      <c r="C14" s="253">
        <f t="shared" si="0"/>
        <v>5657.6999999999971</v>
      </c>
      <c r="D14" s="20">
        <f t="shared" si="1"/>
        <v>24893.879999999997</v>
      </c>
      <c r="E14" s="18">
        <v>4.4000000000000021</v>
      </c>
      <c r="G14" s="519">
        <v>2546</v>
      </c>
      <c r="H14" s="519">
        <v>115.87</v>
      </c>
      <c r="I14" s="519">
        <v>488.62</v>
      </c>
      <c r="J14" s="519">
        <v>21743.39</v>
      </c>
    </row>
    <row r="15" spans="1:10" x14ac:dyDescent="0.2">
      <c r="A15" s="15" t="s">
        <v>39</v>
      </c>
      <c r="B15" s="3"/>
      <c r="C15" s="253">
        <f t="shared" si="0"/>
        <v>5569.3954545454517</v>
      </c>
      <c r="D15" s="20">
        <f t="shared" si="1"/>
        <v>24505.34</v>
      </c>
      <c r="E15" s="18">
        <v>4.4000000000000021</v>
      </c>
      <c r="G15" s="519">
        <v>2551.9899999999998</v>
      </c>
      <c r="H15" s="519">
        <v>184.41</v>
      </c>
      <c r="I15" s="519">
        <v>359.95</v>
      </c>
      <c r="J15" s="519">
        <v>21408.99</v>
      </c>
    </row>
    <row r="16" spans="1:10" x14ac:dyDescent="0.2">
      <c r="A16" s="15" t="s">
        <v>40</v>
      </c>
      <c r="B16" s="3"/>
      <c r="C16" s="253">
        <f t="shared" si="0"/>
        <v>5665.6795454545427</v>
      </c>
      <c r="D16" s="20">
        <f t="shared" si="1"/>
        <v>24928.989999999998</v>
      </c>
      <c r="E16" s="18">
        <v>4.4000000000000021</v>
      </c>
      <c r="G16" s="519">
        <v>2551.9899999999998</v>
      </c>
      <c r="H16" s="519">
        <v>184.41</v>
      </c>
      <c r="I16" s="519">
        <v>458</v>
      </c>
      <c r="J16" s="519">
        <v>21734.59</v>
      </c>
    </row>
    <row r="17" spans="1:11" x14ac:dyDescent="0.2">
      <c r="A17" s="15" t="s">
        <v>10</v>
      </c>
      <c r="B17" s="3"/>
      <c r="C17" s="253">
        <f t="shared" si="0"/>
        <v>5607.8909090909065</v>
      </c>
      <c r="D17" s="20">
        <f t="shared" si="1"/>
        <v>24674.720000000001</v>
      </c>
      <c r="E17" s="18">
        <v>4.4000000000000021</v>
      </c>
      <c r="G17" s="519">
        <v>2271.3200000000002</v>
      </c>
      <c r="H17" s="519">
        <v>184.41</v>
      </c>
      <c r="I17" s="519">
        <v>458</v>
      </c>
      <c r="J17" s="519">
        <v>21760.99</v>
      </c>
    </row>
    <row r="18" spans="1:11" x14ac:dyDescent="0.2">
      <c r="A18" s="15" t="s">
        <v>41</v>
      </c>
      <c r="B18" s="3"/>
      <c r="C18" s="253">
        <f t="shared" si="0"/>
        <v>5514.427272727271</v>
      </c>
      <c r="D18" s="20">
        <f t="shared" si="1"/>
        <v>24263.480000000003</v>
      </c>
      <c r="E18" s="18">
        <v>4.4000000000000021</v>
      </c>
      <c r="G18" s="519">
        <v>2280.58</v>
      </c>
      <c r="H18" s="519">
        <v>184.41</v>
      </c>
      <c r="I18" s="519">
        <v>458</v>
      </c>
      <c r="J18" s="519">
        <v>21340.49</v>
      </c>
    </row>
    <row r="19" spans="1:11" x14ac:dyDescent="0.2">
      <c r="A19" s="15" t="s">
        <v>42</v>
      </c>
      <c r="B19" s="3"/>
      <c r="C19" s="253">
        <f t="shared" si="0"/>
        <v>5698.6840909090879</v>
      </c>
      <c r="D19" s="20">
        <f t="shared" si="1"/>
        <v>25074.21</v>
      </c>
      <c r="E19" s="18">
        <v>4.4000000000000021</v>
      </c>
      <c r="G19" s="519">
        <v>2280.58</v>
      </c>
      <c r="H19" s="519">
        <v>611.83000000000004</v>
      </c>
      <c r="I19" s="519">
        <v>530.53</v>
      </c>
      <c r="J19" s="519">
        <v>21651.27</v>
      </c>
    </row>
    <row r="20" spans="1:11" x14ac:dyDescent="0.2">
      <c r="A20" s="15" t="s">
        <v>43</v>
      </c>
      <c r="B20" s="3"/>
      <c r="C20" s="253">
        <f t="shared" si="0"/>
        <v>5728.5431818181787</v>
      </c>
      <c r="D20" s="20">
        <f t="shared" si="1"/>
        <v>25205.59</v>
      </c>
      <c r="E20" s="18">
        <v>4.4000000000000021</v>
      </c>
      <c r="G20" s="519">
        <v>2280.58</v>
      </c>
      <c r="H20" s="519">
        <v>718.69</v>
      </c>
      <c r="I20" s="519">
        <v>555.04999999999995</v>
      </c>
      <c r="J20" s="519">
        <v>21651.27</v>
      </c>
      <c r="K20" s="4"/>
    </row>
    <row r="21" spans="1:11" x14ac:dyDescent="0.2">
      <c r="G21" s="520"/>
      <c r="H21" s="520"/>
      <c r="I21" s="520"/>
      <c r="J21" s="520"/>
    </row>
    <row r="22" spans="1:11" x14ac:dyDescent="0.2">
      <c r="G22" s="520"/>
      <c r="H22" s="520"/>
      <c r="I22" s="520"/>
      <c r="J22" s="520"/>
    </row>
    <row r="23" spans="1:11" x14ac:dyDescent="0.2">
      <c r="G23" s="520"/>
      <c r="H23" s="520"/>
      <c r="I23" s="520"/>
      <c r="J23" s="520"/>
    </row>
    <row r="24" spans="1:11" x14ac:dyDescent="0.2">
      <c r="G24" s="520"/>
      <c r="H24" s="520"/>
      <c r="I24" s="520"/>
      <c r="J24" s="520"/>
    </row>
    <row r="25" spans="1:11" x14ac:dyDescent="0.2">
      <c r="G25" s="520"/>
      <c r="H25" s="520"/>
      <c r="I25" s="520"/>
      <c r="J25" s="520"/>
    </row>
  </sheetData>
  <mergeCells count="1">
    <mergeCell ref="G6:J6"/>
  </mergeCells>
  <phoneticPr fontId="4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9E8CF19C7A73F4BA3CB070A6299EF20" ma:contentTypeVersion="16" ma:contentTypeDescription="" ma:contentTypeScope="" ma:versionID="6c9ceb683d3360fe01ee4e544324a8a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2024-09-17T07:00:00+00:00</OpenedDate>
    <SignificantOrder xmlns="dc463f71-b30c-4ab2-9473-d307f9d35888">false</SignificantOrder>
    <Date1 xmlns="dc463f71-b30c-4ab2-9473-d307f9d35888">2024-09-17T07:00:00+00:00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240718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775592D-B99F-490B-95AB-AE171E47E22D}"/>
</file>

<file path=customXml/itemProps2.xml><?xml version="1.0" encoding="utf-8"?>
<ds:datastoreItem xmlns:ds="http://schemas.openxmlformats.org/officeDocument/2006/customXml" ds:itemID="{FB1FA89D-B84A-4B4B-AF81-360EC80CA62F}"/>
</file>

<file path=customXml/itemProps3.xml><?xml version="1.0" encoding="utf-8"?>
<ds:datastoreItem xmlns:ds="http://schemas.openxmlformats.org/officeDocument/2006/customXml" ds:itemID="{C497273C-B556-4360-A986-2AAF40C159DD}"/>
</file>

<file path=customXml/itemProps4.xml><?xml version="1.0" encoding="utf-8"?>
<ds:datastoreItem xmlns:ds="http://schemas.openxmlformats.org/officeDocument/2006/customXml" ds:itemID="{F4427D30-5CEF-4447-90BA-C528CFB5E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Rebate Analysis</vt:lpstr>
      <vt:lpstr>Calculation of Revenue</vt:lpstr>
      <vt:lpstr>Reg. Res'l - SS Mix &amp; Prices</vt:lpstr>
      <vt:lpstr>Composition - CRC</vt:lpstr>
      <vt:lpstr>Reg. MF - SS Mix &amp; Prices</vt:lpstr>
      <vt:lpstr>Total Company Tonnage</vt:lpstr>
      <vt:lpstr>Commodity Prices - JMK</vt:lpstr>
      <vt:lpstr>Customer Counts</vt:lpstr>
      <vt:lpstr>MF Units</vt:lpstr>
      <vt:lpstr>'Calculation of Revenue'!Print_Area</vt:lpstr>
      <vt:lpstr>'Commodity Prices - JMK'!Print_Area</vt:lpstr>
      <vt:lpstr>'Customer Counts'!Print_Area</vt:lpstr>
      <vt:lpstr>'Rebate Analysis'!Print_Area</vt:lpstr>
      <vt:lpstr>'Reg. MF - SS Mix &amp; Prices'!Print_Area</vt:lpstr>
      <vt:lpstr>'Reg. Res''l - SS Mix &amp; Prices'!Print_Area</vt:lpstr>
      <vt:lpstr>'Total Company Tonnage'!Print_Area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Burnite</dc:creator>
  <cp:lastModifiedBy>Burmester, Evan</cp:lastModifiedBy>
  <cp:lastPrinted>2018-09-07T15:11:39Z</cp:lastPrinted>
  <dcterms:created xsi:type="dcterms:W3CDTF">2003-01-04T00:18:15Z</dcterms:created>
  <dcterms:modified xsi:type="dcterms:W3CDTF">2024-09-17T16:01:17Z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0x0101006E56B4D1795A2E4DB2F0B01679ED314A0089E8CF19C7A73F4BA3CB070A6299EF20</vt:lpwstr>
  </property>
  <property fmtid="{D5CDD505-2E9C-101B-9397-08002B2CF9AE}" pid="5" name="_docset_NoMedatataSyncRequired">
    <vt:lpwstr>False</vt:lpwstr>
  </property>
</Properties>
</file>