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3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4\WA PGA\EDIT\"/>
    </mc:Choice>
  </mc:AlternateContent>
  <xr:revisionPtr revIDLastSave="0" documentId="13_ncr:1_{A84C25E1-23CC-46D9-A9E1-7A6D2E99D681}" xr6:coauthVersionLast="47" xr6:coauthVersionMax="47" xr10:uidLastSave="{00000000-0000-0000-0000-000000000000}"/>
  <bookViews>
    <workbookView xWindow="-120" yWindow="-120" windowWidth="29040" windowHeight="15840" activeTab="4" xr2:uid="{C3021D4B-1AF6-4F4A-A270-1AC1B6F284DE}"/>
  </bookViews>
  <sheets>
    <sheet name="582 Table of Contents" sheetId="1" r:id="rId1"/>
    <sheet name="Unprotected Cost Allocation" sheetId="2" r:id="rId2"/>
    <sheet name="Unpro. Amount Change" sheetId="3" r:id="rId3"/>
    <sheet name="Effects of UPT Avg. Bill" sheetId="4" r:id="rId4"/>
    <sheet name="Unprot. Proposed Rate Adj." sheetId="5" r:id="rId5"/>
    <sheet name="47WA.2540." sheetId="6" r:id="rId6"/>
    <sheet name="Test Period Volumes" sheetId="7" r:id="rId7"/>
    <sheet name="Bills-Therms-Revs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5">#REF!</definedName>
    <definedName name="\0" localSheetId="4">#REF!</definedName>
    <definedName name="\0">#REF!</definedName>
    <definedName name="\a" localSheetId="5">#REF!</definedName>
    <definedName name="\a">#REF!</definedName>
    <definedName name="\b">#REF!</definedName>
    <definedName name="\bb" localSheetId="2">'[1]Input Data'!$C$181</definedName>
    <definedName name="\bb" localSheetId="4">'[1]Input Data'!$C$181</definedName>
    <definedName name="\bb">'[1]Input Data'!$C$181</definedName>
    <definedName name="\c" localSheetId="2">#REF!</definedName>
    <definedName name="\c" localSheetId="4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 localSheetId="2">'[1]Input Data'!#REF!</definedName>
    <definedName name="\zzz" localSheetId="4">'[1]Input Data'!#REF!</definedName>
    <definedName name="\zzz">'[1]Input Data'!#REF!</definedName>
    <definedName name="___apr99" localSheetId="4">'[2]185'!#REF!</definedName>
    <definedName name="___apr99">'[2]185'!#REF!</definedName>
    <definedName name="___re22" localSheetId="4">'[3]St.of Op. '!$B$807:$N$817</definedName>
    <definedName name="___re22">'[3]St.of Op. '!$B$807:$N$817</definedName>
    <definedName name="___y1212" localSheetId="4">[3]Actual.Rev!$C$1036:$O$1049</definedName>
    <definedName name="___y1212">[3]Actual.Rev!$C$1036:$O$1049</definedName>
    <definedName name="__apr98">[4]Detail!$B$822:$N$832</definedName>
    <definedName name="__aug98">[5]Detail!$C$280:$K$285</definedName>
    <definedName name="__Aug99" localSheetId="5">[6]Detail!$B$1198:$N$1212</definedName>
    <definedName name="__Aug99" localSheetId="4">[7]Detail!$B$1198:$N$1212</definedName>
    <definedName name="__Aug99">[6]Detail!$B$1198:$N$1212</definedName>
    <definedName name="__dec98">[5]Detail!$C$310:$K$315</definedName>
    <definedName name="__dec99" localSheetId="5">[6]Detail!$B$1265:$N$1324</definedName>
    <definedName name="__dec99" localSheetId="4">[7]Detail!$B$1265:$N$1324</definedName>
    <definedName name="__dec99">[6]Detail!$B$1265:$N$1324</definedName>
    <definedName name="__feb98">[4]Detail!$B$796:$I$806</definedName>
    <definedName name="__FEB99" localSheetId="5">'[8]185'!#REF!</definedName>
    <definedName name="__FEB99" localSheetId="4">'[2]185'!#REF!</definedName>
    <definedName name="__FEB99">'[8]185'!#REF!</definedName>
    <definedName name="__jan98">[4]Detail!$B$783:$N$793</definedName>
    <definedName name="__jan99" localSheetId="5">'[8]185'!#REF!</definedName>
    <definedName name="__jan99" localSheetId="4">'[2]185'!#REF!</definedName>
    <definedName name="__jan99">'[8]185'!#REF!</definedName>
    <definedName name="__jul98">[5]Detail!$C$271:$K$276</definedName>
    <definedName name="__jul99" localSheetId="5">[6]Detail!$B$1180:$N$1194</definedName>
    <definedName name="__jul99" localSheetId="4">[7]Detail!$B$1180:$N$1194</definedName>
    <definedName name="__jul99">[6]Detail!$B$1180:$N$1194</definedName>
    <definedName name="__jun98">[4]Detail!$B$848:$N$859</definedName>
    <definedName name="__mar98">[4]Detail!$B$809:$N$819</definedName>
    <definedName name="__MAR99" localSheetId="5">'[8]185'!#REF!</definedName>
    <definedName name="__MAR99" localSheetId="4">'[2]185'!#REF!</definedName>
    <definedName name="__MAR99">'[8]185'!#REF!</definedName>
    <definedName name="__may98">[4]Detail!$B$835:$N$845</definedName>
    <definedName name="__may99" localSheetId="5">'[8]185'!#REF!</definedName>
    <definedName name="__may99" localSheetId="4">'[2]185'!#REF!</definedName>
    <definedName name="__may99">'[8]185'!#REF!</definedName>
    <definedName name="__nov98">[5]Detail!$C$303:$K$308</definedName>
    <definedName name="__nov99" localSheetId="5">[6]Detail!$B$1248:$N$1262</definedName>
    <definedName name="__nov99" localSheetId="4">[7]Detail!$B$1248:$N$1262</definedName>
    <definedName name="__nov99">[6]Detail!$B$1248:$N$1262</definedName>
    <definedName name="__oct98">[5]Detail!$C$296:$K$301</definedName>
    <definedName name="__oct99" localSheetId="5">[6]Detail!$B$1232:$N$1246</definedName>
    <definedName name="__oct99" localSheetId="4">[7]Detail!$B$1232:$N$1246</definedName>
    <definedName name="__oct99">[6]Detail!$B$1232:$N$1246</definedName>
    <definedName name="__sep98">[5]Detail!$C$288:$K$293</definedName>
    <definedName name="__sep99" localSheetId="5">[6]Detail!$B$1215:$N$1229</definedName>
    <definedName name="__sep99" localSheetId="4">[7]Detail!$B$1215:$N$1229</definedName>
    <definedName name="__sep99">[6]Detail!$B$1215:$N$1229</definedName>
    <definedName name="_12_91" localSheetId="2">#REF!</definedName>
    <definedName name="_12_91" localSheetId="4">#REF!</definedName>
    <definedName name="_12_91">#REF!</definedName>
    <definedName name="_1994DD" localSheetId="2">#REF!</definedName>
    <definedName name="_1994DD">#REF!</definedName>
    <definedName name="_228" localSheetId="2">'[9]Interest Rates'!#REF!</definedName>
    <definedName name="_228" localSheetId="4">'[9]Interest Rates'!#REF!</definedName>
    <definedName name="_228">'[9]Interest Rates'!#REF!</definedName>
    <definedName name="_230" localSheetId="2">'[9]Interest Rates'!#REF!</definedName>
    <definedName name="_230" localSheetId="4">'[9]Interest Rates'!#REF!</definedName>
    <definedName name="_230">'[9]Interest Rates'!#REF!</definedName>
    <definedName name="_244" localSheetId="2">'[10]Int Rates'!#REF!</definedName>
    <definedName name="_244" localSheetId="4">'[10]Int Rates'!#REF!</definedName>
    <definedName name="_244">'[10]Int Rates'!#REF!</definedName>
    <definedName name="_246" localSheetId="2">'[10]Int Rates'!#REF!</definedName>
    <definedName name="_246" localSheetId="4">'[10]Int Rates'!#REF!</definedName>
    <definedName name="_246">'[10]Int Rates'!#REF!</definedName>
    <definedName name="_4000" localSheetId="2">#REF!</definedName>
    <definedName name="_4000" localSheetId="4">#REF!</definedName>
    <definedName name="_4000">#REF!</definedName>
    <definedName name="_403" localSheetId="2">#REF!</definedName>
    <definedName name="_403">#REF!</definedName>
    <definedName name="_4030" localSheetId="2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pr99" localSheetId="2">'[2]185'!#REF!</definedName>
    <definedName name="_AUG92" localSheetId="2">#REF!</definedName>
    <definedName name="_AUG92" localSheetId="4">#REF!</definedName>
    <definedName name="_AUG92">#REF!</definedName>
    <definedName name="_DEC91" localSheetId="4">#REF!</definedName>
    <definedName name="_DEC91">#REF!</definedName>
    <definedName name="_JUL92" localSheetId="2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re22" localSheetId="2">'[3]St.of Op. '!$B$807:$N$817</definedName>
    <definedName name="_SEP92" localSheetId="2">#REF!</definedName>
    <definedName name="_SEP92" localSheetId="4">#REF!</definedName>
    <definedName name="_SEP92">#REF!</definedName>
    <definedName name="_WA321" localSheetId="4">#REF!</definedName>
    <definedName name="_WA321">#REF!</definedName>
    <definedName name="_WA324">#REF!</definedName>
    <definedName name="_WA325">#REF!</definedName>
    <definedName name="_y1212" localSheetId="2">[3]Actual.Rev!$C$1036:$O$1049</definedName>
    <definedName name="AGREE" localSheetId="2">[11]SETUP!#REF!</definedName>
    <definedName name="AGREE" localSheetId="4">[11]SETUP!#REF!</definedName>
    <definedName name="AGREE">[11]SETUP!#REF!</definedName>
    <definedName name="alc" localSheetId="2">[12]SETUP!#REF!</definedName>
    <definedName name="alc" localSheetId="4">[12]SETUP!#REF!</definedName>
    <definedName name="alc">[12]SETUP!#REF!</definedName>
    <definedName name="ALCOA1" localSheetId="2">[11]SETUP!#REF!</definedName>
    <definedName name="ALCOA1" localSheetId="4">[11]SETUP!#REF!</definedName>
    <definedName name="ALCOA1">[11]SETUP!#REF!</definedName>
    <definedName name="ALCOA2" localSheetId="2">[11]SETUP!#REF!</definedName>
    <definedName name="ALCOA2" localSheetId="4">[11]SETUP!#REF!</definedName>
    <definedName name="ALCOA2">[11]SETUP!#REF!</definedName>
    <definedName name="BalancesJuly" localSheetId="4">#REF!</definedName>
    <definedName name="BalancesJuly">#REF!</definedName>
    <definedName name="BEGINNING">#N/A</definedName>
    <definedName name="BELLINGHAM_24_H" localSheetId="4">#REF!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 localSheetId="5">[13]SETUP!#REF!</definedName>
    <definedName name="BUYSELL" localSheetId="4">[11]SETUP!#REF!</definedName>
    <definedName name="BUYSELL">[13]SETUP!#REF!</definedName>
    <definedName name="C_" localSheetId="2">#REF!</definedName>
    <definedName name="C_" localSheetId="4">#REF!</definedName>
    <definedName name="C_">#REF!</definedName>
    <definedName name="canadian_toll_DataTable" localSheetId="2">#REF!</definedName>
    <definedName name="canadian_toll_DataTable">#REF!</definedName>
    <definedName name="Canadian_tolls_DataTable" localSheetId="2">#REF!</definedName>
    <definedName name="Canadian_tolls_DataTable">#REF!</definedName>
    <definedName name="CAP" localSheetId="5">'[14]Int Rates'!#REF!</definedName>
    <definedName name="CAP" localSheetId="2">'[14]Int Rates'!#REF!</definedName>
    <definedName name="CAP" localSheetId="4">'[10]Int Rates'!#REF!</definedName>
    <definedName name="CAP">'[14]Int Rates'!#REF!</definedName>
    <definedName name="CENTRAL_STORES" localSheetId="2">#REF!</definedName>
    <definedName name="CENTRAL_STORES" localSheetId="4">#REF!</definedName>
    <definedName name="CENTRAL_STORES">#REF!</definedName>
    <definedName name="Citygate_all_monts_DataTable" localSheetId="2">#REF!</definedName>
    <definedName name="Citygate_all_monts_DataTable">#REF!</definedName>
    <definedName name="Citygate_DataTable" localSheetId="2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 localSheetId="5">[13]SETUP!#REF!</definedName>
    <definedName name="CUST" localSheetId="4">[11]SETUP!#REF!</definedName>
    <definedName name="CUST">[13]SETUP!#REF!</definedName>
    <definedName name="Daily_Flow_DataTable" localSheetId="2">#REF!</definedName>
    <definedName name="Daily_Flow_DataTable" localSheetId="4">#REF!</definedName>
    <definedName name="Daily_Flow_DataTable">#REF!</definedName>
    <definedName name="Data">'[15]Section 7 Storage History'!$D$7:$W$102</definedName>
    <definedName name="_xlnm.Database" localSheetId="2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>#REF!</definedName>
    <definedName name="DAY" localSheetId="5">[13]SETUP!#REF!</definedName>
    <definedName name="DAY" localSheetId="4">[11]SETUP!#REF!</definedName>
    <definedName name="DAY">[13]SETUP!#REF!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 localSheetId="4">#REF!</definedName>
    <definedName name="EstimatedBalances">#REF!</definedName>
    <definedName name="FERC" localSheetId="4">#REF!</definedName>
    <definedName name="FERC">#REF!</definedName>
    <definedName name="FERC320A" localSheetId="4">#REF!</definedName>
    <definedName name="FERC320A">#REF!</definedName>
    <definedName name="FERC321">#REF!</definedName>
    <definedName name="FERC324">#REF!</definedName>
    <definedName name="FERC325">#REF!</definedName>
    <definedName name="FERCINT05">'[16]New FERC Int. Rates'!$A$44:$C$55</definedName>
    <definedName name="FERCINT06">'[16]New FERC Int. Rates'!$A$56:$C$67</definedName>
    <definedName name="FERCINT07" localSheetId="2">'[17]New FERC Int. Rates'!$A$68:$C$79</definedName>
    <definedName name="FERCINT07">'[17]New FERC Int. Rates'!$A$68:$C$79</definedName>
    <definedName name="FERCINT08" localSheetId="2">'[17]New FERC Int. Rates'!$A$80:$C$94</definedName>
    <definedName name="FERCINT08">'[17]New FERC Int. Rates'!$A$80:$C$94</definedName>
    <definedName name="FERCINT09" localSheetId="2">'[17]New FERC Int. Rates'!$A$95:$C$106</definedName>
    <definedName name="FERCINT09">'[17]New FERC Int. Rates'!$A$95:$C$106</definedName>
    <definedName name="FERCINT10">'[16]New FERC Int. Rates'!$A$107:$C$118</definedName>
    <definedName name="FERCINTRATE" localSheetId="2">'[17]New FERC Int. Rates'!$A$5:$C$10</definedName>
    <definedName name="FERCINTRATE">'[17]New FERC Int. Rates'!$A$5:$C$10</definedName>
    <definedName name="FERCINTRATE02" localSheetId="2">'[17]New FERC Int. Rates'!$A$11:$C$22</definedName>
    <definedName name="FERCINTRATE02">'[17]New FERC Int. Rates'!$A$11:$C$22</definedName>
    <definedName name="FERCINTRATE03">'[16]New FERC Int. Rates'!$A$23:$C$34</definedName>
    <definedName name="FERCOR" localSheetId="2">#REF!</definedName>
    <definedName name="FERCOR" localSheetId="4">#REF!</definedName>
    <definedName name="FERCOR">#REF!</definedName>
    <definedName name="FERCWA" localSheetId="2">#REF!</definedName>
    <definedName name="FERCWA">#REF!</definedName>
    <definedName name="FILE" localSheetId="2">[18]input!$C$4</definedName>
    <definedName name="FILE">[18]input!$C$4</definedName>
    <definedName name="FIT" localSheetId="2">[18]input!$C$16</definedName>
    <definedName name="FIT" localSheetId="4">[18]input!$C$16</definedName>
    <definedName name="FIT">[18]input!$C$16</definedName>
    <definedName name="FITRBADJ" localSheetId="2">[18]input!$C$52</definedName>
    <definedName name="FITRBADJ" localSheetId="4">[18]input!$C$52</definedName>
    <definedName name="FITRBADJ">[18]input!$C$52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 localSheetId="5">[19]Notes!#REF!</definedName>
    <definedName name="GC" localSheetId="4">[20]Notes!#REF!</definedName>
    <definedName name="GC">[19]Notes!#REF!</definedName>
    <definedName name="gcnew" localSheetId="4">[21]Notes!#REF!</definedName>
    <definedName name="gcnew">[21]Notes!#REF!</definedName>
    <definedName name="GEN_OFFICE" localSheetId="2">#REF!</definedName>
    <definedName name="GEN_OFFICE" localSheetId="4">#REF!</definedName>
    <definedName name="GEN_OFFICE">#REF!</definedName>
    <definedName name="HOQUIAM_24_HR_A" localSheetId="2">#REF!</definedName>
    <definedName name="HOQUIAM_24_HR_A">#REF!</definedName>
    <definedName name="HOQUIAM_MAX">#REF!</definedName>
    <definedName name="HOQUIAM_MAX_MIN">#REF!</definedName>
    <definedName name="HOQUIAM_MIN">#REF!</definedName>
    <definedName name="I" localSheetId="5">[13]SETUP!#REF!</definedName>
    <definedName name="I" localSheetId="4">[11]SETUP!#REF!</definedName>
    <definedName name="I">[13]SETUP!#REF!</definedName>
    <definedName name="ID" localSheetId="2">'[22]JTS-5 S1p1'!#REF!</definedName>
    <definedName name="ID" localSheetId="4">'[22]JTS-5 S1p1'!#REF!</definedName>
    <definedName name="ID">'[22]JTS-5 S1p1'!#REF!</definedName>
    <definedName name="IMPORT" localSheetId="2">#REF!</definedName>
    <definedName name="IMPORT" localSheetId="4">#REF!</definedName>
    <definedName name="IMPORT">#REF!</definedName>
    <definedName name="INCOMETAX" localSheetId="2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 localSheetId="2">'[23]Interest Rates'!$A$231:$C$245</definedName>
    <definedName name="INTCY08" localSheetId="4">'[23]Interest Rates'!$A$231:$C$245</definedName>
    <definedName name="INTCY08">'[23]Interest Rates'!$A$231:$C$245</definedName>
    <definedName name="IntCY09" localSheetId="2">'[24]Interest Rates-new amort'!$A$246:$C$267</definedName>
    <definedName name="IntCY09" localSheetId="4">'[24]Interest Rates-new amort'!$A$246:$C$267</definedName>
    <definedName name="IntCY09">'[24]Interest Rates-new amort'!$A$246:$C$267</definedName>
    <definedName name="intdate" localSheetId="5">'[25]Interest Rates'!$A$5:$C$159</definedName>
    <definedName name="intdate" localSheetId="4">'[26]Interest Rates'!$A$5:$C$159</definedName>
    <definedName name="intdate">'[25]Interest Rates'!$A$5:$C$159</definedName>
    <definedName name="InterestDuringAmort" localSheetId="4">#REF!</definedName>
    <definedName name="InterestDuringAmort">#REF!</definedName>
    <definedName name="INTERSTATE" localSheetId="2">#REF!</definedName>
    <definedName name="INTERSTATE">#REF!</definedName>
    <definedName name="INTFY05">'[16]Int Rates DO NOT USE'!$A$176:$C$187</definedName>
    <definedName name="INTFY06">'[16]Int Rates DO NOT USE'!$A$188:$C$199</definedName>
    <definedName name="INTFY07" localSheetId="2">'[23]Interest Rates'!$A$218:$C$230</definedName>
    <definedName name="INTFY07">'[23]Interest Rates'!$A$218:$C$230</definedName>
    <definedName name="JANSEP">#N/A</definedName>
    <definedName name="jjjj" localSheetId="2">'[3]Actual therms'!#REF!</definedName>
    <definedName name="jjjj" localSheetId="4">'[3]Actual therms'!#REF!</definedName>
    <definedName name="jjjj">'[3]Actual therms'!#REF!</definedName>
    <definedName name="jjjjjjjjj" localSheetId="2">'[3]Actual therms'!#REF!</definedName>
    <definedName name="jjjjjjjjj" localSheetId="4">'[3]Actual therms'!#REF!</definedName>
    <definedName name="jjjjjjjjj">'[3]Actual therms'!#REF!</definedName>
    <definedName name="JRS" localSheetId="2">#REF!</definedName>
    <definedName name="JRS" localSheetId="4">#REF!</definedName>
    <definedName name="JRS">#REF!</definedName>
    <definedName name="july_int_rate" localSheetId="2">'[27]July Int Rate for Amort'!$B$17</definedName>
    <definedName name="july_int_rate">'[27]July Int Rate for Amort'!$B$17</definedName>
    <definedName name="kkkkkk" localSheetId="2">[3]Bills!#REF!</definedName>
    <definedName name="kkkkkk" localSheetId="4">[3]Bills!#REF!</definedName>
    <definedName name="kkkkkk">[3]Bills!#REF!</definedName>
    <definedName name="LEGEND" localSheetId="2">#REF!</definedName>
    <definedName name="LEGEND" localSheetId="4">#REF!</definedName>
    <definedName name="LEGEND">#REF!</definedName>
    <definedName name="llllll" localSheetId="2">[3]Bills!#REF!</definedName>
    <definedName name="llllll" localSheetId="4">[3]Bills!#REF!</definedName>
    <definedName name="llllll">[3]Bills!#REF!</definedName>
    <definedName name="M" localSheetId="5">[13]SETUP!#REF!</definedName>
    <definedName name="M" localSheetId="4">[11]SETUP!#REF!</definedName>
    <definedName name="M">[13]SETUP!#REF!</definedName>
    <definedName name="M___R" localSheetId="2">#REF!</definedName>
    <definedName name="M___R" localSheetId="4">#REF!</definedName>
    <definedName name="M___R">#REF!</definedName>
    <definedName name="MACRO">#N/A</definedName>
    <definedName name="MACROS" localSheetId="2">#REF!</definedName>
    <definedName name="MACROS" localSheetId="4">#REF!</definedName>
    <definedName name="MACROS">#REF!</definedName>
    <definedName name="MAIN_AB" localSheetId="4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 localSheetId="5">[13]SETUP!#REF!</definedName>
    <definedName name="N" localSheetId="4">[11]SETUP!#REF!</definedName>
    <definedName name="N">[13]SETUP!#REF!</definedName>
    <definedName name="NCT" localSheetId="5">[13]SETUP!#REF!</definedName>
    <definedName name="NCT" localSheetId="4">[11]SETUP!#REF!</definedName>
    <definedName name="NCT">[13]SETUP!#REF!</definedName>
    <definedName name="new" localSheetId="2">#REF!</definedName>
    <definedName name="new" localSheetId="4">#REF!</definedName>
    <definedName name="new">#REF!</definedName>
    <definedName name="new_int" localSheetId="4">#REF!</definedName>
    <definedName name="new_int">#REF!</definedName>
    <definedName name="njnjn" localSheetId="2">#REF!</definedName>
    <definedName name="njnjn">#REF!</definedName>
    <definedName name="NN" localSheetId="5">[13]SETUP!#REF!</definedName>
    <definedName name="NN" localSheetId="4">[11]SETUP!#REF!</definedName>
    <definedName name="NN">[13]SETUP!#REF!</definedName>
    <definedName name="nnnnn" localSheetId="2">[3]Bills!#REF!</definedName>
    <definedName name="nnnnn">[3]Bills!#REF!</definedName>
    <definedName name="Oct_07">"INTCY08"</definedName>
    <definedName name="OF" localSheetId="5">[13]SETUP!#REF!</definedName>
    <definedName name="OF" localSheetId="4">[11]SETUP!#REF!</definedName>
    <definedName name="OF">[13]SETUP!#REF!</definedName>
    <definedName name="old_int" localSheetId="2">#REF!</definedName>
    <definedName name="old_int" localSheetId="4">#REF!</definedName>
    <definedName name="old_int">#REF!</definedName>
    <definedName name="OR" localSheetId="2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 localSheetId="2">[18]input!$C$18</definedName>
    <definedName name="OTI" localSheetId="4">[18]input!$C$18</definedName>
    <definedName name="OTI">[18]input!$C$18</definedName>
    <definedName name="OVER" localSheetId="5">[13]SETUP!#REF!</definedName>
    <definedName name="OVER" localSheetId="4">[11]SETUP!#REF!</definedName>
    <definedName name="OVER">[13]SETUP!#REF!</definedName>
    <definedName name="Page1" localSheetId="2">#REF!</definedName>
    <definedName name="Page1" localSheetId="4">#REF!</definedName>
    <definedName name="Page1">#REF!</definedName>
    <definedName name="Page2" localSheetId="2">#REF!</definedName>
    <definedName name="Page2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 localSheetId="2">[18]input!$C$12</definedName>
    <definedName name="PFU" localSheetId="4">[18]input!$C$12</definedName>
    <definedName name="PFU">[18]input!$C$12</definedName>
    <definedName name="PGAPeriodVolumes" localSheetId="5">'[28]Test Period Volumes'!#REF!</definedName>
    <definedName name="PGAPeriodVolumes" localSheetId="4">'[29]Test Period Volumes'!#REF!</definedName>
    <definedName name="PGAPeriodVolumes">'Test Period Volumes'!#REF!</definedName>
    <definedName name="pint3" localSheetId="5">'47WA.2540.'!pint3</definedName>
    <definedName name="pint3" localSheetId="2">'Unpro. Amount Change'!pint3</definedName>
    <definedName name="pint3" localSheetId="4">'Unprot. Proposed Rate Adj.'!pint3</definedName>
    <definedName name="pint3">[0]!pint3</definedName>
    <definedName name="pint3r" localSheetId="5">'47WA.2540.'!pint3r</definedName>
    <definedName name="pint3r" localSheetId="2">'Unpro. Amount Change'!pint3r</definedName>
    <definedName name="pint3r" localSheetId="4">'Unprot. Proposed Rate Adj.'!pint3r</definedName>
    <definedName name="pint3r">[0]!pint3r</definedName>
    <definedName name="ppopo" localSheetId="2">#REF!</definedName>
    <definedName name="ppopo" localSheetId="4">#REF!</definedName>
    <definedName name="ppopo">#REF!</definedName>
    <definedName name="ppppp" localSheetId="2">#REF!</definedName>
    <definedName name="ppppp">#REF!</definedName>
    <definedName name="PRINT" localSheetId="2">#REF!</definedName>
    <definedName name="PRINT">#REF!</definedName>
    <definedName name="_xlnm.Print_Area" localSheetId="0">'582 Table of Contents'!$A$1:$F$21</definedName>
    <definedName name="_xlnm.Print_Area" localSheetId="7">'Bills-Therms-Revs'!$A$1:$J$47</definedName>
    <definedName name="_xlnm.Print_Area" localSheetId="3">'Effects of UPT Avg. Bill'!$A$1:$K$42</definedName>
    <definedName name="_xlnm.Print_Area" localSheetId="6">'Test Period Volumes'!$B$1:$I$36</definedName>
    <definedName name="_xlnm.Print_Area" localSheetId="2">'Unpro. Amount Change'!$A$1:$L$26</definedName>
    <definedName name="_xlnm.Print_Area" localSheetId="4">'Unprot. Proposed Rate Adj.'!$A$1:$L$29</definedName>
    <definedName name="_xlnm.Print_Area" localSheetId="1">'Unprotected Cost Allocation'!$A$1:$L$28</definedName>
    <definedName name="Print_Area_MI" localSheetId="5">#REF!</definedName>
    <definedName name="Print_Area_MI" localSheetId="2">#REF!</definedName>
    <definedName name="Print_Area_MI" localSheetId="4">#REF!</definedName>
    <definedName name="Print_Area_MI">#REF!</definedName>
    <definedName name="print1" localSheetId="5">[14]!print1</definedName>
    <definedName name="print1" localSheetId="4">[10]!print1</definedName>
    <definedName name="print1">[14]!print1</definedName>
    <definedName name="print10" localSheetId="5">'47WA.2540.'!print10</definedName>
    <definedName name="print10" localSheetId="2">'Unpro. Amount Change'!print10</definedName>
    <definedName name="print10" localSheetId="4">'Unprot. Proposed Rate Adj.'!print10</definedName>
    <definedName name="print10">[0]!print10</definedName>
    <definedName name="print2" localSheetId="5">[14]!print2</definedName>
    <definedName name="print2" localSheetId="4">[10]!print2</definedName>
    <definedName name="print2">[14]!print2</definedName>
    <definedName name="print3" localSheetId="5">[14]!print3</definedName>
    <definedName name="print3" localSheetId="4">[10]!print3</definedName>
    <definedName name="print3">[14]!print3</definedName>
    <definedName name="pzint3" localSheetId="5">'47WA.2540.'!pzint3</definedName>
    <definedName name="pzint3" localSheetId="2">'Unpro. Amount Change'!pzint3</definedName>
    <definedName name="pzint3" localSheetId="4">'Unprot. Proposed Rate Adj.'!pzint3</definedName>
    <definedName name="pzint3">[0]!pzint3</definedName>
    <definedName name="qqqq" localSheetId="2">#REF!</definedName>
    <definedName name="qqqq" localSheetId="4">#REF!</definedName>
    <definedName name="qqqq">#REF!</definedName>
    <definedName name="QUIT" localSheetId="2">#REF!</definedName>
    <definedName name="QUIT">#REF!</definedName>
    <definedName name="revsens" localSheetId="2">'[30]General Inputs'!$D$10</definedName>
    <definedName name="revsens">'[30]General Inputs'!$D$10</definedName>
    <definedName name="S" localSheetId="5">[13]SETUP!#REF!</definedName>
    <definedName name="S" localSheetId="4">[11]SETUP!#REF!</definedName>
    <definedName name="S">[13]SETUP!#REF!</definedName>
    <definedName name="SAVE" localSheetId="2">#REF!</definedName>
    <definedName name="SAVE" localSheetId="4">#REF!</definedName>
    <definedName name="SAVE">#REF!</definedName>
    <definedName name="scenario_2790_DataTable" localSheetId="2">#REF!</definedName>
    <definedName name="scenario_2790_DataTable">#REF!</definedName>
    <definedName name="Sheet1_DataTable" localSheetId="2">#REF!</definedName>
    <definedName name="Sheet1_DataTable">#REF!</definedName>
    <definedName name="Sheet3_DataTable">#REF!</definedName>
    <definedName name="Sheet5_DataTable">#REF!</definedName>
    <definedName name="SSPBILL" localSheetId="5">'[14]Int Rates'!#REF!</definedName>
    <definedName name="SSPBILL" localSheetId="4">'[10]Int Rates'!#REF!</definedName>
    <definedName name="SSPBILL">'[14]Int Rates'!#REF!</definedName>
    <definedName name="SSPREF" localSheetId="5">'[14]Int Rates'!#REF!</definedName>
    <definedName name="SSPREF" localSheetId="4">'[10]Int Rates'!#REF!</definedName>
    <definedName name="SSPREF">'[14]Int Rates'!#REF!</definedName>
    <definedName name="Storage_DataTable" localSheetId="2">#REF!</definedName>
    <definedName name="Storage_DataTable" localSheetId="4">#REF!</definedName>
    <definedName name="Storage_DataTable">#REF!</definedName>
    <definedName name="storage_info_DataTable" localSheetId="2">#REF!</definedName>
    <definedName name="storage_info_DataTable">#REF!</definedName>
    <definedName name="Storage_Inj_DataTable" localSheetId="2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 localSheetId="5">[13]SETUP!#REF!</definedName>
    <definedName name="T" localSheetId="4">[11]SETUP!#REF!</definedName>
    <definedName name="T">[13]SETUP!#REF!</definedName>
    <definedName name="TAXINT18" localSheetId="5">'[31]TAX Interest Rates'!$A$10:$C$21</definedName>
    <definedName name="TAXINT18">'[32]TAX Interest Rates'!$A$10:$C$21</definedName>
    <definedName name="TAXINT19" localSheetId="5">'[31]TAX Interest Rates'!$A$22:$C$33</definedName>
    <definedName name="TAXINT19">'[32]TAX Interest Rates'!$A$22:$C$33</definedName>
    <definedName name="TESTPERIOD" localSheetId="2">[18]input!$C$5</definedName>
    <definedName name="TESTPERIOD" localSheetId="4">[18]input!$C$5</definedName>
    <definedName name="TESTPERIOD">[18]input!$C$5</definedName>
    <definedName name="TestPeriodVolumes" localSheetId="5">'[28]Test Period Volumes'!#REF!</definedName>
    <definedName name="TestPeriodVolumes" localSheetId="4">'[29]Test Period Volumes'!#REF!</definedName>
    <definedName name="TestPeriodVolumes">'Test Period Volumes'!#REF!</definedName>
    <definedName name="TITLES" localSheetId="2">#REF!</definedName>
    <definedName name="TITLES" localSheetId="4">#REF!</definedName>
    <definedName name="TITLES">#REF!</definedName>
    <definedName name="TRANSPORT" localSheetId="5">[13]SETUP!#REF!</definedName>
    <definedName name="TRANSPORT" localSheetId="2">[13]SETUP!#REF!</definedName>
    <definedName name="TRANSPORT" localSheetId="4">[11]SETUP!#REF!</definedName>
    <definedName name="TRANSPORT">[13]SETUP!#REF!</definedName>
    <definedName name="Transport_DataTable" localSheetId="2">#REF!</definedName>
    <definedName name="Transport_DataTable" localSheetId="4">#REF!</definedName>
    <definedName name="Transport_DataTable">#REF!</definedName>
    <definedName name="Transport_Info_DataTable" localSheetId="2">#REF!</definedName>
    <definedName name="Transport_Info_DataTable">#REF!</definedName>
    <definedName name="TRNSPTREV" localSheetId="2">[18]input!$C$51</definedName>
    <definedName name="TRNSPTREV" localSheetId="4">[18]input!$C$51</definedName>
    <definedName name="TRNSPTREV">[18]input!$C$51</definedName>
    <definedName name="VARIANCE" localSheetId="2">#REF!</definedName>
    <definedName name="VARIANCE" localSheetId="4">#REF!</definedName>
    <definedName name="VARIANCE">#REF!</definedName>
    <definedName name="VARIANCEREVENUE" localSheetId="2">#REF!</definedName>
    <definedName name="VARIANCEREVENUE">#REF!</definedName>
    <definedName name="WA" localSheetId="2">#REF!</definedName>
    <definedName name="WA">#REF!</definedName>
    <definedName name="WA_3_FACTOR">#REF!</definedName>
    <definedName name="WA_CUST">#REF!</definedName>
    <definedName name="WA_PLANT">#REF!</definedName>
    <definedName name="wa_revsens" localSheetId="2">'[30]General Inputs'!$E$10</definedName>
    <definedName name="wa_revsens" localSheetId="4">'[30]General Inputs'!$E$10</definedName>
    <definedName name="wa_revsens">'[30]General Inputs'!$E$10</definedName>
    <definedName name="WA320A" localSheetId="5">#REF!</definedName>
    <definedName name="WA320A" localSheetId="2">#REF!</definedName>
    <definedName name="WA320A" localSheetId="4">#REF!</definedName>
    <definedName name="WA320A">#REF!</definedName>
    <definedName name="WACOG" localSheetId="2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 localSheetId="5">'47WA.2540.'!xyz5</definedName>
    <definedName name="xyz5" localSheetId="2">'Unpro. Amount Change'!xyz5</definedName>
    <definedName name="xyz5" localSheetId="4">'Unprot. Proposed Rate Adj.'!xyz5</definedName>
    <definedName name="xyz5">#N/A</definedName>
    <definedName name="YAKIMA_24_HR_AV" localSheetId="2">#REF!</definedName>
    <definedName name="YAKIMA_24_HR_AV" localSheetId="4">#REF!</definedName>
    <definedName name="YAKIMA_24_HR_AV">#REF!</definedName>
    <definedName name="YAKIMA_MAX" localSheetId="4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8" l="1"/>
  <c r="G46" i="8"/>
  <c r="F46" i="8"/>
  <c r="I39" i="8"/>
  <c r="G39" i="8"/>
  <c r="F39" i="8"/>
  <c r="I32" i="8"/>
  <c r="G32" i="8"/>
  <c r="F32" i="8"/>
  <c r="F40" i="8" s="1"/>
  <c r="F47" i="8" s="1"/>
  <c r="C30" i="8"/>
  <c r="C35" i="8" s="1"/>
  <c r="I26" i="8"/>
  <c r="G26" i="8"/>
  <c r="F26" i="8"/>
  <c r="C22" i="8"/>
  <c r="C31" i="8" s="1"/>
  <c r="C36" i="8" s="1"/>
  <c r="C21" i="8"/>
  <c r="F19" i="8"/>
  <c r="G16" i="8"/>
  <c r="G40" i="8" s="1"/>
  <c r="G47" i="8" s="1"/>
  <c r="F16" i="8"/>
  <c r="I12" i="8"/>
  <c r="I16" i="8" s="1"/>
  <c r="I35" i="7"/>
  <c r="H30" i="7"/>
  <c r="D30" i="7"/>
  <c r="H29" i="7"/>
  <c r="G29" i="7"/>
  <c r="F29" i="7"/>
  <c r="H28" i="7"/>
  <c r="F28" i="7"/>
  <c r="E28" i="7"/>
  <c r="D28" i="7"/>
  <c r="C28" i="7"/>
  <c r="H27" i="7"/>
  <c r="F27" i="7"/>
  <c r="D27" i="7"/>
  <c r="C27" i="7"/>
  <c r="H26" i="7"/>
  <c r="H25" i="7"/>
  <c r="G25" i="7"/>
  <c r="F25" i="7"/>
  <c r="E25" i="7"/>
  <c r="H24" i="7"/>
  <c r="H23" i="7"/>
  <c r="F23" i="7"/>
  <c r="D23" i="7"/>
  <c r="H22" i="7"/>
  <c r="D22" i="7"/>
  <c r="H21" i="7"/>
  <c r="H33" i="7" s="1"/>
  <c r="G21" i="7"/>
  <c r="G33" i="7" s="1"/>
  <c r="F21" i="7"/>
  <c r="F33" i="7" s="1"/>
  <c r="H20" i="7"/>
  <c r="D87" i="6" s="1"/>
  <c r="F20" i="7"/>
  <c r="F32" i="7" s="1"/>
  <c r="E20" i="7"/>
  <c r="E32" i="7" s="1"/>
  <c r="D20" i="7"/>
  <c r="D32" i="7" s="1"/>
  <c r="C20" i="7"/>
  <c r="C32" i="7" s="1"/>
  <c r="H19" i="7"/>
  <c r="H31" i="7" s="1"/>
  <c r="F19" i="7"/>
  <c r="F31" i="7" s="1"/>
  <c r="D19" i="7"/>
  <c r="D31" i="7" s="1"/>
  <c r="C19" i="7"/>
  <c r="C31" i="7" s="1"/>
  <c r="I17" i="7"/>
  <c r="F30" i="7" s="1"/>
  <c r="I16" i="7"/>
  <c r="D29" i="7" s="1"/>
  <c r="I15" i="7"/>
  <c r="G28" i="7" s="1"/>
  <c r="I14" i="7"/>
  <c r="G27" i="7" s="1"/>
  <c r="I13" i="7"/>
  <c r="F26" i="7" s="1"/>
  <c r="I12" i="7"/>
  <c r="D25" i="7" s="1"/>
  <c r="I11" i="7"/>
  <c r="G24" i="7" s="1"/>
  <c r="I10" i="7"/>
  <c r="D78" i="6" s="1"/>
  <c r="I9" i="7"/>
  <c r="F22" i="7" s="1"/>
  <c r="I8" i="7"/>
  <c r="D21" i="7" s="1"/>
  <c r="D33" i="7" s="1"/>
  <c r="I7" i="7"/>
  <c r="G20" i="7" s="1"/>
  <c r="G32" i="7" s="1"/>
  <c r="I6" i="7"/>
  <c r="G19" i="7" s="1"/>
  <c r="G31" i="7" s="1"/>
  <c r="E93" i="6"/>
  <c r="E94" i="6" s="1"/>
  <c r="F93" i="6" s="1"/>
  <c r="F94" i="6" s="1"/>
  <c r="G93" i="6" s="1"/>
  <c r="G94" i="6" s="1"/>
  <c r="H93" i="6" s="1"/>
  <c r="H94" i="6" s="1"/>
  <c r="I93" i="6" s="1"/>
  <c r="I94" i="6" s="1"/>
  <c r="J93" i="6" s="1"/>
  <c r="I92" i="6"/>
  <c r="H92" i="6"/>
  <c r="G92" i="6"/>
  <c r="F92" i="6"/>
  <c r="K92" i="6" s="1"/>
  <c r="D86" i="6"/>
  <c r="D85" i="6"/>
  <c r="D84" i="6"/>
  <c r="D83" i="6"/>
  <c r="F82" i="6"/>
  <c r="D82" i="6"/>
  <c r="F81" i="6"/>
  <c r="F80" i="6"/>
  <c r="D80" i="6"/>
  <c r="F79" i="6"/>
  <c r="F78" i="6"/>
  <c r="D77" i="6"/>
  <c r="D76" i="6"/>
  <c r="D75" i="6"/>
  <c r="D74" i="6"/>
  <c r="F73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E47" i="6"/>
  <c r="E46" i="6"/>
  <c r="E45" i="6"/>
  <c r="E44" i="6"/>
  <c r="E43" i="6"/>
  <c r="E42" i="6"/>
  <c r="E41" i="6"/>
  <c r="E21" i="6"/>
  <c r="E20" i="6"/>
  <c r="E19" i="6"/>
  <c r="E18" i="6"/>
  <c r="E17" i="6"/>
  <c r="E16" i="6"/>
  <c r="E15" i="6"/>
  <c r="E14" i="6"/>
  <c r="I13" i="6"/>
  <c r="G14" i="6" s="1"/>
  <c r="H12" i="6"/>
  <c r="G28" i="5"/>
  <c r="G16" i="5"/>
  <c r="L11" i="5"/>
  <c r="K11" i="5"/>
  <c r="J11" i="5"/>
  <c r="I11" i="5"/>
  <c r="H11" i="5"/>
  <c r="G11" i="5"/>
  <c r="K2" i="5"/>
  <c r="G39" i="4"/>
  <c r="G38" i="4"/>
  <c r="G42" i="4" s="1"/>
  <c r="D35" i="4"/>
  <c r="F34" i="4"/>
  <c r="F33" i="4"/>
  <c r="E32" i="4"/>
  <c r="G33" i="4" s="1"/>
  <c r="G35" i="4" s="1"/>
  <c r="D30" i="4"/>
  <c r="F29" i="4"/>
  <c r="F28" i="4"/>
  <c r="F27" i="4"/>
  <c r="E26" i="4"/>
  <c r="G27" i="4" s="1"/>
  <c r="G30" i="4" s="1"/>
  <c r="D24" i="4"/>
  <c r="G22" i="4" s="1"/>
  <c r="F23" i="4"/>
  <c r="F22" i="4"/>
  <c r="F21" i="4"/>
  <c r="E20" i="4"/>
  <c r="G21" i="4" s="1"/>
  <c r="F18" i="4"/>
  <c r="G18" i="4" s="1"/>
  <c r="E18" i="4"/>
  <c r="D18" i="4"/>
  <c r="H16" i="4"/>
  <c r="F16" i="4"/>
  <c r="E16" i="4"/>
  <c r="D16" i="4"/>
  <c r="F11" i="4"/>
  <c r="G11" i="4" s="1"/>
  <c r="K10" i="4"/>
  <c r="I10" i="4"/>
  <c r="D9" i="4"/>
  <c r="J2" i="4"/>
  <c r="H23" i="3"/>
  <c r="H24" i="3" s="1"/>
  <c r="E23" i="3"/>
  <c r="E24" i="3" s="1"/>
  <c r="H20" i="3"/>
  <c r="E20" i="3"/>
  <c r="H19" i="3"/>
  <c r="E19" i="3"/>
  <c r="H18" i="3"/>
  <c r="E18" i="3"/>
  <c r="H17" i="3"/>
  <c r="E17" i="3"/>
  <c r="J16" i="3"/>
  <c r="E16" i="3"/>
  <c r="E21" i="3" s="1"/>
  <c r="J1" i="3"/>
  <c r="J1" i="4" s="1"/>
  <c r="K1" i="5" s="1"/>
  <c r="H24" i="2"/>
  <c r="I20" i="5" s="1"/>
  <c r="I28" i="5" s="1"/>
  <c r="F24" i="2"/>
  <c r="J17" i="3" s="1"/>
  <c r="H18" i="4" s="1"/>
  <c r="D24" i="2"/>
  <c r="D20" i="2"/>
  <c r="H18" i="2"/>
  <c r="I18" i="2" s="1"/>
  <c r="F18" i="2"/>
  <c r="G24" i="4" l="1"/>
  <c r="I16" i="4"/>
  <c r="G16" i="4"/>
  <c r="I18" i="4"/>
  <c r="J18" i="4" s="1"/>
  <c r="K18" i="4" s="1"/>
  <c r="I14" i="6"/>
  <c r="E26" i="3"/>
  <c r="I40" i="8"/>
  <c r="I47" i="8" s="1"/>
  <c r="H16" i="3"/>
  <c r="H21" i="3" s="1"/>
  <c r="H26" i="3" s="1"/>
  <c r="I24" i="2"/>
  <c r="J18" i="2"/>
  <c r="D81" i="6"/>
  <c r="D88" i="6"/>
  <c r="E21" i="7"/>
  <c r="E33" i="7" s="1"/>
  <c r="G22" i="7"/>
  <c r="C24" i="7"/>
  <c r="G26" i="7"/>
  <c r="E29" i="7"/>
  <c r="G30" i="7"/>
  <c r="D24" i="7"/>
  <c r="D79" i="6"/>
  <c r="C23" i="7"/>
  <c r="E24" i="7"/>
  <c r="F24" i="7"/>
  <c r="F35" i="7" s="1"/>
  <c r="F20" i="2"/>
  <c r="E19" i="7"/>
  <c r="E31" i="7" s="1"/>
  <c r="C22" i="7"/>
  <c r="E23" i="7"/>
  <c r="C26" i="7"/>
  <c r="E27" i="7"/>
  <c r="C30" i="7"/>
  <c r="D26" i="7"/>
  <c r="D35" i="7" s="1"/>
  <c r="H32" i="7"/>
  <c r="H35" i="7" s="1"/>
  <c r="H20" i="2"/>
  <c r="H18" i="5"/>
  <c r="H28" i="5" s="1"/>
  <c r="J92" i="6"/>
  <c r="J94" i="6" s="1"/>
  <c r="K93" i="6" s="1"/>
  <c r="K94" i="6" s="1"/>
  <c r="F9" i="2" s="1"/>
  <c r="C21" i="7"/>
  <c r="C33" i="7" s="1"/>
  <c r="E22" i="7"/>
  <c r="G23" i="7"/>
  <c r="C25" i="7"/>
  <c r="E26" i="7"/>
  <c r="C29" i="7"/>
  <c r="E30" i="7"/>
  <c r="J18" i="3"/>
  <c r="J16" i="4" l="1"/>
  <c r="K16" i="4" s="1"/>
  <c r="F23" i="3"/>
  <c r="K27" i="2"/>
  <c r="F27" i="2"/>
  <c r="F17" i="3"/>
  <c r="K17" i="3" s="1"/>
  <c r="L17" i="3" s="1"/>
  <c r="F19" i="3"/>
  <c r="K19" i="3" s="1"/>
  <c r="L19" i="3" s="1"/>
  <c r="I27" i="2"/>
  <c r="H21" i="4"/>
  <c r="I21" i="4" s="1"/>
  <c r="I24" i="4" s="1"/>
  <c r="J24" i="4" s="1"/>
  <c r="K24" i="4" s="1"/>
  <c r="H23" i="4"/>
  <c r="F22" i="2"/>
  <c r="H22" i="4"/>
  <c r="I22" i="4" s="1"/>
  <c r="E35" i="7"/>
  <c r="G35" i="7"/>
  <c r="G15" i="6"/>
  <c r="I15" i="6" s="1"/>
  <c r="I20" i="2"/>
  <c r="I22" i="2" s="1"/>
  <c r="J19" i="3"/>
  <c r="J22" i="5"/>
  <c r="J28" i="5" s="1"/>
  <c r="J24" i="2"/>
  <c r="K18" i="2"/>
  <c r="K24" i="2" s="1"/>
  <c r="C35" i="7"/>
  <c r="G16" i="6" l="1"/>
  <c r="I16" i="6" s="1"/>
  <c r="F16" i="3"/>
  <c r="D27" i="2"/>
  <c r="F20" i="3"/>
  <c r="K20" i="3" s="1"/>
  <c r="L20" i="3" s="1"/>
  <c r="J27" i="2"/>
  <c r="J20" i="2"/>
  <c r="J22" i="2" s="1"/>
  <c r="K24" i="5"/>
  <c r="K28" i="5" s="1"/>
  <c r="J20" i="3"/>
  <c r="J23" i="3"/>
  <c r="L26" i="5"/>
  <c r="L28" i="5" s="1"/>
  <c r="K20" i="2"/>
  <c r="K22" i="2" s="1"/>
  <c r="F18" i="3"/>
  <c r="K18" i="3" s="1"/>
  <c r="L18" i="3" s="1"/>
  <c r="H27" i="2"/>
  <c r="H22" i="2" s="1"/>
  <c r="H28" i="4"/>
  <c r="H27" i="4"/>
  <c r="I27" i="4" s="1"/>
  <c r="I30" i="4" s="1"/>
  <c r="J30" i="4" s="1"/>
  <c r="K30" i="4" s="1"/>
  <c r="H29" i="4"/>
  <c r="K23" i="3"/>
  <c r="F24" i="3"/>
  <c r="G17" i="6" l="1"/>
  <c r="I17" i="6" s="1"/>
  <c r="L27" i="2"/>
  <c r="D22" i="2"/>
  <c r="L22" i="2" s="1"/>
  <c r="K16" i="3"/>
  <c r="F21" i="3"/>
  <c r="F26" i="3"/>
  <c r="L23" i="3"/>
  <c r="K24" i="3"/>
  <c r="H40" i="4"/>
  <c r="H39" i="4"/>
  <c r="I39" i="4" s="1"/>
  <c r="H38" i="4"/>
  <c r="I38" i="4" s="1"/>
  <c r="I42" i="4" s="1"/>
  <c r="J42" i="4" s="1"/>
  <c r="K42" i="4" s="1"/>
  <c r="H41" i="4"/>
  <c r="H34" i="4"/>
  <c r="H33" i="4"/>
  <c r="I33" i="4" s="1"/>
  <c r="I35" i="4" s="1"/>
  <c r="J35" i="4" s="1"/>
  <c r="K35" i="4" s="1"/>
  <c r="G18" i="6" l="1"/>
  <c r="I18" i="6" s="1"/>
  <c r="K21" i="3"/>
  <c r="L21" i="3" s="1"/>
  <c r="L16" i="3"/>
  <c r="K26" i="3"/>
  <c r="L26" i="3" s="1"/>
  <c r="G19" i="6" l="1"/>
  <c r="I19" i="6" s="1"/>
  <c r="G20" i="6" l="1"/>
  <c r="I20" i="6" s="1"/>
  <c r="G21" i="6" l="1"/>
  <c r="I21" i="6" s="1"/>
  <c r="G22" i="6" l="1"/>
  <c r="I22" i="6" s="1"/>
  <c r="G23" i="6" l="1"/>
  <c r="I23" i="6" s="1"/>
  <c r="G24" i="6" l="1"/>
  <c r="I24" i="6" s="1"/>
  <c r="G25" i="6" l="1"/>
  <c r="I25" i="6" s="1"/>
  <c r="G26" i="6" l="1"/>
  <c r="I26" i="6" s="1"/>
  <c r="G27" i="6" l="1"/>
  <c r="I27" i="6" s="1"/>
  <c r="G28" i="6" l="1"/>
  <c r="I28" i="6" s="1"/>
  <c r="G29" i="6" l="1"/>
  <c r="I29" i="6" s="1"/>
  <c r="G30" i="6" l="1"/>
  <c r="I30" i="6" s="1"/>
  <c r="G31" i="6" l="1"/>
  <c r="I31" i="6" s="1"/>
  <c r="G32" i="6" l="1"/>
  <c r="I32" i="6" s="1"/>
  <c r="G33" i="6" l="1"/>
  <c r="I33" i="6" s="1"/>
  <c r="G34" i="6" l="1"/>
  <c r="I34" i="6"/>
  <c r="G35" i="6" l="1"/>
  <c r="I35" i="6" s="1"/>
  <c r="G36" i="6" l="1"/>
  <c r="I36" i="6" s="1"/>
  <c r="G37" i="6" l="1"/>
  <c r="I37" i="6" s="1"/>
  <c r="G38" i="6" l="1"/>
  <c r="I38" i="6" s="1"/>
  <c r="G39" i="6" l="1"/>
  <c r="I39" i="6" s="1"/>
  <c r="G40" i="6" l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B6B5A1F7-D8C4-44B4-8B5F-DD1286BFA752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Use last year Proposed Tax Increment</t>
        </r>
      </text>
    </comment>
    <comment ref="L22" authorId="0" shapeId="0" xr:uid="{344D4A0A-D5C7-421E-86E2-C0620EA53E6E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Use goal seek to calculate this #f9  by changing D18
</t>
        </r>
      </text>
    </comment>
  </commentList>
</comments>
</file>

<file path=xl/sharedStrings.xml><?xml version="1.0" encoding="utf-8"?>
<sst xmlns="http://schemas.openxmlformats.org/spreadsheetml/2006/main" count="374" uniqueCount="197">
  <si>
    <t>CASCADE NATURAL GAS CORPORATION</t>
  </si>
  <si>
    <t>EXHIBIT A</t>
  </si>
  <si>
    <t>TABLE OF CONTENTS</t>
  </si>
  <si>
    <t>Description</t>
  </si>
  <si>
    <t>Page</t>
  </si>
  <si>
    <t>2023 Unprotected Tax Cost Allocation</t>
  </si>
  <si>
    <t>Unprotected Tax Amount of Change by Rate Schedule</t>
  </si>
  <si>
    <t>Unprotected Tax Proposed Typical Monthly Bill by Class</t>
  </si>
  <si>
    <t>Unprotected Tax Derivation of Proposed Rate Adjustment</t>
  </si>
  <si>
    <t>W24-09-04</t>
  </si>
  <si>
    <t>UPT Exhibit A</t>
  </si>
  <si>
    <t>Page 1 of 4</t>
  </si>
  <si>
    <t>2024 Unprotected Tax Cost Allocation</t>
  </si>
  <si>
    <t>Current</t>
  </si>
  <si>
    <t>Proposed</t>
  </si>
  <si>
    <t>Unprotected</t>
  </si>
  <si>
    <t>Rate Schedule</t>
  </si>
  <si>
    <t>503</t>
  </si>
  <si>
    <t>504</t>
  </si>
  <si>
    <t>Total</t>
  </si>
  <si>
    <t>Current Unpro. Tax Rates</t>
  </si>
  <si>
    <t>% change (same for each sch)</t>
  </si>
  <si>
    <t>Proposed Tax Increment</t>
  </si>
  <si>
    <t>Proposed Tax Costs Collected</t>
  </si>
  <si>
    <t>Proposed Rate Adjustment</t>
  </si>
  <si>
    <t>Proposed Volumes</t>
  </si>
  <si>
    <t>Page 2 of 4</t>
  </si>
  <si>
    <t>Cascade Natural Gas Corporation</t>
  </si>
  <si>
    <t>UNPROTECTED TAX AMOUNT OF CHANGE BY RATE SCHEDULE</t>
  </si>
  <si>
    <t>Bills and Revenues Based Upon the Twelve Months Ended 7/31/24</t>
  </si>
  <si>
    <t>State of Washington</t>
  </si>
  <si>
    <t>Per Therm</t>
  </si>
  <si>
    <t>Line</t>
  </si>
  <si>
    <t>Rate</t>
  </si>
  <si>
    <t>Average</t>
  </si>
  <si>
    <t>Forecasted</t>
  </si>
  <si>
    <t xml:space="preserve">  Actual</t>
  </si>
  <si>
    <t>Tax</t>
  </si>
  <si>
    <t>Amount of</t>
  </si>
  <si>
    <t>Percentage</t>
  </si>
  <si>
    <t>No.</t>
  </si>
  <si>
    <t>Schedule</t>
  </si>
  <si>
    <t># of Bills</t>
  </si>
  <si>
    <t>Therms Sold</t>
  </si>
  <si>
    <t xml:space="preserve">  Revenue</t>
  </si>
  <si>
    <t>Change</t>
  </si>
  <si>
    <t>(a)</t>
  </si>
  <si>
    <t>(b)</t>
  </si>
  <si>
    <t>(c)</t>
  </si>
  <si>
    <t>(d)</t>
  </si>
  <si>
    <t xml:space="preserve">  (e)</t>
  </si>
  <si>
    <t>(f)</t>
  </si>
  <si>
    <t>(g)</t>
  </si>
  <si>
    <t>(h)</t>
  </si>
  <si>
    <t xml:space="preserve"> CORE MARKET RATE SCHEDULES</t>
  </si>
  <si>
    <t xml:space="preserve">    Residential</t>
  </si>
  <si>
    <t xml:space="preserve">    Commercial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</si>
  <si>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</si>
  <si>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</si>
  <si>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</si>
  <si>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</si>
  <si>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</si>
  <si>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</si>
  <si>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 xml:space="preserve">  Subtotal  Core</t>
  </si>
  <si>
    <t xml:space="preserve"> NONCORE MARKET RATE SCHEDULES</t>
  </si>
  <si>
    <t xml:space="preserve">     Distribution</t>
  </si>
  <si>
    <t>Subtotal Non-core</t>
  </si>
  <si>
    <t>CORE &amp; NON-CORE</t>
  </si>
  <si>
    <t>Page 3 of 4</t>
  </si>
  <si>
    <t>UPT PROPOSED TYPICAL MONTHLY BILL BY  CLASS</t>
  </si>
  <si>
    <t>FOR TWELVE MONTHS ENDED 6/30/08</t>
  </si>
  <si>
    <t>Typical</t>
  </si>
  <si>
    <t>Monthly</t>
  </si>
  <si>
    <t>Basic</t>
  </si>
  <si>
    <t>UPT Effect</t>
  </si>
  <si>
    <t>Bill</t>
  </si>
  <si>
    <t>UPT Effects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</si>
  <si>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</si>
  <si>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</si>
  <si>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</si>
  <si>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</si>
  <si>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</si>
  <si>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</si>
  <si>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</si>
  <si>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</si>
  <si>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</si>
  <si>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(e)</t>
  </si>
  <si>
    <t>(i)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</si>
  <si>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</si>
  <si>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</si>
  <si>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</si>
  <si>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</si>
  <si>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</si>
  <si>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</si>
  <si>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</si>
  <si>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Large Volume, Schedule 511</t>
  </si>
  <si>
    <t>First 20,000 therms</t>
  </si>
  <si>
    <t>Next 80,000 therms</t>
  </si>
  <si>
    <t>Over 100,000 therms</t>
  </si>
  <si>
    <t>Total 511</t>
  </si>
  <si>
    <t>Industrial Interruptible, Schedule 570</t>
  </si>
  <si>
    <t>First 30,000 therms</t>
  </si>
  <si>
    <t>Over 30,000 therms</t>
  </si>
  <si>
    <t>Total 570</t>
  </si>
  <si>
    <t>Transport, Schedule 663</t>
  </si>
  <si>
    <t>First 100,000 therms</t>
  </si>
  <si>
    <t>Next 200,000 therms</t>
  </si>
  <si>
    <t>Over 500,000 therms</t>
  </si>
  <si>
    <t>663 Total</t>
  </si>
  <si>
    <t>Page 4 of 4</t>
  </si>
  <si>
    <t>UNPROTECTED TAX DERIVATION OF PROPOSED RATE ADJUSTMENT</t>
  </si>
  <si>
    <t>Revised</t>
  </si>
  <si>
    <t>Residential</t>
  </si>
  <si>
    <t>Commercial</t>
  </si>
  <si>
    <t>Firm Indust</t>
  </si>
  <si>
    <t>Lrg Volumes</t>
  </si>
  <si>
    <t>Interruptible</t>
  </si>
  <si>
    <t>Distribution</t>
  </si>
  <si>
    <t xml:space="preserve">               Description           </t>
  </si>
  <si>
    <t>Customers</t>
  </si>
  <si>
    <t xml:space="preserve"> 1</t>
  </si>
  <si>
    <t>Unprotected Rate Adjustment Effective 11/1/2023</t>
  </si>
  <si>
    <t>Proposed Incremental Change</t>
  </si>
  <si>
    <t xml:space="preserve"> 2</t>
  </si>
  <si>
    <t xml:space="preserve">Residential </t>
  </si>
  <si>
    <t xml:space="preserve"> 3</t>
  </si>
  <si>
    <t xml:space="preserve"> Commercial </t>
  </si>
  <si>
    <t xml:space="preserve"> 4</t>
  </si>
  <si>
    <t xml:space="preserve">Industrial Firm </t>
  </si>
  <si>
    <t>5</t>
  </si>
  <si>
    <t>Large Volume</t>
  </si>
  <si>
    <t>6</t>
  </si>
  <si>
    <t xml:space="preserve">Interruptible - CORE </t>
  </si>
  <si>
    <t>7</t>
  </si>
  <si>
    <t xml:space="preserve">Non-Core Customers </t>
  </si>
  <si>
    <t>8</t>
  </si>
  <si>
    <t>Total  Proposed Rate - Schedule 582</t>
  </si>
  <si>
    <t>State:</t>
  </si>
  <si>
    <t>Washington</t>
  </si>
  <si>
    <t>Description:</t>
  </si>
  <si>
    <t>Unprotected Excess Deferred Income Taxes-Base</t>
  </si>
  <si>
    <t>Account number:</t>
  </si>
  <si>
    <t>47WA.2540.20483 &amp; .20484</t>
  </si>
  <si>
    <t>Class of customers:</t>
  </si>
  <si>
    <t>Deferral period:</t>
  </si>
  <si>
    <t>N/A</t>
  </si>
  <si>
    <t>Amortization period:</t>
  </si>
  <si>
    <t>8/1/18 to 7/31/28</t>
  </si>
  <si>
    <t>Narrative:</t>
  </si>
  <si>
    <t>Amortization of previously deferred Unproteccted Excess Deferred Income Taxes</t>
  </si>
  <si>
    <t>Debit (Credit)</t>
  </si>
  <si>
    <t>Month/ Year</t>
  </si>
  <si>
    <t>Therms</t>
  </si>
  <si>
    <t>Deferral</t>
  </si>
  <si>
    <t>Amortization</t>
  </si>
  <si>
    <t>Interest</t>
  </si>
  <si>
    <t>Adjustments</t>
  </si>
  <si>
    <t>Deferred Balance</t>
  </si>
  <si>
    <t>Balance transferred from 47WA.2292</t>
  </si>
  <si>
    <t>Various</t>
  </si>
  <si>
    <t>Prorated</t>
  </si>
  <si>
    <t>est.</t>
  </si>
  <si>
    <t>Year 1</t>
  </si>
  <si>
    <t>Year 2</t>
  </si>
  <si>
    <t>Year 3</t>
  </si>
  <si>
    <t>Year 4</t>
  </si>
  <si>
    <t>Year 5</t>
  </si>
  <si>
    <t>Year 6</t>
  </si>
  <si>
    <t>Year 7</t>
  </si>
  <si>
    <t>Original bal.</t>
  </si>
  <si>
    <t>12- months</t>
  </si>
  <si>
    <t>diff.</t>
  </si>
  <si>
    <t>TEST PERIOD VOLUME - WEATHER NORMALIZED</t>
  </si>
  <si>
    <t>Total Core</t>
  </si>
  <si>
    <t>Actual</t>
  </si>
  <si>
    <t xml:space="preserve">12 month </t>
  </si>
  <si>
    <t>total</t>
  </si>
  <si>
    <t>ACTUAL BILL, THERMS, AND REVENUE</t>
  </si>
  <si>
    <t>BASED UPON THE  TWELVE MONTHS ENDED 7/31/2024</t>
  </si>
  <si>
    <t xml:space="preserve"> Actual</t>
  </si>
  <si>
    <t>General Service</t>
  </si>
  <si>
    <t>EOM</t>
  </si>
  <si>
    <t>LM</t>
  </si>
  <si>
    <t>Total Residential</t>
  </si>
  <si>
    <t>Less Company Use</t>
  </si>
  <si>
    <t>Total Commercial</t>
  </si>
  <si>
    <t>Industrial Firm</t>
  </si>
  <si>
    <t>Total Industrial Firm</t>
  </si>
  <si>
    <t>General</t>
  </si>
  <si>
    <t>Total Institut. Interr.</t>
  </si>
  <si>
    <t>Subtotal  Core</t>
  </si>
  <si>
    <t xml:space="preserve"> Distribution</t>
  </si>
  <si>
    <t>663</t>
  </si>
  <si>
    <t>Special Contracts</t>
  </si>
  <si>
    <t>9xx</t>
  </si>
  <si>
    <t>Subtotal  Noncore</t>
  </si>
  <si>
    <t>TOTAL CORE AND NONCORE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</si>
</sst>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0.00000"/>
    <numFmt numFmtId="167" formatCode="_(* #,##0_);_(* \(#,##0\);_(* &quot;-&quot;??_);_(@_)"/>
    <numFmt numFmtId="168" formatCode="_(* #,##0.00000_);_(* \(#,##0.00000\);_(* &quot;-&quot;??_);_(@_)"/>
    <numFmt numFmtId="169" formatCode="_(* #,##0.000000_);_(* \(#,##0.000000\);_(* &quot;-&quot;??_);_(@_)"/>
    <numFmt numFmtId="170" formatCode="_(&quot;$&quot;* #,##0.00000_);_(&quot;$&quot;* \(#,##0.00000\);_(&quot;$&quot;* &quot;-&quot;??_);_(@_)"/>
    <numFmt numFmtId="171" formatCode="0.00000%"/>
    <numFmt numFmtId="172" formatCode="&quot;$&quot;#,##0"/>
    <numFmt numFmtId="173" formatCode="&quot;$&quot;#,##0.00000"/>
    <numFmt numFmtId="174" formatCode="&quot;$&quot;#,##0.00"/>
    <numFmt numFmtId="175" formatCode="&quot;$&quot;#,##0.00000_);\(&quot;$&quot;#,##0.00000\)"/>
    <numFmt numFmtId="176" formatCode="#,##0.00000_);\(#,##0.00000\)"/>
    <numFmt numFmtId="177" formatCode="0_);\(0\)"/>
  </numFmts>
  <fonts count="31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Times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8"/>
      <name val="Times New Roman"/>
      <family val="1"/>
    </font>
    <font>
      <sz val="10"/>
      <name val="Courier"/>
      <family val="3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0"/>
      <name val="Helv"/>
    </font>
    <font>
      <u/>
      <sz val="12"/>
      <name val="Times New Roman"/>
      <family val="1"/>
    </font>
    <font>
      <u val="double"/>
      <sz val="12"/>
      <name val="Times New Roman"/>
      <family val="1"/>
    </font>
    <font>
      <u/>
      <sz val="10"/>
      <name val="Helv"/>
    </font>
    <font>
      <sz val="12"/>
      <name val="Helv"/>
    </font>
    <font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rgb="FF3F3F76"/>
      <name val="Arial"/>
      <family val="2"/>
    </font>
    <font>
      <sz val="11"/>
      <color theme="3" tint="-0.249977111117893"/>
      <name val="Calibri"/>
      <family val="2"/>
      <scheme val="minor"/>
    </font>
    <font>
      <b/>
      <sz val="8"/>
      <name val="Helv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6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8">
    <xf numFmtId="164" fontId="0" fillId="0" borderId="0" applyProtection="0"/>
    <xf numFmtId="43" fontId="8" fillId="0" borderId="0" applyFont="0" applyFill="0" applyBorder="0" applyAlignment="0" applyProtection="0"/>
    <xf numFmtId="0" fontId="28" fillId="2" borderId="1" applyNumberFormat="0" applyAlignment="0" applyProtection="0"/>
    <xf numFmtId="164" fontId="3" fillId="0" borderId="0"/>
    <xf numFmtId="0" fontId="7" fillId="3" borderId="0" applyNumberFormat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5" fillId="0" borderId="0"/>
    <xf numFmtId="0" fontId="17" fillId="0" borderId="0"/>
    <xf numFmtId="39" fontId="22" fillId="0" borderId="0"/>
    <xf numFmtId="0" fontId="1" fillId="0" borderId="0"/>
    <xf numFmtId="43" fontId="6" fillId="0" borderId="0" applyFont="0" applyFill="0" applyBorder="0" applyAlignment="0" applyProtection="0"/>
    <xf numFmtId="164" fontId="15" fillId="0" borderId="0"/>
  </cellStyleXfs>
  <cellXfs count="320">
    <xf numFmtId="164" fontId="0" fillId="0" borderId="0" xfId="0"/>
    <xf numFmtId="164" fontId="4" fillId="0" borderId="0" xfId="3" applyFont="1"/>
    <xf numFmtId="164" fontId="4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/>
    <xf numFmtId="164" fontId="6" fillId="0" borderId="0" xfId="0" applyFont="1" applyAlignment="1">
      <alignment horizontal="center"/>
    </xf>
    <xf numFmtId="164" fontId="7" fillId="0" borderId="0" xfId="4" applyNumberFormat="1" applyFill="1"/>
    <xf numFmtId="164" fontId="7" fillId="0" borderId="0" xfId="4" applyNumberFormat="1" applyFill="1" applyAlignment="1">
      <alignment horizontal="center"/>
    </xf>
    <xf numFmtId="49" fontId="7" fillId="0" borderId="0" xfId="4" applyNumberFormat="1" applyFill="1" applyAlignment="1">
      <alignment horizontal="center"/>
    </xf>
    <xf numFmtId="49" fontId="6" fillId="0" borderId="0" xfId="0" applyNumberFormat="1" applyFont="1" applyAlignment="1">
      <alignment horizontal="center"/>
    </xf>
    <xf numFmtId="164" fontId="0" fillId="0" borderId="0" xfId="0" applyAlignment="1">
      <alignment horizontal="center"/>
    </xf>
    <xf numFmtId="164" fontId="6" fillId="0" borderId="0" xfId="3" applyFont="1"/>
    <xf numFmtId="164" fontId="3" fillId="0" borderId="0" xfId="3"/>
    <xf numFmtId="164" fontId="8" fillId="0" borderId="0" xfId="3" applyFont="1"/>
    <xf numFmtId="164" fontId="8" fillId="0" borderId="0" xfId="3" applyFont="1" applyAlignment="1">
      <alignment horizontal="left"/>
    </xf>
    <xf numFmtId="164" fontId="4" fillId="0" borderId="0" xfId="3" quotePrefix="1" applyFont="1" applyAlignment="1">
      <alignment horizontal="left"/>
    </xf>
    <xf numFmtId="164" fontId="6" fillId="0" borderId="2" xfId="3" quotePrefix="1" applyFont="1" applyBorder="1" applyAlignment="1">
      <alignment horizontal="center"/>
    </xf>
    <xf numFmtId="164" fontId="6" fillId="0" borderId="3" xfId="3" applyFont="1" applyBorder="1"/>
    <xf numFmtId="164" fontId="6" fillId="0" borderId="4" xfId="3" quotePrefix="1" applyFont="1" applyBorder="1" applyAlignment="1">
      <alignment horizontal="center"/>
    </xf>
    <xf numFmtId="164" fontId="6" fillId="0" borderId="5" xfId="3" applyFont="1" applyBorder="1"/>
    <xf numFmtId="164" fontId="6" fillId="0" borderId="6" xfId="3" applyFont="1" applyBorder="1"/>
    <xf numFmtId="164" fontId="6" fillId="0" borderId="7" xfId="3" applyFont="1" applyBorder="1"/>
    <xf numFmtId="164" fontId="6" fillId="0" borderId="8" xfId="3" applyFont="1" applyBorder="1"/>
    <xf numFmtId="164" fontId="6" fillId="0" borderId="9" xfId="3" quotePrefix="1" applyFont="1" applyBorder="1" applyAlignment="1">
      <alignment horizontal="left"/>
    </xf>
    <xf numFmtId="164" fontId="6" fillId="0" borderId="10" xfId="3" applyFont="1" applyBorder="1"/>
    <xf numFmtId="165" fontId="6" fillId="0" borderId="11" xfId="5" applyNumberFormat="1" applyFont="1" applyFill="1" applyBorder="1"/>
    <xf numFmtId="165" fontId="4" fillId="0" borderId="10" xfId="5" applyNumberFormat="1" applyFont="1" applyFill="1" applyBorder="1"/>
    <xf numFmtId="166" fontId="6" fillId="0" borderId="0" xfId="3" applyNumberFormat="1" applyFont="1"/>
    <xf numFmtId="166" fontId="3" fillId="0" borderId="0" xfId="3" applyNumberFormat="1"/>
    <xf numFmtId="164" fontId="6" fillId="0" borderId="9" xfId="3" applyFont="1" applyBorder="1"/>
    <xf numFmtId="167" fontId="6" fillId="0" borderId="11" xfId="6" applyNumberFormat="1" applyFont="1" applyFill="1" applyBorder="1"/>
    <xf numFmtId="167" fontId="6" fillId="0" borderId="10" xfId="6" applyNumberFormat="1" applyFont="1" applyFill="1" applyBorder="1"/>
    <xf numFmtId="164" fontId="6" fillId="0" borderId="12" xfId="3" applyFont="1" applyBorder="1"/>
    <xf numFmtId="164" fontId="6" fillId="0" borderId="13" xfId="3" applyFont="1" applyBorder="1"/>
    <xf numFmtId="167" fontId="6" fillId="0" borderId="14" xfId="6" applyNumberFormat="1" applyFont="1" applyFill="1" applyBorder="1"/>
    <xf numFmtId="164" fontId="6" fillId="0" borderId="15" xfId="3" applyFont="1" applyBorder="1"/>
    <xf numFmtId="167" fontId="6" fillId="0" borderId="13" xfId="6" applyNumberFormat="1" applyFont="1" applyFill="1" applyBorder="1"/>
    <xf numFmtId="167" fontId="6" fillId="0" borderId="0" xfId="6" applyNumberFormat="1" applyFont="1" applyFill="1" applyBorder="1"/>
    <xf numFmtId="164" fontId="6" fillId="0" borderId="16" xfId="3" applyFont="1" applyBorder="1"/>
    <xf numFmtId="164" fontId="6" fillId="0" borderId="4" xfId="3" applyFont="1" applyBorder="1"/>
    <xf numFmtId="167" fontId="6" fillId="0" borderId="2" xfId="6" quotePrefix="1" applyNumberFormat="1" applyFont="1" applyFill="1" applyBorder="1" applyAlignment="1">
      <alignment horizontal="center"/>
    </xf>
    <xf numFmtId="167" fontId="6" fillId="0" borderId="4" xfId="6" quotePrefix="1" applyNumberFormat="1" applyFont="1" applyFill="1" applyBorder="1" applyAlignment="1">
      <alignment horizontal="center"/>
    </xf>
    <xf numFmtId="164" fontId="6" fillId="0" borderId="4" xfId="3" applyFont="1" applyBorder="1" applyAlignment="1">
      <alignment horizontal="center"/>
    </xf>
    <xf numFmtId="164" fontId="6" fillId="0" borderId="2" xfId="3" applyFont="1" applyBorder="1" applyAlignment="1">
      <alignment horizontal="center"/>
    </xf>
    <xf numFmtId="167" fontId="6" fillId="0" borderId="7" xfId="6" applyNumberFormat="1" applyFont="1" applyFill="1" applyBorder="1"/>
    <xf numFmtId="164" fontId="6" fillId="0" borderId="11" xfId="3" applyFont="1" applyBorder="1"/>
    <xf numFmtId="168" fontId="6" fillId="0" borderId="11" xfId="6" applyNumberFormat="1" applyFont="1" applyFill="1" applyBorder="1"/>
    <xf numFmtId="169" fontId="6" fillId="0" borderId="9" xfId="6" applyNumberFormat="1" applyFont="1" applyFill="1" applyBorder="1"/>
    <xf numFmtId="168" fontId="6" fillId="0" borderId="10" xfId="6" applyNumberFormat="1" applyFont="1" applyFill="1" applyBorder="1"/>
    <xf numFmtId="168" fontId="0" fillId="0" borderId="0" xfId="6" applyNumberFormat="1" applyFont="1" applyFill="1"/>
    <xf numFmtId="170" fontId="6" fillId="0" borderId="9" xfId="5" applyNumberFormat="1" applyFont="1" applyFill="1" applyBorder="1"/>
    <xf numFmtId="170" fontId="6" fillId="0" borderId="10" xfId="5" applyNumberFormat="1" applyFont="1" applyFill="1" applyBorder="1"/>
    <xf numFmtId="170" fontId="6" fillId="0" borderId="11" xfId="5" applyNumberFormat="1" applyFont="1" applyFill="1" applyBorder="1"/>
    <xf numFmtId="164" fontId="6" fillId="0" borderId="9" xfId="3" quotePrefix="1" applyFont="1" applyBorder="1"/>
    <xf numFmtId="171" fontId="6" fillId="0" borderId="11" xfId="7" applyNumberFormat="1" applyFont="1" applyFill="1" applyBorder="1"/>
    <xf numFmtId="171" fontId="6" fillId="0" borderId="9" xfId="7" applyNumberFormat="1" applyFont="1" applyFill="1" applyBorder="1"/>
    <xf numFmtId="171" fontId="6" fillId="0" borderId="10" xfId="7" applyNumberFormat="1" applyFont="1" applyFill="1" applyBorder="1"/>
    <xf numFmtId="9" fontId="6" fillId="0" borderId="11" xfId="7" applyFont="1" applyFill="1" applyBorder="1"/>
    <xf numFmtId="164" fontId="4" fillId="0" borderId="9" xfId="3" applyFont="1" applyBorder="1"/>
    <xf numFmtId="164" fontId="4" fillId="0" borderId="10" xfId="3" applyFont="1" applyBorder="1"/>
    <xf numFmtId="170" fontId="4" fillId="0" borderId="11" xfId="5" applyNumberFormat="1" applyFont="1" applyFill="1" applyBorder="1"/>
    <xf numFmtId="170" fontId="4" fillId="0" borderId="10" xfId="5" applyNumberFormat="1" applyFont="1" applyFill="1" applyBorder="1"/>
    <xf numFmtId="167" fontId="3" fillId="0" borderId="0" xfId="3" applyNumberFormat="1"/>
    <xf numFmtId="168" fontId="3" fillId="0" borderId="0" xfId="3" applyNumberFormat="1"/>
    <xf numFmtId="165" fontId="6" fillId="0" borderId="10" xfId="5" applyNumberFormat="1" applyFont="1" applyFill="1" applyBorder="1"/>
    <xf numFmtId="165" fontId="4" fillId="0" borderId="11" xfId="5" applyNumberFormat="1" applyFont="1" applyFill="1" applyBorder="1"/>
    <xf numFmtId="168" fontId="6" fillId="0" borderId="9" xfId="3" applyNumberFormat="1" applyFont="1" applyBorder="1"/>
    <xf numFmtId="171" fontId="0" fillId="0" borderId="0" xfId="7" applyNumberFormat="1" applyFont="1" applyFill="1"/>
    <xf numFmtId="167" fontId="6" fillId="0" borderId="11" xfId="3" applyNumberFormat="1" applyFont="1" applyBorder="1"/>
    <xf numFmtId="167" fontId="6" fillId="0" borderId="14" xfId="1" applyNumberFormat="1" applyFont="1" applyFill="1" applyBorder="1"/>
    <xf numFmtId="164" fontId="10" fillId="0" borderId="0" xfId="3" applyFont="1"/>
    <xf numFmtId="166" fontId="11" fillId="0" borderId="0" xfId="3" applyNumberFormat="1" applyFont="1"/>
    <xf numFmtId="167" fontId="0" fillId="0" borderId="0" xfId="6" applyNumberFormat="1" applyFont="1" applyFill="1"/>
    <xf numFmtId="164" fontId="6" fillId="0" borderId="0" xfId="3" quotePrefix="1" applyFont="1" applyAlignment="1">
      <alignment horizontal="left"/>
    </xf>
    <xf numFmtId="164" fontId="6" fillId="0" borderId="0" xfId="3" applyFont="1" applyAlignment="1">
      <alignment horizontal="left"/>
    </xf>
    <xf numFmtId="164" fontId="4" fillId="0" borderId="0" xfId="3" applyFont="1" applyAlignment="1">
      <alignment horizontal="centerContinuous"/>
    </xf>
    <xf numFmtId="164" fontId="6" fillId="0" borderId="0" xfId="3" applyFont="1" applyAlignment="1">
      <alignment horizontal="centerContinuous"/>
    </xf>
    <xf numFmtId="168" fontId="6" fillId="0" borderId="0" xfId="3" applyNumberFormat="1" applyFont="1" applyAlignment="1">
      <alignment horizontal="centerContinuous"/>
    </xf>
    <xf numFmtId="164" fontId="14" fillId="0" borderId="0" xfId="3" applyFont="1" applyAlignment="1">
      <alignment horizontal="centerContinuous"/>
    </xf>
    <xf numFmtId="164" fontId="6" fillId="0" borderId="6" xfId="3" applyFont="1" applyBorder="1" applyAlignment="1">
      <alignment horizontal="center"/>
    </xf>
    <xf numFmtId="164" fontId="6" fillId="0" borderId="7" xfId="3" applyFont="1" applyBorder="1" applyAlignment="1">
      <alignment horizontal="center"/>
    </xf>
    <xf numFmtId="168" fontId="6" fillId="0" borderId="6" xfId="3" applyNumberFormat="1" applyFont="1" applyBorder="1" applyAlignment="1">
      <alignment horizontal="centerContinuous"/>
    </xf>
    <xf numFmtId="164" fontId="6" fillId="0" borderId="11" xfId="3" applyFont="1" applyBorder="1" applyAlignment="1">
      <alignment horizontal="left"/>
    </xf>
    <xf numFmtId="164" fontId="6" fillId="0" borderId="10" xfId="3" quotePrefix="1" applyFont="1" applyBorder="1"/>
    <xf numFmtId="164" fontId="6" fillId="0" borderId="10" xfId="3" applyFont="1" applyBorder="1" applyAlignment="1">
      <alignment horizontal="center"/>
    </xf>
    <xf numFmtId="164" fontId="6" fillId="0" borderId="11" xfId="3" applyFont="1" applyBorder="1" applyAlignment="1">
      <alignment horizontal="center"/>
    </xf>
    <xf numFmtId="168" fontId="6" fillId="0" borderId="10" xfId="3" applyNumberFormat="1" applyFont="1" applyBorder="1" applyAlignment="1">
      <alignment horizontal="centerContinuous"/>
    </xf>
    <xf numFmtId="164" fontId="6" fillId="0" borderId="10" xfId="3" applyFont="1" applyBorder="1" applyAlignment="1">
      <alignment horizontal="centerContinuous"/>
    </xf>
    <xf numFmtId="168" fontId="6" fillId="0" borderId="10" xfId="3" applyNumberFormat="1" applyFont="1" applyBorder="1" applyAlignment="1">
      <alignment horizontal="center"/>
    </xf>
    <xf numFmtId="164" fontId="6" fillId="0" borderId="14" xfId="3" applyFont="1" applyBorder="1" applyAlignment="1">
      <alignment horizontal="center"/>
    </xf>
    <xf numFmtId="164" fontId="4" fillId="0" borderId="3" xfId="3" applyFont="1" applyBorder="1" applyAlignment="1">
      <alignment horizontal="left"/>
    </xf>
    <xf numFmtId="164" fontId="6" fillId="0" borderId="2" xfId="3" applyFont="1" applyBorder="1"/>
    <xf numFmtId="37" fontId="6" fillId="0" borderId="2" xfId="3" applyNumberFormat="1" applyFont="1" applyBorder="1"/>
    <xf numFmtId="168" fontId="6" fillId="0" borderId="2" xfId="3" applyNumberFormat="1" applyFont="1" applyBorder="1"/>
    <xf numFmtId="168" fontId="6" fillId="0" borderId="10" xfId="3" applyNumberFormat="1" applyFont="1" applyBorder="1"/>
    <xf numFmtId="164" fontId="6" fillId="0" borderId="10" xfId="3" quotePrefix="1" applyFont="1" applyBorder="1" applyAlignment="1">
      <alignment horizontal="left"/>
    </xf>
    <xf numFmtId="37" fontId="6" fillId="0" borderId="10" xfId="3" applyNumberFormat="1" applyFont="1" applyBorder="1"/>
    <xf numFmtId="37" fontId="6" fillId="0" borderId="11" xfId="3" applyNumberFormat="1" applyFont="1" applyBorder="1"/>
    <xf numFmtId="168" fontId="6" fillId="0" borderId="10" xfId="6" applyNumberFormat="1" applyFont="1" applyFill="1" applyBorder="1" applyProtection="1"/>
    <xf numFmtId="39" fontId="6" fillId="0" borderId="10" xfId="3" applyNumberFormat="1" applyFont="1" applyBorder="1"/>
    <xf numFmtId="10" fontId="6" fillId="0" borderId="11" xfId="3" applyNumberFormat="1" applyFont="1" applyBorder="1"/>
    <xf numFmtId="164" fontId="6" fillId="0" borderId="3" xfId="3" applyFont="1" applyBorder="1" applyAlignment="1">
      <alignment horizontal="left"/>
    </xf>
    <xf numFmtId="37" fontId="6" fillId="0" borderId="4" xfId="3" applyNumberFormat="1" applyFont="1" applyBorder="1"/>
    <xf numFmtId="37" fontId="6" fillId="0" borderId="3" xfId="3" applyNumberFormat="1" applyFont="1" applyBorder="1"/>
    <xf numFmtId="10" fontId="6" fillId="0" borderId="2" xfId="3" applyNumberFormat="1" applyFont="1" applyBorder="1"/>
    <xf numFmtId="164" fontId="6" fillId="0" borderId="12" xfId="3" applyFont="1" applyBorder="1" applyAlignment="1">
      <alignment horizontal="center"/>
    </xf>
    <xf numFmtId="164" fontId="4" fillId="0" borderId="15" xfId="3" applyFont="1" applyBorder="1" applyAlignment="1">
      <alignment horizontal="left"/>
    </xf>
    <xf numFmtId="167" fontId="6" fillId="0" borderId="15" xfId="8" applyNumberFormat="1" applyFont="1" applyFill="1" applyBorder="1" applyProtection="1"/>
    <xf numFmtId="37" fontId="6" fillId="0" borderId="0" xfId="3" applyNumberFormat="1" applyFont="1"/>
    <xf numFmtId="167" fontId="6" fillId="0" borderId="15" xfId="8" applyNumberFormat="1" applyFont="1" applyFill="1" applyBorder="1"/>
    <xf numFmtId="168" fontId="6" fillId="0" borderId="15" xfId="9" applyNumberFormat="1" applyFont="1" applyFill="1" applyBorder="1" applyProtection="1"/>
    <xf numFmtId="10" fontId="6" fillId="0" borderId="15" xfId="10" applyNumberFormat="1" applyFont="1" applyFill="1" applyBorder="1" applyProtection="1"/>
    <xf numFmtId="10" fontId="6" fillId="0" borderId="10" xfId="3" applyNumberFormat="1" applyFont="1" applyBorder="1"/>
    <xf numFmtId="164" fontId="6" fillId="0" borderId="9" xfId="3" applyFont="1" applyBorder="1" applyAlignment="1">
      <alignment horizontal="center"/>
    </xf>
    <xf numFmtId="164" fontId="6" fillId="0" borderId="9" xfId="3" applyFont="1" applyBorder="1" applyAlignment="1">
      <alignment horizontal="left"/>
    </xf>
    <xf numFmtId="167" fontId="6" fillId="0" borderId="7" xfId="8" applyNumberFormat="1" applyFont="1" applyFill="1" applyBorder="1"/>
    <xf numFmtId="167" fontId="6" fillId="0" borderId="5" xfId="8" applyNumberFormat="1" applyFont="1" applyFill="1" applyBorder="1" applyProtection="1"/>
    <xf numFmtId="167" fontId="6" fillId="0" borderId="6" xfId="8" applyNumberFormat="1" applyFont="1" applyFill="1" applyBorder="1"/>
    <xf numFmtId="168" fontId="6" fillId="0" borderId="7" xfId="9" applyNumberFormat="1" applyFont="1" applyFill="1" applyBorder="1"/>
    <xf numFmtId="167" fontId="6" fillId="0" borderId="7" xfId="1" applyNumberFormat="1" applyFont="1" applyFill="1" applyBorder="1" applyProtection="1"/>
    <xf numFmtId="164" fontId="4" fillId="0" borderId="16" xfId="3" applyFont="1" applyBorder="1" applyAlignment="1">
      <alignment horizontal="left"/>
    </xf>
    <xf numFmtId="164" fontId="4" fillId="0" borderId="3" xfId="3" applyFont="1" applyBorder="1"/>
    <xf numFmtId="164" fontId="4" fillId="0" borderId="2" xfId="3" applyFont="1" applyBorder="1"/>
    <xf numFmtId="167" fontId="6" fillId="0" borderId="2" xfId="8" applyNumberFormat="1" applyFont="1" applyFill="1" applyBorder="1"/>
    <xf numFmtId="167" fontId="6" fillId="0" borderId="16" xfId="8" applyNumberFormat="1" applyFont="1" applyFill="1" applyBorder="1"/>
    <xf numFmtId="164" fontId="4" fillId="0" borderId="11" xfId="3" applyFont="1" applyBorder="1"/>
    <xf numFmtId="167" fontId="6" fillId="0" borderId="4" xfId="8" applyNumberFormat="1" applyFont="1" applyFill="1" applyBorder="1"/>
    <xf numFmtId="165" fontId="4" fillId="0" borderId="2" xfId="9" applyNumberFormat="1" applyFont="1" applyFill="1" applyBorder="1"/>
    <xf numFmtId="167" fontId="4" fillId="0" borderId="2" xfId="10" applyNumberFormat="1" applyFont="1" applyFill="1" applyBorder="1"/>
    <xf numFmtId="164" fontId="4" fillId="0" borderId="0" xfId="3" applyFont="1" applyAlignment="1">
      <alignment horizontal="left"/>
    </xf>
    <xf numFmtId="167" fontId="4" fillId="0" borderId="8" xfId="8" applyNumberFormat="1" applyFont="1" applyFill="1" applyBorder="1"/>
    <xf numFmtId="167" fontId="4" fillId="0" borderId="0" xfId="8" applyNumberFormat="1" applyFont="1" applyFill="1" applyBorder="1"/>
    <xf numFmtId="165" fontId="4" fillId="0" borderId="0" xfId="9" applyNumberFormat="1" applyFont="1" applyFill="1" applyBorder="1"/>
    <xf numFmtId="10" fontId="4" fillId="0" borderId="0" xfId="10" applyNumberFormat="1" applyFont="1" applyFill="1" applyBorder="1"/>
    <xf numFmtId="164" fontId="6" fillId="0" borderId="16" xfId="3" applyFont="1" applyBorder="1" applyAlignment="1">
      <alignment horizontal="center"/>
    </xf>
    <xf numFmtId="167" fontId="4" fillId="0" borderId="2" xfId="8" applyNumberFormat="1" applyFont="1" applyFill="1" applyBorder="1"/>
    <xf numFmtId="167" fontId="4" fillId="0" borderId="16" xfId="8" applyNumberFormat="1" applyFont="1" applyFill="1" applyBorder="1"/>
    <xf numFmtId="167" fontId="4" fillId="0" borderId="4" xfId="8" applyNumberFormat="1" applyFont="1" applyFill="1" applyBorder="1"/>
    <xf numFmtId="167" fontId="4" fillId="0" borderId="3" xfId="8" applyNumberFormat="1" applyFont="1" applyFill="1" applyBorder="1"/>
    <xf numFmtId="37" fontId="4" fillId="0" borderId="2" xfId="3" applyNumberFormat="1" applyFont="1" applyBorder="1"/>
    <xf numFmtId="168" fontId="6" fillId="0" borderId="0" xfId="3" applyNumberFormat="1" applyFont="1"/>
    <xf numFmtId="44" fontId="6" fillId="0" borderId="0" xfId="11" applyFont="1" applyFill="1"/>
    <xf numFmtId="10" fontId="6" fillId="0" borderId="0" xfId="10" applyNumberFormat="1" applyFont="1" applyFill="1"/>
    <xf numFmtId="164" fontId="6" fillId="0" borderId="0" xfId="12" applyFont="1"/>
    <xf numFmtId="164" fontId="6" fillId="0" borderId="0" xfId="12" applyFont="1" applyAlignment="1">
      <alignment horizontal="left"/>
    </xf>
    <xf numFmtId="164" fontId="4" fillId="0" borderId="0" xfId="12" applyFont="1" applyAlignment="1">
      <alignment horizontal="centerContinuous"/>
    </xf>
    <xf numFmtId="164" fontId="6" fillId="0" borderId="0" xfId="12" applyFont="1" applyAlignment="1">
      <alignment horizontal="centerContinuous"/>
    </xf>
    <xf numFmtId="164" fontId="4" fillId="0" borderId="0" xfId="12" applyFont="1"/>
    <xf numFmtId="164" fontId="6" fillId="0" borderId="0" xfId="12" applyFont="1" applyAlignment="1">
      <alignment horizontal="center"/>
    </xf>
    <xf numFmtId="164" fontId="6" fillId="0" borderId="17" xfId="12" applyFont="1" applyBorder="1" applyAlignment="1">
      <alignment horizontal="center"/>
    </xf>
    <xf numFmtId="14" fontId="6" fillId="0" borderId="0" xfId="12" applyNumberFormat="1" applyFont="1" applyAlignment="1">
      <alignment horizontal="center"/>
    </xf>
    <xf numFmtId="14" fontId="6" fillId="0" borderId="18" xfId="12" applyNumberFormat="1" applyFont="1" applyBorder="1" applyAlignment="1">
      <alignment horizontal="center"/>
    </xf>
    <xf numFmtId="164" fontId="6" fillId="0" borderId="0" xfId="12" applyFont="1" applyAlignment="1">
      <alignment horizontal="right"/>
    </xf>
    <xf numFmtId="164" fontId="4" fillId="0" borderId="18" xfId="12" applyFont="1" applyBorder="1" applyAlignment="1">
      <alignment horizontal="centerContinuous"/>
    </xf>
    <xf numFmtId="164" fontId="6" fillId="0" borderId="15" xfId="12" applyFont="1" applyBorder="1" applyAlignment="1">
      <alignment horizontal="center"/>
    </xf>
    <xf numFmtId="164" fontId="6" fillId="0" borderId="18" xfId="12" applyFont="1" applyBorder="1" applyAlignment="1">
      <alignment horizontal="centerContinuous"/>
    </xf>
    <xf numFmtId="164" fontId="6" fillId="0" borderId="18" xfId="12" applyFont="1" applyBorder="1" applyAlignment="1">
      <alignment horizontal="center"/>
    </xf>
    <xf numFmtId="1" fontId="6" fillId="0" borderId="0" xfId="12" applyNumberFormat="1" applyFont="1" applyAlignment="1">
      <alignment horizontal="center"/>
    </xf>
    <xf numFmtId="172" fontId="6" fillId="0" borderId="0" xfId="12" applyNumberFormat="1" applyFont="1" applyAlignment="1">
      <alignment horizontal="center"/>
    </xf>
    <xf numFmtId="173" fontId="6" fillId="0" borderId="0" xfId="12" applyNumberFormat="1" applyFont="1" applyAlignment="1">
      <alignment horizontal="center"/>
    </xf>
    <xf numFmtId="7" fontId="6" fillId="0" borderId="0" xfId="12" applyNumberFormat="1" applyFont="1"/>
    <xf numFmtId="174" fontId="6" fillId="0" borderId="0" xfId="12" applyNumberFormat="1" applyFont="1" applyAlignment="1">
      <alignment horizontal="center"/>
    </xf>
    <xf numFmtId="10" fontId="6" fillId="0" borderId="18" xfId="10" applyNumberFormat="1" applyFont="1" applyFill="1" applyBorder="1" applyAlignment="1" applyProtection="1">
      <alignment horizontal="center"/>
    </xf>
    <xf numFmtId="10" fontId="6" fillId="0" borderId="0" xfId="12" applyNumberFormat="1" applyFont="1"/>
    <xf numFmtId="175" fontId="6" fillId="0" borderId="0" xfId="12" applyNumberFormat="1" applyFont="1"/>
    <xf numFmtId="3" fontId="6" fillId="0" borderId="0" xfId="12" applyNumberFormat="1" applyFont="1" applyAlignment="1">
      <alignment horizontal="center"/>
    </xf>
    <xf numFmtId="7" fontId="6" fillId="0" borderId="0" xfId="9" applyNumberFormat="1" applyFont="1" applyFill="1"/>
    <xf numFmtId="164" fontId="16" fillId="0" borderId="0" xfId="12" applyFont="1"/>
    <xf numFmtId="170" fontId="6" fillId="0" borderId="0" xfId="13" applyNumberFormat="1" applyFont="1"/>
    <xf numFmtId="174" fontId="6" fillId="0" borderId="0" xfId="12" applyNumberFormat="1" applyFont="1"/>
    <xf numFmtId="10" fontId="6" fillId="0" borderId="19" xfId="10" applyNumberFormat="1" applyFont="1" applyFill="1" applyBorder="1" applyAlignment="1" applyProtection="1">
      <alignment horizontal="center"/>
    </xf>
    <xf numFmtId="164" fontId="3" fillId="0" borderId="0" xfId="3" applyAlignment="1">
      <alignment horizontal="center"/>
    </xf>
    <xf numFmtId="164" fontId="3" fillId="0" borderId="0" xfId="3" applyAlignment="1">
      <alignment horizontal="left"/>
    </xf>
    <xf numFmtId="164" fontId="6" fillId="0" borderId="0" xfId="3" applyFont="1" applyAlignment="1">
      <alignment horizontal="center"/>
    </xf>
    <xf numFmtId="164" fontId="18" fillId="0" borderId="0" xfId="3" applyFont="1" applyAlignment="1">
      <alignment horizontal="centerContinuous"/>
    </xf>
    <xf numFmtId="164" fontId="4" fillId="0" borderId="0" xfId="3" applyFont="1" applyAlignment="1">
      <alignment horizontal="center"/>
    </xf>
    <xf numFmtId="164" fontId="6" fillId="0" borderId="0" xfId="3" quotePrefix="1" applyFont="1" applyAlignment="1">
      <alignment horizontal="center"/>
    </xf>
    <xf numFmtId="164" fontId="3" fillId="0" borderId="0" xfId="3" quotePrefix="1" applyAlignment="1">
      <alignment horizontal="center"/>
    </xf>
    <xf numFmtId="164" fontId="19" fillId="0" borderId="0" xfId="3" applyFont="1" applyAlignment="1">
      <alignment horizontal="center"/>
    </xf>
    <xf numFmtId="164" fontId="19" fillId="0" borderId="0" xfId="3" applyFont="1" applyAlignment="1">
      <alignment horizontal="left"/>
    </xf>
    <xf numFmtId="164" fontId="20" fillId="0" borderId="0" xfId="3" applyFont="1"/>
    <xf numFmtId="164" fontId="21" fillId="0" borderId="0" xfId="3" applyFont="1" applyAlignment="1">
      <alignment horizontal="center"/>
    </xf>
    <xf numFmtId="49" fontId="6" fillId="0" borderId="0" xfId="3" applyNumberFormat="1" applyFont="1" applyAlignment="1">
      <alignment horizontal="center"/>
    </xf>
    <xf numFmtId="175" fontId="6" fillId="0" borderId="0" xfId="3" applyNumberFormat="1" applyFont="1"/>
    <xf numFmtId="175" fontId="3" fillId="0" borderId="0" xfId="3" applyNumberFormat="1"/>
    <xf numFmtId="164" fontId="19" fillId="0" borderId="0" xfId="3" applyFont="1"/>
    <xf numFmtId="176" fontId="6" fillId="0" borderId="0" xfId="3" applyNumberFormat="1" applyFont="1"/>
    <xf numFmtId="176" fontId="3" fillId="0" borderId="0" xfId="3" applyNumberFormat="1"/>
    <xf numFmtId="175" fontId="6" fillId="0" borderId="20" xfId="3" applyNumberFormat="1" applyFont="1" applyBorder="1"/>
    <xf numFmtId="39" fontId="23" fillId="0" borderId="22" xfId="14" applyFont="1" applyBorder="1" applyAlignment="1">
      <alignment horizontal="left"/>
    </xf>
    <xf numFmtId="39" fontId="23" fillId="0" borderId="0" xfId="14" applyFont="1"/>
    <xf numFmtId="39" fontId="23" fillId="0" borderId="0" xfId="14" applyFont="1" applyAlignment="1">
      <alignment horizontal="left"/>
    </xf>
    <xf numFmtId="39" fontId="23" fillId="0" borderId="27" xfId="14" applyFont="1" applyBorder="1" applyAlignment="1">
      <alignment horizontal="left" vertical="top"/>
    </xf>
    <xf numFmtId="39" fontId="23" fillId="0" borderId="0" xfId="14" applyFont="1" applyAlignment="1">
      <alignment horizontal="left" vertical="top"/>
    </xf>
    <xf numFmtId="39" fontId="23" fillId="0" borderId="0" xfId="14" applyFont="1" applyAlignment="1">
      <alignment horizontal="left" wrapText="1"/>
    </xf>
    <xf numFmtId="39" fontId="25" fillId="0" borderId="15" xfId="14" applyFont="1" applyBorder="1" applyAlignment="1">
      <alignment horizontal="center" wrapText="1"/>
    </xf>
    <xf numFmtId="39" fontId="25" fillId="0" borderId="0" xfId="14" applyFont="1" applyAlignment="1">
      <alignment horizontal="center" wrapText="1"/>
    </xf>
    <xf numFmtId="39" fontId="23" fillId="0" borderId="0" xfId="15" applyNumberFormat="1" applyFont="1" applyAlignment="1">
      <alignment horizontal="fill"/>
    </xf>
    <xf numFmtId="39" fontId="23" fillId="0" borderId="0" xfId="15" applyNumberFormat="1" applyFont="1"/>
    <xf numFmtId="17" fontId="23" fillId="0" borderId="0" xfId="15" applyNumberFormat="1" applyFont="1"/>
    <xf numFmtId="39" fontId="23" fillId="0" borderId="0" xfId="15" applyNumberFormat="1" applyFont="1" applyAlignment="1">
      <alignment horizontal="center"/>
    </xf>
    <xf numFmtId="37" fontId="23" fillId="0" borderId="0" xfId="15" applyNumberFormat="1" applyFont="1"/>
    <xf numFmtId="43" fontId="23" fillId="0" borderId="0" xfId="16" applyFont="1" applyFill="1"/>
    <xf numFmtId="43" fontId="26" fillId="0" borderId="0" xfId="16" applyFont="1" applyFill="1"/>
    <xf numFmtId="0" fontId="26" fillId="0" borderId="0" xfId="15" applyFont="1"/>
    <xf numFmtId="39" fontId="26" fillId="0" borderId="0" xfId="15" applyNumberFormat="1" applyFont="1"/>
    <xf numFmtId="39" fontId="23" fillId="0" borderId="0" xfId="14" applyFont="1" applyAlignment="1">
      <alignment horizontal="center"/>
    </xf>
    <xf numFmtId="37" fontId="23" fillId="0" borderId="0" xfId="14" applyNumberFormat="1" applyFont="1"/>
    <xf numFmtId="164" fontId="11" fillId="0" borderId="0" xfId="0" applyFont="1"/>
    <xf numFmtId="164" fontId="10" fillId="0" borderId="15" xfId="0" applyFont="1" applyBorder="1" applyAlignment="1" applyProtection="1">
      <alignment horizontal="center"/>
    </xf>
    <xf numFmtId="164" fontId="10" fillId="0" borderId="0" xfId="0" applyFont="1" applyAlignment="1" applyProtection="1">
      <alignment horizontal="center"/>
    </xf>
    <xf numFmtId="164" fontId="10" fillId="0" borderId="0" xfId="0" applyFont="1" applyAlignment="1">
      <alignment horizontal="center"/>
    </xf>
    <xf numFmtId="164" fontId="10" fillId="0" borderId="15" xfId="0" applyFont="1" applyBorder="1" applyAlignment="1">
      <alignment horizontal="center"/>
    </xf>
    <xf numFmtId="164" fontId="27" fillId="0" borderId="0" xfId="0" applyFont="1"/>
    <xf numFmtId="17" fontId="11" fillId="4" borderId="2" xfId="2" applyNumberFormat="1" applyFont="1" applyFill="1" applyBorder="1"/>
    <xf numFmtId="37" fontId="1" fillId="4" borderId="2" xfId="0" applyNumberFormat="1" applyFont="1" applyFill="1" applyBorder="1"/>
    <xf numFmtId="167" fontId="11" fillId="4" borderId="4" xfId="2" applyNumberFormat="1" applyFont="1" applyFill="1" applyBorder="1"/>
    <xf numFmtId="3" fontId="29" fillId="4" borderId="2" xfId="0" applyNumberFormat="1" applyFont="1" applyFill="1" applyBorder="1"/>
    <xf numFmtId="167" fontId="11" fillId="0" borderId="0" xfId="1" applyNumberFormat="1" applyFont="1" applyFill="1"/>
    <xf numFmtId="43" fontId="11" fillId="0" borderId="0" xfId="1" applyFont="1" applyFill="1"/>
    <xf numFmtId="37" fontId="1" fillId="4" borderId="11" xfId="0" applyNumberFormat="1" applyFont="1" applyFill="1" applyBorder="1"/>
    <xf numFmtId="167" fontId="1" fillId="4" borderId="2" xfId="1" applyNumberFormat="1" applyFont="1" applyFill="1" applyBorder="1"/>
    <xf numFmtId="37" fontId="1" fillId="4" borderId="14" xfId="0" applyNumberFormat="1" applyFont="1" applyFill="1" applyBorder="1"/>
    <xf numFmtId="167" fontId="1" fillId="4" borderId="14" xfId="1" applyNumberFormat="1" applyFont="1" applyFill="1" applyBorder="1"/>
    <xf numFmtId="17" fontId="11" fillId="4" borderId="0" xfId="0" applyNumberFormat="1" applyFont="1" applyFill="1"/>
    <xf numFmtId="167" fontId="2" fillId="4" borderId="0" xfId="2" applyNumberFormat="1" applyFont="1" applyFill="1" applyBorder="1" applyAlignment="1"/>
    <xf numFmtId="167" fontId="2" fillId="4" borderId="0" xfId="2" applyNumberFormat="1" applyFont="1" applyFill="1" applyBorder="1"/>
    <xf numFmtId="3" fontId="29" fillId="4" borderId="0" xfId="0" applyNumberFormat="1" applyFont="1" applyFill="1"/>
    <xf numFmtId="17" fontId="11" fillId="0" borderId="0" xfId="0" applyNumberFormat="1" applyFont="1"/>
    <xf numFmtId="3" fontId="11" fillId="0" borderId="0" xfId="1" applyNumberFormat="1" applyFont="1" applyFill="1"/>
    <xf numFmtId="164" fontId="30" fillId="0" borderId="0" xfId="0" applyFont="1" applyAlignment="1">
      <alignment horizontal="center"/>
    </xf>
    <xf numFmtId="3" fontId="10" fillId="0" borderId="0" xfId="1" applyNumberFormat="1" applyFont="1" applyFill="1" applyAlignment="1">
      <alignment horizontal="center"/>
    </xf>
    <xf numFmtId="3" fontId="11" fillId="0" borderId="0" xfId="0" applyNumberFormat="1" applyFont="1"/>
    <xf numFmtId="164" fontId="11" fillId="0" borderId="0" xfId="12" quotePrefix="1" applyFont="1" applyAlignment="1">
      <alignment horizontal="left"/>
    </xf>
    <xf numFmtId="164" fontId="11" fillId="0" borderId="0" xfId="12" applyFont="1" applyAlignment="1">
      <alignment horizontal="center"/>
    </xf>
    <xf numFmtId="164" fontId="11" fillId="0" borderId="0" xfId="12" applyFont="1"/>
    <xf numFmtId="164" fontId="11" fillId="0" borderId="7" xfId="12" applyFont="1" applyBorder="1" applyAlignment="1">
      <alignment horizontal="center"/>
    </xf>
    <xf numFmtId="164" fontId="11" fillId="0" borderId="8" xfId="12" applyFont="1" applyBorder="1"/>
    <xf numFmtId="164" fontId="11" fillId="0" borderId="11" xfId="12" applyFont="1" applyBorder="1" applyAlignment="1">
      <alignment horizontal="center"/>
    </xf>
    <xf numFmtId="164" fontId="11" fillId="0" borderId="0" xfId="12" applyFont="1" applyAlignment="1">
      <alignment horizontal="left"/>
    </xf>
    <xf numFmtId="164" fontId="11" fillId="0" borderId="14" xfId="12" applyFont="1" applyBorder="1" applyAlignment="1">
      <alignment horizontal="center"/>
    </xf>
    <xf numFmtId="164" fontId="11" fillId="0" borderId="3" xfId="12" applyFont="1" applyBorder="1" applyAlignment="1">
      <alignment horizontal="center"/>
    </xf>
    <xf numFmtId="164" fontId="10" fillId="0" borderId="3" xfId="12" applyFont="1" applyBorder="1" applyAlignment="1">
      <alignment horizontal="left"/>
    </xf>
    <xf numFmtId="164" fontId="11" fillId="0" borderId="3" xfId="12" applyFont="1" applyBorder="1"/>
    <xf numFmtId="37" fontId="11" fillId="0" borderId="3" xfId="12" applyNumberFormat="1" applyFont="1" applyBorder="1"/>
    <xf numFmtId="164" fontId="11" fillId="0" borderId="5" xfId="12" applyFont="1" applyBorder="1" applyAlignment="1">
      <alignment horizontal="left"/>
    </xf>
    <xf numFmtId="164" fontId="11" fillId="0" borderId="6" xfId="12" applyFont="1" applyBorder="1"/>
    <xf numFmtId="164" fontId="11" fillId="0" borderId="6" xfId="12" applyFont="1" applyBorder="1" applyAlignment="1">
      <alignment horizontal="center"/>
    </xf>
    <xf numFmtId="164" fontId="11" fillId="0" borderId="7" xfId="12" applyFont="1" applyBorder="1"/>
    <xf numFmtId="164" fontId="11" fillId="0" borderId="9" xfId="12" applyFont="1" applyBorder="1" applyAlignment="1">
      <alignment horizontal="left" indent="1"/>
    </xf>
    <xf numFmtId="164" fontId="11" fillId="0" borderId="10" xfId="12" applyFont="1" applyBorder="1"/>
    <xf numFmtId="164" fontId="11" fillId="0" borderId="10" xfId="12" applyFont="1" applyBorder="1" applyAlignment="1">
      <alignment horizontal="center"/>
    </xf>
    <xf numFmtId="37" fontId="11" fillId="0" borderId="10" xfId="0" applyNumberFormat="1" applyFont="1" applyBorder="1" applyProtection="1"/>
    <xf numFmtId="37" fontId="11" fillId="0" borderId="11" xfId="12" applyNumberFormat="1" applyFont="1" applyBorder="1"/>
    <xf numFmtId="165" fontId="11" fillId="0" borderId="11" xfId="9" applyNumberFormat="1" applyFont="1" applyFill="1" applyBorder="1"/>
    <xf numFmtId="37" fontId="11" fillId="0" borderId="0" xfId="12" applyNumberFormat="1" applyFont="1"/>
    <xf numFmtId="43" fontId="11" fillId="0" borderId="0" xfId="1" applyFont="1" applyFill="1" applyBorder="1" applyProtection="1"/>
    <xf numFmtId="164" fontId="11" fillId="0" borderId="9" xfId="17" applyFont="1" applyBorder="1"/>
    <xf numFmtId="164" fontId="11" fillId="0" borderId="12" xfId="17" applyFont="1" applyBorder="1"/>
    <xf numFmtId="164" fontId="11" fillId="0" borderId="15" xfId="12" applyFont="1" applyBorder="1"/>
    <xf numFmtId="37" fontId="11" fillId="0" borderId="13" xfId="0" applyNumberFormat="1" applyFont="1" applyBorder="1" applyProtection="1"/>
    <xf numFmtId="37" fontId="11" fillId="0" borderId="14" xfId="12" applyNumberFormat="1" applyFont="1" applyBorder="1"/>
    <xf numFmtId="165" fontId="11" fillId="0" borderId="14" xfId="9" applyNumberFormat="1" applyFont="1" applyFill="1" applyBorder="1" applyProtection="1"/>
    <xf numFmtId="164" fontId="10" fillId="0" borderId="0" xfId="12" applyFont="1"/>
    <xf numFmtId="164" fontId="10" fillId="0" borderId="3" xfId="12" applyFont="1" applyBorder="1" applyAlignment="1">
      <alignment horizontal="left" indent="1"/>
    </xf>
    <xf numFmtId="164" fontId="10" fillId="0" borderId="13" xfId="12" applyFont="1" applyBorder="1"/>
    <xf numFmtId="164" fontId="10" fillId="0" borderId="4" xfId="12" applyFont="1" applyBorder="1" applyAlignment="1">
      <alignment horizontal="center"/>
    </xf>
    <xf numFmtId="37" fontId="10" fillId="0" borderId="3" xfId="12" applyNumberFormat="1" applyFont="1" applyBorder="1"/>
    <xf numFmtId="37" fontId="10" fillId="0" borderId="2" xfId="12" applyNumberFormat="1" applyFont="1" applyBorder="1"/>
    <xf numFmtId="37" fontId="10" fillId="0" borderId="0" xfId="12" applyNumberFormat="1" applyFont="1"/>
    <xf numFmtId="165" fontId="10" fillId="0" borderId="2" xfId="9" applyNumberFormat="1" applyFont="1" applyFill="1" applyBorder="1"/>
    <xf numFmtId="10" fontId="10" fillId="0" borderId="0" xfId="1" applyNumberFormat="1" applyFont="1" applyFill="1" applyBorder="1" applyProtection="1"/>
    <xf numFmtId="10" fontId="11" fillId="0" borderId="0" xfId="12" applyNumberFormat="1" applyFont="1"/>
    <xf numFmtId="164" fontId="11" fillId="0" borderId="0" xfId="12" applyFont="1" applyAlignment="1">
      <alignment horizontal="left" indent="1"/>
    </xf>
    <xf numFmtId="165" fontId="11" fillId="0" borderId="11" xfId="9" applyNumberFormat="1" applyFont="1" applyFill="1" applyBorder="1" applyProtection="1"/>
    <xf numFmtId="10" fontId="11" fillId="0" borderId="0" xfId="1" applyNumberFormat="1" applyFont="1" applyFill="1" applyBorder="1" applyProtection="1"/>
    <xf numFmtId="164" fontId="10" fillId="0" borderId="4" xfId="12" applyFont="1" applyBorder="1"/>
    <xf numFmtId="177" fontId="11" fillId="0" borderId="11" xfId="12" applyNumberFormat="1" applyFont="1" applyBorder="1"/>
    <xf numFmtId="165" fontId="10" fillId="0" borderId="2" xfId="9" applyNumberFormat="1" applyFont="1" applyFill="1" applyBorder="1" applyProtection="1"/>
    <xf numFmtId="164" fontId="10" fillId="0" borderId="0" xfId="12" applyFont="1" applyAlignment="1">
      <alignment horizontal="left" indent="1"/>
    </xf>
    <xf numFmtId="164" fontId="10" fillId="0" borderId="2" xfId="12" applyFont="1" applyBorder="1" applyAlignment="1">
      <alignment horizontal="center"/>
    </xf>
    <xf numFmtId="44" fontId="11" fillId="0" borderId="0" xfId="9" applyFont="1" applyFill="1" applyBorder="1"/>
    <xf numFmtId="37" fontId="11" fillId="0" borderId="0" xfId="12" applyNumberFormat="1" applyFont="1" applyAlignment="1">
      <alignment horizontal="left"/>
    </xf>
    <xf numFmtId="44" fontId="11" fillId="0" borderId="7" xfId="9" applyFont="1" applyFill="1" applyBorder="1"/>
    <xf numFmtId="164" fontId="11" fillId="0" borderId="9" xfId="12" applyFont="1" applyBorder="1" applyAlignment="1">
      <alignment horizontal="left"/>
    </xf>
    <xf numFmtId="44" fontId="11" fillId="0" borderId="11" xfId="9" applyFont="1" applyFill="1" applyBorder="1"/>
    <xf numFmtId="37" fontId="11" fillId="0" borderId="12" xfId="12" applyNumberFormat="1" applyFont="1" applyBorder="1"/>
    <xf numFmtId="164" fontId="10" fillId="0" borderId="16" xfId="12" applyFont="1" applyBorder="1" applyAlignment="1">
      <alignment horizontal="left" indent="1"/>
    </xf>
    <xf numFmtId="37" fontId="10" fillId="0" borderId="15" xfId="12" applyNumberFormat="1" applyFont="1" applyBorder="1"/>
    <xf numFmtId="37" fontId="10" fillId="0" borderId="14" xfId="12" applyNumberFormat="1" applyFont="1" applyBorder="1"/>
    <xf numFmtId="165" fontId="10" fillId="0" borderId="14" xfId="9" applyNumberFormat="1" applyFont="1" applyFill="1" applyBorder="1"/>
    <xf numFmtId="164" fontId="10" fillId="0" borderId="3" xfId="12" applyFont="1" applyBorder="1"/>
    <xf numFmtId="164" fontId="11" fillId="0" borderId="0" xfId="12" quotePrefix="1" applyFont="1" applyAlignment="1">
      <alignment horizontal="center"/>
    </xf>
    <xf numFmtId="43" fontId="11" fillId="0" borderId="0" xfId="1" applyFont="1" applyFill="1" applyAlignment="1" applyProtection="1">
      <alignment horizontal="left"/>
    </xf>
    <xf numFmtId="164" fontId="10" fillId="0" borderId="0" xfId="12" quotePrefix="1" applyFont="1" applyAlignment="1">
      <alignment horizontal="left"/>
    </xf>
    <xf numFmtId="43" fontId="10" fillId="0" borderId="0" xfId="1" quotePrefix="1" applyFont="1" applyFill="1" applyAlignment="1">
      <alignment horizontal="left"/>
    </xf>
    <xf numFmtId="164" fontId="4" fillId="0" borderId="0" xfId="3" applyFont="1" applyAlignment="1">
      <alignment horizontal="center"/>
    </xf>
    <xf numFmtId="164" fontId="4" fillId="0" borderId="0" xfId="0" applyFont="1" applyAlignment="1">
      <alignment horizontal="center"/>
    </xf>
    <xf numFmtId="164" fontId="5" fillId="0" borderId="0" xfId="3" quotePrefix="1" applyFont="1" applyAlignment="1">
      <alignment horizontal="center"/>
    </xf>
    <xf numFmtId="168" fontId="4" fillId="0" borderId="0" xfId="3" quotePrefix="1" applyNumberFormat="1" applyFont="1" applyAlignment="1">
      <alignment horizontal="center"/>
    </xf>
    <xf numFmtId="168" fontId="4" fillId="0" borderId="0" xfId="3" applyNumberFormat="1" applyFont="1" applyAlignment="1">
      <alignment horizontal="center"/>
    </xf>
    <xf numFmtId="164" fontId="4" fillId="0" borderId="0" xfId="12" applyFont="1" applyAlignment="1">
      <alignment horizontal="center"/>
    </xf>
    <xf numFmtId="39" fontId="23" fillId="0" borderId="26" xfId="14" applyFont="1" applyBorder="1" applyAlignment="1">
      <alignment horizontal="left" vertical="top"/>
    </xf>
    <xf numFmtId="39" fontId="23" fillId="0" borderId="27" xfId="14" applyFont="1" applyBorder="1" applyAlignment="1">
      <alignment horizontal="left" vertical="top"/>
    </xf>
    <xf numFmtId="39" fontId="23" fillId="0" borderId="27" xfId="15" applyNumberFormat="1" applyFont="1" applyBorder="1" applyAlignment="1">
      <alignment horizontal="left" vertical="top" wrapText="1"/>
    </xf>
    <xf numFmtId="39" fontId="23" fillId="0" borderId="28" xfId="15" applyNumberFormat="1" applyFont="1" applyBorder="1" applyAlignment="1">
      <alignment horizontal="left" vertical="top" wrapText="1"/>
    </xf>
    <xf numFmtId="39" fontId="24" fillId="0" borderId="0" xfId="14" applyFont="1" applyAlignment="1">
      <alignment horizontal="center"/>
    </xf>
    <xf numFmtId="39" fontId="23" fillId="0" borderId="0" xfId="15" applyNumberFormat="1" applyFont="1" applyAlignment="1">
      <alignment horizontal="right"/>
    </xf>
    <xf numFmtId="39" fontId="23" fillId="0" borderId="24" xfId="14" applyFont="1" applyBorder="1" applyAlignment="1">
      <alignment horizontal="left"/>
    </xf>
    <xf numFmtId="39" fontId="23" fillId="0" borderId="0" xfId="14" applyFont="1" applyAlignment="1">
      <alignment horizontal="left"/>
    </xf>
    <xf numFmtId="39" fontId="23" fillId="0" borderId="0" xfId="15" applyNumberFormat="1" applyFont="1" applyAlignment="1" applyProtection="1">
      <alignment horizontal="left"/>
      <protection locked="0"/>
    </xf>
    <xf numFmtId="39" fontId="23" fillId="0" borderId="25" xfId="15" applyNumberFormat="1" applyFont="1" applyBorder="1" applyAlignment="1" applyProtection="1">
      <alignment horizontal="left"/>
      <protection locked="0"/>
    </xf>
    <xf numFmtId="39" fontId="23" fillId="0" borderId="21" xfId="14" applyFont="1" applyBorder="1" applyAlignment="1">
      <alignment horizontal="left"/>
    </xf>
    <xf numFmtId="39" fontId="23" fillId="0" borderId="22" xfId="14" applyFont="1" applyBorder="1" applyAlignment="1">
      <alignment horizontal="left"/>
    </xf>
    <xf numFmtId="39" fontId="23" fillId="0" borderId="22" xfId="15" applyNumberFormat="1" applyFont="1" applyBorder="1" applyAlignment="1" applyProtection="1">
      <alignment horizontal="left"/>
      <protection locked="0"/>
    </xf>
    <xf numFmtId="39" fontId="23" fillId="0" borderId="23" xfId="15" applyNumberFormat="1" applyFont="1" applyBorder="1" applyAlignment="1" applyProtection="1">
      <alignment horizontal="left"/>
      <protection locked="0"/>
    </xf>
    <xf numFmtId="164" fontId="10" fillId="0" borderId="0" xfId="12" applyFont="1" applyAlignment="1">
      <alignment horizontal="center"/>
    </xf>
    <xf numFmtId="164" fontId="10" fillId="0" borderId="0" xfId="0" applyFont="1" applyAlignment="1" applyProtection="1">
      <alignment horizontal="center"/>
    </xf>
    <xf numFmtId="164" fontId="10" fillId="0" borderId="0" xfId="12" quotePrefix="1" applyFont="1" applyAlignment="1">
      <alignment horizontal="center"/>
    </xf>
    <xf numFmtId="164" fontId="11" fillId="0" borderId="0" xfId="12" applyFont="1"/>
  </cellXfs>
  <cellStyles count="18">
    <cellStyle name="20% - Accent4 2" xfId="4" xr:uid="{CF41533F-97A9-4D8F-A3A2-2B86C0317670}"/>
    <cellStyle name="Comma" xfId="1" builtinId="3"/>
    <cellStyle name="Comma 13 4" xfId="8" xr:uid="{00D853EC-A407-4C84-A2DB-E68868DC74D2}"/>
    <cellStyle name="Comma 16" xfId="16" xr:uid="{A486C597-E63E-411A-81EE-589268609A0B}"/>
    <cellStyle name="Comma 6 3 2" xfId="6" xr:uid="{5A83CC87-A80A-4119-9061-BDB0BDE8405D}"/>
    <cellStyle name="Currency 12 18" xfId="9" xr:uid="{16CEBD1D-45FE-4A17-B0D6-3B56E0A686DE}"/>
    <cellStyle name="Currency 13 4 2" xfId="5" xr:uid="{C816FDA0-45FB-419D-BE5C-56696F2BFF0C}"/>
    <cellStyle name="Currency 20" xfId="11" xr:uid="{6E1D8471-F93E-467B-A35A-8E01DC70E356}"/>
    <cellStyle name="Input" xfId="2" builtinId="20"/>
    <cellStyle name="Normal" xfId="0" builtinId="0"/>
    <cellStyle name="Normal 2 2 28" xfId="14" xr:uid="{2C7C639E-54BE-47B9-9DA7-588A7D5B8608}"/>
    <cellStyle name="Normal 2 40 2" xfId="15" xr:uid="{6E0528B3-1B39-46F1-B272-8770F23DF9ED}"/>
    <cellStyle name="Normal 25 3" xfId="3" xr:uid="{FA5C680D-576B-4D91-83FE-F501210AA3C8}"/>
    <cellStyle name="Normal 64" xfId="13" xr:uid="{F1FDD794-4934-4D66-829F-2BDB96B2987F}"/>
    <cellStyle name="Normal_CNGC Deferral Workpapers 2" xfId="12" xr:uid="{946A8BEB-85B3-47B6-A69F-79F602E3028D}"/>
    <cellStyle name="Normal_RORO9912" xfId="17" xr:uid="{C2980898-DCA7-4AB2-893E-A2B8144121EA}"/>
    <cellStyle name="Percent 2 26" xfId="10" xr:uid="{2B18C560-B4EE-4391-8D2B-5553355B06F5}"/>
    <cellStyle name="Percent 5 5 2" xfId="7" xr:uid="{15EF99C5-1ED3-4A5C-B4F8-E9113C7B84FC}"/>
  </cellStyles>
  <dxfs count="0"/>
  <tableStyles count="1" defaultTableStyle="TableStyleMedium2" defaultPivotStyle="PivotStyleLight16">
    <tableStyle name="Invisible" pivot="0" table="0" count="0" xr9:uid="{93E7FA27-EAEA-43C4-9B90-59F54197D3F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Allocation\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1G\GA\gascst99\DEFSUMW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RATES\PATRICIA\tran\2000\Tran0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tran\2001\Tran01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PGA%202014\Oregon\August%20Worksheets\Combined%20CNGC%20Gas%20Cost%20PGA%20Nov14-Oct15%20Workpaper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hie.barnard\Local%20Settings\Temporary%20Internet%20Files\Content.Outlook\GMUW2DQR\DEFSUMWA_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hie.barnard\Desktop\DEFSUMWA_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rans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RATES\KATHIE\semiannual\RORO99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4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GA\GASCOST\Gas%20Cost%20CY2008\Deferrals%20&amp;%20Amortizations\OR\DEFSUMOR_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Cascade%20Deferral%20Filing%20Development%20WPs%20(August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Deferral\Oregon\DEFSUMOR_03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NWN%202009-10%20Proposed%20Temps%20Oregon%202009-10%20PGA%20October%20filing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alice.peters\AppData\Local\Microsoft\Windows\INetCache\Content.Outlook\GUZ6KYV5\NEW,%20CNGC%20W21-09-04%20Unprotected%20Sch%20582%20WP,%2009-15-202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alice.peters\AppData\Local\Microsoft\Windows\INetCache\Content.Outlook\GUZ6KYV5\NEW,%20CNGC%20W21-09-04%20Sch%20581%20582%20WP,%2009-15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KATHIE\semiannual\Rorw09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cs\Local%20Settings\Temporary%20Internet%20Files\Temporary%20Internet%20Files\OLK82\2009\NWN%202009-10%20PGA%20gas%20cost%20file%20October%20filing%20(3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alice.peters\AppData\Local\Microsoft\Windows\INetCache\Content.Outlook\GUZ6KYV5\07-2019%20DEFSUMWATAX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Accounting%20Reports\DEFSUMWA-TAX\07-2019%20DEFSUMWATAX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ept\Rates\PGA%202024\WA%20PGA\PGA\NEW-CNGC-Advice-W24-09-01-PGA-WP-09.13.24.xlsx" TargetMode="External"/><Relationship Id="rId1" Type="http://schemas.openxmlformats.org/officeDocument/2006/relationships/externalLinkPath" Target="/Dept/Rates/PGA%202024/WA%20PGA/PGA/NEW-CNGC-Advice-W24-09-01-PGA-WP-09.13.2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alice.peters\AppData\Local\Microsoft\Windows\INetCache\Content.Outlook\GUZ6KYV5\07-2021%20DEFSUMWATAX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Accounting%20Reports\DEFSUMWA-TAX\05-2021%20DEFSUMWATA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ma_files\MA9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Deferral\Oregon\DEFSUM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"/>
      <sheetName val="Unprotected Cost Allocation"/>
      <sheetName val="Unpro. Amount Change"/>
      <sheetName val="Unpro. Proposed Typical Bill"/>
      <sheetName val="Unprot. Proposed Rate Adj."/>
      <sheetName val="Workpapers---&gt;"/>
      <sheetName val="Test Period Volumes"/>
      <sheetName val="Bills-Therms-Revs"/>
      <sheetName val="47WA.2540.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>
        <row r="7">
          <cell r="H7">
            <v>60110971</v>
          </cell>
        </row>
      </sheetData>
      <sheetData sheetId="7">
        <row r="12">
          <cell r="F12">
            <v>193657</v>
          </cell>
        </row>
      </sheetData>
      <sheetData sheetId="8">
        <row r="57">
          <cell r="H57">
            <v>-911580.45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81 582 Table of Contents"/>
      <sheetName val="Protected Rate Allocation"/>
      <sheetName val="Protected Amount Change"/>
      <sheetName val="Effects of Protected Avg. Bill"/>
      <sheetName val="Protected Proposed Rate Adj."/>
      <sheetName val="Unprotected Cost Allocation"/>
      <sheetName val="Unpro. Amount Change"/>
      <sheetName val="Effects of UPT Avg. Bill"/>
      <sheetName val="Unprot. Proposed Rate Adj."/>
      <sheetName val="Workpapers---&gt;"/>
      <sheetName val="Combined 581 &amp; 582"/>
      <sheetName val="Test Period Volumes"/>
      <sheetName val="Bills-Therms-Revs"/>
      <sheetName val="2540.20481"/>
      <sheetName val="2540.20482"/>
      <sheetName val="47WA.2540.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1.0197703281240886E-3</v>
          </cell>
        </row>
      </sheetData>
      <sheetData sheetId="6">
        <row r="1">
          <cell r="L1" t="str">
            <v>W21-09-04</v>
          </cell>
        </row>
        <row r="2">
          <cell r="L2" t="str">
            <v>UPT Exhibit A</v>
          </cell>
        </row>
      </sheetData>
      <sheetData sheetId="7"/>
      <sheetData sheetId="8"/>
      <sheetData sheetId="9" refreshError="1"/>
      <sheetData sheetId="10" refreshError="1"/>
      <sheetData sheetId="11">
        <row r="7">
          <cell r="H7">
            <v>60110971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Combined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 refreshError="1"/>
      <sheetData sheetId="1" refreshError="1"/>
      <sheetData sheetId="2" refreshError="1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A Rate Schedule Changes"/>
      <sheetName val="PGA TTA Table of Content"/>
      <sheetName val="PGA Demand Cost Allocation"/>
      <sheetName val="PGA Amount Change"/>
      <sheetName val="Effects of PGA Avg. Bill"/>
      <sheetName val="PGA Proposed Rate Adj."/>
      <sheetName val="TTA Summary of Def. Accts."/>
      <sheetName val="TTA Proposed Rate 590"/>
      <sheetName val="TTA Amount of Change"/>
      <sheetName val="Effects of TTA Avg. Bill"/>
      <sheetName val="Combined PGA TTA Avg Bill"/>
      <sheetName val="CPA Table of Contents"/>
      <sheetName val="CPA Summary of Def. Accts."/>
      <sheetName val="CPA Proposed Rate 596"/>
      <sheetName val="CPA Amount of Change"/>
      <sheetName val="Effects of CPA Avg. Bill"/>
      <sheetName val="582 Table of Contents"/>
      <sheetName val="Unprotected Cost Allocation"/>
      <sheetName val="Unpro. Amount Change"/>
      <sheetName val="Effects of UPT Avg. Bill"/>
      <sheetName val="Unprot. Proposed Rate Adj."/>
      <sheetName val="47WA.2540."/>
      <sheetName val="Workpapers---&gt;"/>
      <sheetName val="Balances at 7-31-2024"/>
      <sheetName val="Int calc thru 10-31-2024"/>
      <sheetName val="Amort Calc thru 10-31-2024"/>
      <sheetName val="EstimatedBalances"/>
      <sheetName val=" 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D9" t="str">
            <v>UG-210755</v>
          </cell>
        </row>
        <row r="11">
          <cell r="F11">
            <v>45444</v>
          </cell>
        </row>
        <row r="16">
          <cell r="D16">
            <v>54</v>
          </cell>
          <cell r="E16">
            <v>5</v>
          </cell>
          <cell r="F16">
            <v>1.6048500000000001</v>
          </cell>
        </row>
        <row r="18">
          <cell r="D18">
            <v>271</v>
          </cell>
          <cell r="E18">
            <v>13</v>
          </cell>
          <cell r="F18">
            <v>1.5259</v>
          </cell>
        </row>
        <row r="20">
          <cell r="E20">
            <v>60</v>
          </cell>
        </row>
        <row r="21">
          <cell r="F21">
            <v>1.46</v>
          </cell>
        </row>
        <row r="22">
          <cell r="F22">
            <v>1.42069</v>
          </cell>
        </row>
        <row r="23">
          <cell r="F23">
            <v>1.41475</v>
          </cell>
        </row>
        <row r="24">
          <cell r="D24">
            <v>1992</v>
          </cell>
        </row>
        <row r="26">
          <cell r="E26">
            <v>125</v>
          </cell>
        </row>
        <row r="27">
          <cell r="F27">
            <v>1.41357</v>
          </cell>
        </row>
        <row r="28">
          <cell r="F28">
            <v>1.3748400000000001</v>
          </cell>
        </row>
        <row r="29">
          <cell r="F29">
            <v>1.2790299999999999</v>
          </cell>
        </row>
        <row r="30">
          <cell r="D30">
            <v>16639</v>
          </cell>
        </row>
        <row r="32">
          <cell r="E32">
            <v>163</v>
          </cell>
        </row>
        <row r="33">
          <cell r="F33">
            <v>1.3115399999999999</v>
          </cell>
        </row>
        <row r="34">
          <cell r="F34">
            <v>1.24617</v>
          </cell>
        </row>
        <row r="35">
          <cell r="D35">
            <v>23233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====&gt; Unused Tabs"/>
      <sheetName val="2540.20485"/>
      <sheetName val="Temp Rate Credit Base"/>
      <sheetName val="2540.20486"/>
      <sheetName val="Temp Rate Credit Gross up"/>
      <sheetName val="Aug 18 True-up JE UP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G12">
            <v>-398753.06</v>
          </cell>
        </row>
      </sheetData>
      <sheetData sheetId="11"/>
      <sheetData sheetId="12">
        <row r="12">
          <cell r="G12">
            <v>-115275.12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====&gt; Unused Tabs"/>
      <sheetName val="2540.20485"/>
      <sheetName val="Temp Rate Credit Base"/>
      <sheetName val="2540.20486"/>
      <sheetName val="Temp Rate Credit Gross up"/>
      <sheetName val="Aug 18 True-up JE UP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8">
          <cell r="E38">
            <v>23704.920000000002</v>
          </cell>
        </row>
        <row r="41">
          <cell r="D41">
            <v>-54753.8</v>
          </cell>
        </row>
      </sheetData>
      <sheetData sheetId="11"/>
      <sheetData sheetId="12">
        <row r="38">
          <cell r="E38">
            <v>7457.01</v>
          </cell>
        </row>
        <row r="41">
          <cell r="D41">
            <v>-15828.72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88A1-313D-4D1D-9234-F837466645CB}">
  <dimension ref="B2:J28"/>
  <sheetViews>
    <sheetView tabSelected="1" workbookViewId="0">
      <selection activeCell="A12" sqref="A12:G12 J39"/>
    </sheetView>
  </sheetViews>
  <sheetFormatPr defaultRowHeight="10.5" x14ac:dyDescent="0.15"/>
  <cols>
    <col min="2" max="2" width="67.1640625" bestFit="1" customWidth="1"/>
    <col min="6" max="6" width="10.1640625" style="10" bestFit="1" customWidth="1"/>
  </cols>
  <sheetData>
    <row r="2" spans="2:10" ht="15.75" x14ac:dyDescent="0.25">
      <c r="B2" s="296" t="s">
        <v>0</v>
      </c>
      <c r="C2" s="296"/>
      <c r="D2" s="296"/>
      <c r="E2" s="296"/>
      <c r="F2" s="296"/>
      <c r="G2" s="1"/>
      <c r="H2" s="1"/>
      <c r="I2" s="1"/>
      <c r="J2" s="1"/>
    </row>
    <row r="4" spans="2:10" ht="15.75" x14ac:dyDescent="0.25">
      <c r="B4" s="297" t="s">
        <v>1</v>
      </c>
      <c r="C4" s="297"/>
      <c r="D4" s="297"/>
      <c r="E4" s="297"/>
      <c r="F4" s="297"/>
      <c r="G4" s="2"/>
      <c r="H4" s="2"/>
      <c r="I4" s="2"/>
      <c r="J4" s="2"/>
    </row>
    <row r="7" spans="2:10" ht="15.75" x14ac:dyDescent="0.25">
      <c r="B7" s="297" t="s">
        <v>2</v>
      </c>
      <c r="C7" s="297"/>
      <c r="D7" s="297"/>
      <c r="E7" s="297"/>
      <c r="F7" s="297"/>
    </row>
    <row r="10" spans="2:10" ht="15.75" x14ac:dyDescent="0.25">
      <c r="B10" s="3" t="s">
        <v>3</v>
      </c>
      <c r="C10" s="4"/>
      <c r="D10" s="4"/>
      <c r="E10" s="4"/>
      <c r="F10" s="3" t="s">
        <v>4</v>
      </c>
      <c r="G10" s="4"/>
    </row>
    <row r="11" spans="2:10" ht="15.75" x14ac:dyDescent="0.25">
      <c r="B11" s="4"/>
      <c r="C11" s="4"/>
      <c r="D11" s="4"/>
      <c r="E11" s="4"/>
      <c r="F11" s="5"/>
      <c r="G11" s="4"/>
    </row>
    <row r="12" spans="2:10" ht="15.75" x14ac:dyDescent="0.25">
      <c r="B12" s="6" t="s">
        <v>5</v>
      </c>
      <c r="C12" s="6"/>
      <c r="D12" s="6"/>
      <c r="E12" s="6"/>
      <c r="F12" s="7">
        <v>1</v>
      </c>
      <c r="G12" s="4"/>
    </row>
    <row r="13" spans="2:10" ht="15.75" x14ac:dyDescent="0.25">
      <c r="B13" s="6" t="s">
        <v>6</v>
      </c>
      <c r="C13" s="6"/>
      <c r="D13" s="6"/>
      <c r="E13" s="6"/>
      <c r="F13" s="7">
        <v>2</v>
      </c>
      <c r="G13" s="4"/>
    </row>
    <row r="14" spans="2:10" ht="15.75" x14ac:dyDescent="0.25">
      <c r="B14" s="6" t="s">
        <v>7</v>
      </c>
      <c r="C14" s="6"/>
      <c r="D14" s="6"/>
      <c r="E14" s="6"/>
      <c r="F14" s="7">
        <v>3</v>
      </c>
      <c r="G14" s="4"/>
    </row>
    <row r="15" spans="2:10" ht="15.75" x14ac:dyDescent="0.25">
      <c r="B15" s="6" t="s">
        <v>8</v>
      </c>
      <c r="C15" s="6"/>
      <c r="D15" s="6"/>
      <c r="E15" s="6"/>
      <c r="F15" s="7">
        <v>4</v>
      </c>
      <c r="G15" s="4"/>
    </row>
    <row r="16" spans="2:10" ht="15.75" x14ac:dyDescent="0.25">
      <c r="C16" s="6"/>
      <c r="D16" s="6"/>
      <c r="E16" s="6"/>
      <c r="F16" s="8"/>
      <c r="G16" s="4"/>
    </row>
    <row r="17" spans="2:7" ht="15.75" x14ac:dyDescent="0.25">
      <c r="C17" s="6"/>
      <c r="D17" s="6"/>
      <c r="E17" s="6"/>
      <c r="F17" s="7"/>
      <c r="G17" s="4"/>
    </row>
    <row r="18" spans="2:7" ht="15.75" x14ac:dyDescent="0.25">
      <c r="C18" s="6"/>
      <c r="D18" s="6"/>
      <c r="E18" s="6"/>
      <c r="F18" s="7"/>
      <c r="G18" s="4"/>
    </row>
    <row r="19" spans="2:7" ht="15.75" x14ac:dyDescent="0.25">
      <c r="C19" s="6"/>
      <c r="D19" s="6"/>
      <c r="E19" s="6"/>
      <c r="F19" s="7"/>
      <c r="G19" s="4"/>
    </row>
    <row r="20" spans="2:7" ht="15.75" x14ac:dyDescent="0.25">
      <c r="B20" s="4"/>
      <c r="C20" s="4"/>
      <c r="D20" s="4"/>
      <c r="E20" s="4"/>
      <c r="F20" s="9"/>
      <c r="G20" s="4"/>
    </row>
    <row r="21" spans="2:7" ht="15.75" x14ac:dyDescent="0.25">
      <c r="B21" s="4"/>
      <c r="C21" s="4"/>
      <c r="D21" s="4"/>
      <c r="E21" s="4"/>
      <c r="F21" s="5"/>
      <c r="G21" s="4"/>
    </row>
    <row r="22" spans="2:7" ht="15.75" x14ac:dyDescent="0.25">
      <c r="B22" s="4"/>
      <c r="C22" s="4"/>
      <c r="D22" s="4"/>
      <c r="E22" s="4"/>
      <c r="F22" s="5"/>
      <c r="G22" s="4"/>
    </row>
    <row r="23" spans="2:7" ht="15.75" x14ac:dyDescent="0.25">
      <c r="B23" s="4"/>
      <c r="C23" s="4"/>
      <c r="D23" s="4"/>
      <c r="E23" s="4"/>
      <c r="F23" s="5"/>
      <c r="G23" s="4"/>
    </row>
    <row r="24" spans="2:7" ht="15.75" x14ac:dyDescent="0.25">
      <c r="B24" s="4"/>
      <c r="C24" s="4"/>
      <c r="D24" s="4"/>
      <c r="E24" s="4"/>
      <c r="F24" s="5"/>
      <c r="G24" s="4"/>
    </row>
    <row r="25" spans="2:7" ht="15.75" x14ac:dyDescent="0.25">
      <c r="B25" s="4"/>
      <c r="C25" s="4"/>
      <c r="D25" s="4"/>
      <c r="E25" s="4"/>
      <c r="F25" s="5"/>
      <c r="G25" s="4"/>
    </row>
    <row r="26" spans="2:7" ht="15.75" x14ac:dyDescent="0.25">
      <c r="B26" s="4"/>
      <c r="C26" s="4"/>
      <c r="D26" s="4"/>
      <c r="E26" s="4"/>
      <c r="F26" s="5"/>
      <c r="G26" s="4"/>
    </row>
    <row r="27" spans="2:7" ht="15.75" x14ac:dyDescent="0.25">
      <c r="B27" s="4"/>
      <c r="C27" s="4"/>
      <c r="D27" s="4"/>
      <c r="E27" s="4"/>
      <c r="F27" s="5"/>
      <c r="G27" s="4"/>
    </row>
    <row r="28" spans="2:7" ht="15.75" x14ac:dyDescent="0.25">
      <c r="B28" s="4"/>
      <c r="C28" s="4"/>
      <c r="D28" s="4"/>
      <c r="E28" s="4"/>
      <c r="F28" s="5"/>
      <c r="G28" s="4"/>
    </row>
  </sheetData>
  <mergeCells count="3">
    <mergeCell ref="B2:F2"/>
    <mergeCell ref="B4:F4"/>
    <mergeCell ref="B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422B1-90BD-43DF-994A-C7AD34B8248E}">
  <sheetPr>
    <pageSetUpPr fitToPage="1"/>
  </sheetPr>
  <dimension ref="A1:X31"/>
  <sheetViews>
    <sheetView tabSelected="1" view="pageBreakPreview" zoomScale="106" zoomScaleNormal="100" zoomScaleSheetLayoutView="106" workbookViewId="0">
      <selection activeCell="A12" sqref="A12:G12 J39"/>
    </sheetView>
  </sheetViews>
  <sheetFormatPr defaultRowHeight="10.5" x14ac:dyDescent="0.15"/>
  <cols>
    <col min="1" max="1" width="9.33203125" style="12"/>
    <col min="2" max="2" width="12.6640625" style="12" customWidth="1"/>
    <col min="3" max="3" width="22.5" style="12" customWidth="1"/>
    <col min="4" max="4" width="21.33203125" style="12" bestFit="1" customWidth="1"/>
    <col min="5" max="5" width="3" style="12" customWidth="1"/>
    <col min="6" max="6" width="22" style="12" bestFit="1" customWidth="1"/>
    <col min="7" max="7" width="2.83203125" style="12" customWidth="1"/>
    <col min="8" max="8" width="20.6640625" style="12" bestFit="1" customWidth="1"/>
    <col min="9" max="9" width="18.5" style="12" bestFit="1" customWidth="1"/>
    <col min="10" max="10" width="21.33203125" style="12" bestFit="1" customWidth="1"/>
    <col min="11" max="11" width="20" style="12" bestFit="1" customWidth="1"/>
    <col min="12" max="12" width="21.83203125" style="12" bestFit="1" customWidth="1"/>
    <col min="13" max="13" width="2.83203125" style="12" customWidth="1"/>
    <col min="14" max="14" width="15.83203125" style="12" bestFit="1" customWidth="1"/>
    <col min="15" max="15" width="4.1640625" style="12" customWidth="1"/>
    <col min="16" max="16" width="10.83203125" style="12" customWidth="1"/>
    <col min="17" max="17" width="3.1640625" style="12" customWidth="1"/>
    <col min="18" max="18" width="11" style="12" customWidth="1"/>
    <col min="19" max="19" width="3" style="12" customWidth="1"/>
    <col min="20" max="20" width="11.1640625" style="12" customWidth="1"/>
    <col min="21" max="21" width="3.5" style="12" customWidth="1"/>
    <col min="22" max="257" width="9.33203125" style="12"/>
    <col min="258" max="258" width="12.6640625" style="12" customWidth="1"/>
    <col min="259" max="259" width="20.6640625" style="12" customWidth="1"/>
    <col min="260" max="260" width="13" style="12" customWidth="1"/>
    <col min="261" max="261" width="3" style="12" customWidth="1"/>
    <col min="262" max="262" width="16.1640625" style="12" customWidth="1"/>
    <col min="263" max="263" width="2.83203125" style="12" customWidth="1"/>
    <col min="264" max="264" width="13.33203125" style="12" customWidth="1"/>
    <col min="265" max="265" width="3.33203125" style="12" customWidth="1"/>
    <col min="266" max="266" width="11.83203125" style="12" customWidth="1"/>
    <col min="267" max="267" width="3" style="12" customWidth="1"/>
    <col min="268" max="268" width="16" style="12" customWidth="1"/>
    <col min="269" max="269" width="2.83203125" style="12" customWidth="1"/>
    <col min="270" max="270" width="10.5" style="12" customWidth="1"/>
    <col min="271" max="271" width="4.1640625" style="12" customWidth="1"/>
    <col min="272" max="272" width="10.83203125" style="12" customWidth="1"/>
    <col min="273" max="273" width="3.1640625" style="12" customWidth="1"/>
    <col min="274" max="274" width="11" style="12" customWidth="1"/>
    <col min="275" max="275" width="3" style="12" customWidth="1"/>
    <col min="276" max="276" width="11.1640625" style="12" customWidth="1"/>
    <col min="277" max="277" width="3.5" style="12" customWidth="1"/>
    <col min="278" max="513" width="9.33203125" style="12"/>
    <col min="514" max="514" width="12.6640625" style="12" customWidth="1"/>
    <col min="515" max="515" width="20.6640625" style="12" customWidth="1"/>
    <col min="516" max="516" width="13" style="12" customWidth="1"/>
    <col min="517" max="517" width="3" style="12" customWidth="1"/>
    <col min="518" max="518" width="16.1640625" style="12" customWidth="1"/>
    <col min="519" max="519" width="2.83203125" style="12" customWidth="1"/>
    <col min="520" max="520" width="13.33203125" style="12" customWidth="1"/>
    <col min="521" max="521" width="3.33203125" style="12" customWidth="1"/>
    <col min="522" max="522" width="11.83203125" style="12" customWidth="1"/>
    <col min="523" max="523" width="3" style="12" customWidth="1"/>
    <col min="524" max="524" width="16" style="12" customWidth="1"/>
    <col min="525" max="525" width="2.83203125" style="12" customWidth="1"/>
    <col min="526" max="526" width="10.5" style="12" customWidth="1"/>
    <col min="527" max="527" width="4.1640625" style="12" customWidth="1"/>
    <col min="528" max="528" width="10.83203125" style="12" customWidth="1"/>
    <col min="529" max="529" width="3.1640625" style="12" customWidth="1"/>
    <col min="530" max="530" width="11" style="12" customWidth="1"/>
    <col min="531" max="531" width="3" style="12" customWidth="1"/>
    <col min="532" max="532" width="11.1640625" style="12" customWidth="1"/>
    <col min="533" max="533" width="3.5" style="12" customWidth="1"/>
    <col min="534" max="769" width="9.33203125" style="12"/>
    <col min="770" max="770" width="12.6640625" style="12" customWidth="1"/>
    <col min="771" max="771" width="20.6640625" style="12" customWidth="1"/>
    <col min="772" max="772" width="13" style="12" customWidth="1"/>
    <col min="773" max="773" width="3" style="12" customWidth="1"/>
    <col min="774" max="774" width="16.1640625" style="12" customWidth="1"/>
    <col min="775" max="775" width="2.83203125" style="12" customWidth="1"/>
    <col min="776" max="776" width="13.33203125" style="12" customWidth="1"/>
    <col min="777" max="777" width="3.33203125" style="12" customWidth="1"/>
    <col min="778" max="778" width="11.83203125" style="12" customWidth="1"/>
    <col min="779" max="779" width="3" style="12" customWidth="1"/>
    <col min="780" max="780" width="16" style="12" customWidth="1"/>
    <col min="781" max="781" width="2.83203125" style="12" customWidth="1"/>
    <col min="782" max="782" width="10.5" style="12" customWidth="1"/>
    <col min="783" max="783" width="4.1640625" style="12" customWidth="1"/>
    <col min="784" max="784" width="10.83203125" style="12" customWidth="1"/>
    <col min="785" max="785" width="3.1640625" style="12" customWidth="1"/>
    <col min="786" max="786" width="11" style="12" customWidth="1"/>
    <col min="787" max="787" width="3" style="12" customWidth="1"/>
    <col min="788" max="788" width="11.1640625" style="12" customWidth="1"/>
    <col min="789" max="789" width="3.5" style="12" customWidth="1"/>
    <col min="790" max="1025" width="9.33203125" style="12"/>
    <col min="1026" max="1026" width="12.6640625" style="12" customWidth="1"/>
    <col min="1027" max="1027" width="20.6640625" style="12" customWidth="1"/>
    <col min="1028" max="1028" width="13" style="12" customWidth="1"/>
    <col min="1029" max="1029" width="3" style="12" customWidth="1"/>
    <col min="1030" max="1030" width="16.1640625" style="12" customWidth="1"/>
    <col min="1031" max="1031" width="2.83203125" style="12" customWidth="1"/>
    <col min="1032" max="1032" width="13.33203125" style="12" customWidth="1"/>
    <col min="1033" max="1033" width="3.33203125" style="12" customWidth="1"/>
    <col min="1034" max="1034" width="11.83203125" style="12" customWidth="1"/>
    <col min="1035" max="1035" width="3" style="12" customWidth="1"/>
    <col min="1036" max="1036" width="16" style="12" customWidth="1"/>
    <col min="1037" max="1037" width="2.83203125" style="12" customWidth="1"/>
    <col min="1038" max="1038" width="10.5" style="12" customWidth="1"/>
    <col min="1039" max="1039" width="4.1640625" style="12" customWidth="1"/>
    <col min="1040" max="1040" width="10.83203125" style="12" customWidth="1"/>
    <col min="1041" max="1041" width="3.1640625" style="12" customWidth="1"/>
    <col min="1042" max="1042" width="11" style="12" customWidth="1"/>
    <col min="1043" max="1043" width="3" style="12" customWidth="1"/>
    <col min="1044" max="1044" width="11.1640625" style="12" customWidth="1"/>
    <col min="1045" max="1045" width="3.5" style="12" customWidth="1"/>
    <col min="1046" max="1281" width="9.33203125" style="12"/>
    <col min="1282" max="1282" width="12.6640625" style="12" customWidth="1"/>
    <col min="1283" max="1283" width="20.6640625" style="12" customWidth="1"/>
    <col min="1284" max="1284" width="13" style="12" customWidth="1"/>
    <col min="1285" max="1285" width="3" style="12" customWidth="1"/>
    <col min="1286" max="1286" width="16.1640625" style="12" customWidth="1"/>
    <col min="1287" max="1287" width="2.83203125" style="12" customWidth="1"/>
    <col min="1288" max="1288" width="13.33203125" style="12" customWidth="1"/>
    <col min="1289" max="1289" width="3.33203125" style="12" customWidth="1"/>
    <col min="1290" max="1290" width="11.83203125" style="12" customWidth="1"/>
    <col min="1291" max="1291" width="3" style="12" customWidth="1"/>
    <col min="1292" max="1292" width="16" style="12" customWidth="1"/>
    <col min="1293" max="1293" width="2.83203125" style="12" customWidth="1"/>
    <col min="1294" max="1294" width="10.5" style="12" customWidth="1"/>
    <col min="1295" max="1295" width="4.1640625" style="12" customWidth="1"/>
    <col min="1296" max="1296" width="10.83203125" style="12" customWidth="1"/>
    <col min="1297" max="1297" width="3.1640625" style="12" customWidth="1"/>
    <col min="1298" max="1298" width="11" style="12" customWidth="1"/>
    <col min="1299" max="1299" width="3" style="12" customWidth="1"/>
    <col min="1300" max="1300" width="11.1640625" style="12" customWidth="1"/>
    <col min="1301" max="1301" width="3.5" style="12" customWidth="1"/>
    <col min="1302" max="1537" width="9.33203125" style="12"/>
    <col min="1538" max="1538" width="12.6640625" style="12" customWidth="1"/>
    <col min="1539" max="1539" width="20.6640625" style="12" customWidth="1"/>
    <col min="1540" max="1540" width="13" style="12" customWidth="1"/>
    <col min="1541" max="1541" width="3" style="12" customWidth="1"/>
    <col min="1542" max="1542" width="16.1640625" style="12" customWidth="1"/>
    <col min="1543" max="1543" width="2.83203125" style="12" customWidth="1"/>
    <col min="1544" max="1544" width="13.33203125" style="12" customWidth="1"/>
    <col min="1545" max="1545" width="3.33203125" style="12" customWidth="1"/>
    <col min="1546" max="1546" width="11.83203125" style="12" customWidth="1"/>
    <col min="1547" max="1547" width="3" style="12" customWidth="1"/>
    <col min="1548" max="1548" width="16" style="12" customWidth="1"/>
    <col min="1549" max="1549" width="2.83203125" style="12" customWidth="1"/>
    <col min="1550" max="1550" width="10.5" style="12" customWidth="1"/>
    <col min="1551" max="1551" width="4.1640625" style="12" customWidth="1"/>
    <col min="1552" max="1552" width="10.83203125" style="12" customWidth="1"/>
    <col min="1553" max="1553" width="3.1640625" style="12" customWidth="1"/>
    <col min="1554" max="1554" width="11" style="12" customWidth="1"/>
    <col min="1555" max="1555" width="3" style="12" customWidth="1"/>
    <col min="1556" max="1556" width="11.1640625" style="12" customWidth="1"/>
    <col min="1557" max="1557" width="3.5" style="12" customWidth="1"/>
    <col min="1558" max="1793" width="9.33203125" style="12"/>
    <col min="1794" max="1794" width="12.6640625" style="12" customWidth="1"/>
    <col min="1795" max="1795" width="20.6640625" style="12" customWidth="1"/>
    <col min="1796" max="1796" width="13" style="12" customWidth="1"/>
    <col min="1797" max="1797" width="3" style="12" customWidth="1"/>
    <col min="1798" max="1798" width="16.1640625" style="12" customWidth="1"/>
    <col min="1799" max="1799" width="2.83203125" style="12" customWidth="1"/>
    <col min="1800" max="1800" width="13.33203125" style="12" customWidth="1"/>
    <col min="1801" max="1801" width="3.33203125" style="12" customWidth="1"/>
    <col min="1802" max="1802" width="11.83203125" style="12" customWidth="1"/>
    <col min="1803" max="1803" width="3" style="12" customWidth="1"/>
    <col min="1804" max="1804" width="16" style="12" customWidth="1"/>
    <col min="1805" max="1805" width="2.83203125" style="12" customWidth="1"/>
    <col min="1806" max="1806" width="10.5" style="12" customWidth="1"/>
    <col min="1807" max="1807" width="4.1640625" style="12" customWidth="1"/>
    <col min="1808" max="1808" width="10.83203125" style="12" customWidth="1"/>
    <col min="1809" max="1809" width="3.1640625" style="12" customWidth="1"/>
    <col min="1810" max="1810" width="11" style="12" customWidth="1"/>
    <col min="1811" max="1811" width="3" style="12" customWidth="1"/>
    <col min="1812" max="1812" width="11.1640625" style="12" customWidth="1"/>
    <col min="1813" max="1813" width="3.5" style="12" customWidth="1"/>
    <col min="1814" max="2049" width="9.33203125" style="12"/>
    <col min="2050" max="2050" width="12.6640625" style="12" customWidth="1"/>
    <col min="2051" max="2051" width="20.6640625" style="12" customWidth="1"/>
    <col min="2052" max="2052" width="13" style="12" customWidth="1"/>
    <col min="2053" max="2053" width="3" style="12" customWidth="1"/>
    <col min="2054" max="2054" width="16.1640625" style="12" customWidth="1"/>
    <col min="2055" max="2055" width="2.83203125" style="12" customWidth="1"/>
    <col min="2056" max="2056" width="13.33203125" style="12" customWidth="1"/>
    <col min="2057" max="2057" width="3.33203125" style="12" customWidth="1"/>
    <col min="2058" max="2058" width="11.83203125" style="12" customWidth="1"/>
    <col min="2059" max="2059" width="3" style="12" customWidth="1"/>
    <col min="2060" max="2060" width="16" style="12" customWidth="1"/>
    <col min="2061" max="2061" width="2.83203125" style="12" customWidth="1"/>
    <col min="2062" max="2062" width="10.5" style="12" customWidth="1"/>
    <col min="2063" max="2063" width="4.1640625" style="12" customWidth="1"/>
    <col min="2064" max="2064" width="10.83203125" style="12" customWidth="1"/>
    <col min="2065" max="2065" width="3.1640625" style="12" customWidth="1"/>
    <col min="2066" max="2066" width="11" style="12" customWidth="1"/>
    <col min="2067" max="2067" width="3" style="12" customWidth="1"/>
    <col min="2068" max="2068" width="11.1640625" style="12" customWidth="1"/>
    <col min="2069" max="2069" width="3.5" style="12" customWidth="1"/>
    <col min="2070" max="2305" width="9.33203125" style="12"/>
    <col min="2306" max="2306" width="12.6640625" style="12" customWidth="1"/>
    <col min="2307" max="2307" width="20.6640625" style="12" customWidth="1"/>
    <col min="2308" max="2308" width="13" style="12" customWidth="1"/>
    <col min="2309" max="2309" width="3" style="12" customWidth="1"/>
    <col min="2310" max="2310" width="16.1640625" style="12" customWidth="1"/>
    <col min="2311" max="2311" width="2.83203125" style="12" customWidth="1"/>
    <col min="2312" max="2312" width="13.33203125" style="12" customWidth="1"/>
    <col min="2313" max="2313" width="3.33203125" style="12" customWidth="1"/>
    <col min="2314" max="2314" width="11.83203125" style="12" customWidth="1"/>
    <col min="2315" max="2315" width="3" style="12" customWidth="1"/>
    <col min="2316" max="2316" width="16" style="12" customWidth="1"/>
    <col min="2317" max="2317" width="2.83203125" style="12" customWidth="1"/>
    <col min="2318" max="2318" width="10.5" style="12" customWidth="1"/>
    <col min="2319" max="2319" width="4.1640625" style="12" customWidth="1"/>
    <col min="2320" max="2320" width="10.83203125" style="12" customWidth="1"/>
    <col min="2321" max="2321" width="3.1640625" style="12" customWidth="1"/>
    <col min="2322" max="2322" width="11" style="12" customWidth="1"/>
    <col min="2323" max="2323" width="3" style="12" customWidth="1"/>
    <col min="2324" max="2324" width="11.1640625" style="12" customWidth="1"/>
    <col min="2325" max="2325" width="3.5" style="12" customWidth="1"/>
    <col min="2326" max="2561" width="9.33203125" style="12"/>
    <col min="2562" max="2562" width="12.6640625" style="12" customWidth="1"/>
    <col min="2563" max="2563" width="20.6640625" style="12" customWidth="1"/>
    <col min="2564" max="2564" width="13" style="12" customWidth="1"/>
    <col min="2565" max="2565" width="3" style="12" customWidth="1"/>
    <col min="2566" max="2566" width="16.1640625" style="12" customWidth="1"/>
    <col min="2567" max="2567" width="2.83203125" style="12" customWidth="1"/>
    <col min="2568" max="2568" width="13.33203125" style="12" customWidth="1"/>
    <col min="2569" max="2569" width="3.33203125" style="12" customWidth="1"/>
    <col min="2570" max="2570" width="11.83203125" style="12" customWidth="1"/>
    <col min="2571" max="2571" width="3" style="12" customWidth="1"/>
    <col min="2572" max="2572" width="16" style="12" customWidth="1"/>
    <col min="2573" max="2573" width="2.83203125" style="12" customWidth="1"/>
    <col min="2574" max="2574" width="10.5" style="12" customWidth="1"/>
    <col min="2575" max="2575" width="4.1640625" style="12" customWidth="1"/>
    <col min="2576" max="2576" width="10.83203125" style="12" customWidth="1"/>
    <col min="2577" max="2577" width="3.1640625" style="12" customWidth="1"/>
    <col min="2578" max="2578" width="11" style="12" customWidth="1"/>
    <col min="2579" max="2579" width="3" style="12" customWidth="1"/>
    <col min="2580" max="2580" width="11.1640625" style="12" customWidth="1"/>
    <col min="2581" max="2581" width="3.5" style="12" customWidth="1"/>
    <col min="2582" max="2817" width="9.33203125" style="12"/>
    <col min="2818" max="2818" width="12.6640625" style="12" customWidth="1"/>
    <col min="2819" max="2819" width="20.6640625" style="12" customWidth="1"/>
    <col min="2820" max="2820" width="13" style="12" customWidth="1"/>
    <col min="2821" max="2821" width="3" style="12" customWidth="1"/>
    <col min="2822" max="2822" width="16.1640625" style="12" customWidth="1"/>
    <col min="2823" max="2823" width="2.83203125" style="12" customWidth="1"/>
    <col min="2824" max="2824" width="13.33203125" style="12" customWidth="1"/>
    <col min="2825" max="2825" width="3.33203125" style="12" customWidth="1"/>
    <col min="2826" max="2826" width="11.83203125" style="12" customWidth="1"/>
    <col min="2827" max="2827" width="3" style="12" customWidth="1"/>
    <col min="2828" max="2828" width="16" style="12" customWidth="1"/>
    <col min="2829" max="2829" width="2.83203125" style="12" customWidth="1"/>
    <col min="2830" max="2830" width="10.5" style="12" customWidth="1"/>
    <col min="2831" max="2831" width="4.1640625" style="12" customWidth="1"/>
    <col min="2832" max="2832" width="10.83203125" style="12" customWidth="1"/>
    <col min="2833" max="2833" width="3.1640625" style="12" customWidth="1"/>
    <col min="2834" max="2834" width="11" style="12" customWidth="1"/>
    <col min="2835" max="2835" width="3" style="12" customWidth="1"/>
    <col min="2836" max="2836" width="11.1640625" style="12" customWidth="1"/>
    <col min="2837" max="2837" width="3.5" style="12" customWidth="1"/>
    <col min="2838" max="3073" width="9.33203125" style="12"/>
    <col min="3074" max="3074" width="12.6640625" style="12" customWidth="1"/>
    <col min="3075" max="3075" width="20.6640625" style="12" customWidth="1"/>
    <col min="3076" max="3076" width="13" style="12" customWidth="1"/>
    <col min="3077" max="3077" width="3" style="12" customWidth="1"/>
    <col min="3078" max="3078" width="16.1640625" style="12" customWidth="1"/>
    <col min="3079" max="3079" width="2.83203125" style="12" customWidth="1"/>
    <col min="3080" max="3080" width="13.33203125" style="12" customWidth="1"/>
    <col min="3081" max="3081" width="3.33203125" style="12" customWidth="1"/>
    <col min="3082" max="3082" width="11.83203125" style="12" customWidth="1"/>
    <col min="3083" max="3083" width="3" style="12" customWidth="1"/>
    <col min="3084" max="3084" width="16" style="12" customWidth="1"/>
    <col min="3085" max="3085" width="2.83203125" style="12" customWidth="1"/>
    <col min="3086" max="3086" width="10.5" style="12" customWidth="1"/>
    <col min="3087" max="3087" width="4.1640625" style="12" customWidth="1"/>
    <col min="3088" max="3088" width="10.83203125" style="12" customWidth="1"/>
    <col min="3089" max="3089" width="3.1640625" style="12" customWidth="1"/>
    <col min="3090" max="3090" width="11" style="12" customWidth="1"/>
    <col min="3091" max="3091" width="3" style="12" customWidth="1"/>
    <col min="3092" max="3092" width="11.1640625" style="12" customWidth="1"/>
    <col min="3093" max="3093" width="3.5" style="12" customWidth="1"/>
    <col min="3094" max="3329" width="9.33203125" style="12"/>
    <col min="3330" max="3330" width="12.6640625" style="12" customWidth="1"/>
    <col min="3331" max="3331" width="20.6640625" style="12" customWidth="1"/>
    <col min="3332" max="3332" width="13" style="12" customWidth="1"/>
    <col min="3333" max="3333" width="3" style="12" customWidth="1"/>
    <col min="3334" max="3334" width="16.1640625" style="12" customWidth="1"/>
    <col min="3335" max="3335" width="2.83203125" style="12" customWidth="1"/>
    <col min="3336" max="3336" width="13.33203125" style="12" customWidth="1"/>
    <col min="3337" max="3337" width="3.33203125" style="12" customWidth="1"/>
    <col min="3338" max="3338" width="11.83203125" style="12" customWidth="1"/>
    <col min="3339" max="3339" width="3" style="12" customWidth="1"/>
    <col min="3340" max="3340" width="16" style="12" customWidth="1"/>
    <col min="3341" max="3341" width="2.83203125" style="12" customWidth="1"/>
    <col min="3342" max="3342" width="10.5" style="12" customWidth="1"/>
    <col min="3343" max="3343" width="4.1640625" style="12" customWidth="1"/>
    <col min="3344" max="3344" width="10.83203125" style="12" customWidth="1"/>
    <col min="3345" max="3345" width="3.1640625" style="12" customWidth="1"/>
    <col min="3346" max="3346" width="11" style="12" customWidth="1"/>
    <col min="3347" max="3347" width="3" style="12" customWidth="1"/>
    <col min="3348" max="3348" width="11.1640625" style="12" customWidth="1"/>
    <col min="3349" max="3349" width="3.5" style="12" customWidth="1"/>
    <col min="3350" max="3585" width="9.33203125" style="12"/>
    <col min="3586" max="3586" width="12.6640625" style="12" customWidth="1"/>
    <col min="3587" max="3587" width="20.6640625" style="12" customWidth="1"/>
    <col min="3588" max="3588" width="13" style="12" customWidth="1"/>
    <col min="3589" max="3589" width="3" style="12" customWidth="1"/>
    <col min="3590" max="3590" width="16.1640625" style="12" customWidth="1"/>
    <col min="3591" max="3591" width="2.83203125" style="12" customWidth="1"/>
    <col min="3592" max="3592" width="13.33203125" style="12" customWidth="1"/>
    <col min="3593" max="3593" width="3.33203125" style="12" customWidth="1"/>
    <col min="3594" max="3594" width="11.83203125" style="12" customWidth="1"/>
    <col min="3595" max="3595" width="3" style="12" customWidth="1"/>
    <col min="3596" max="3596" width="16" style="12" customWidth="1"/>
    <col min="3597" max="3597" width="2.83203125" style="12" customWidth="1"/>
    <col min="3598" max="3598" width="10.5" style="12" customWidth="1"/>
    <col min="3599" max="3599" width="4.1640625" style="12" customWidth="1"/>
    <col min="3600" max="3600" width="10.83203125" style="12" customWidth="1"/>
    <col min="3601" max="3601" width="3.1640625" style="12" customWidth="1"/>
    <col min="3602" max="3602" width="11" style="12" customWidth="1"/>
    <col min="3603" max="3603" width="3" style="12" customWidth="1"/>
    <col min="3604" max="3604" width="11.1640625" style="12" customWidth="1"/>
    <col min="3605" max="3605" width="3.5" style="12" customWidth="1"/>
    <col min="3606" max="3841" width="9.33203125" style="12"/>
    <col min="3842" max="3842" width="12.6640625" style="12" customWidth="1"/>
    <col min="3843" max="3843" width="20.6640625" style="12" customWidth="1"/>
    <col min="3844" max="3844" width="13" style="12" customWidth="1"/>
    <col min="3845" max="3845" width="3" style="12" customWidth="1"/>
    <col min="3846" max="3846" width="16.1640625" style="12" customWidth="1"/>
    <col min="3847" max="3847" width="2.83203125" style="12" customWidth="1"/>
    <col min="3848" max="3848" width="13.33203125" style="12" customWidth="1"/>
    <col min="3849" max="3849" width="3.33203125" style="12" customWidth="1"/>
    <col min="3850" max="3850" width="11.83203125" style="12" customWidth="1"/>
    <col min="3851" max="3851" width="3" style="12" customWidth="1"/>
    <col min="3852" max="3852" width="16" style="12" customWidth="1"/>
    <col min="3853" max="3853" width="2.83203125" style="12" customWidth="1"/>
    <col min="3854" max="3854" width="10.5" style="12" customWidth="1"/>
    <col min="3855" max="3855" width="4.1640625" style="12" customWidth="1"/>
    <col min="3856" max="3856" width="10.83203125" style="12" customWidth="1"/>
    <col min="3857" max="3857" width="3.1640625" style="12" customWidth="1"/>
    <col min="3858" max="3858" width="11" style="12" customWidth="1"/>
    <col min="3859" max="3859" width="3" style="12" customWidth="1"/>
    <col min="3860" max="3860" width="11.1640625" style="12" customWidth="1"/>
    <col min="3861" max="3861" width="3.5" style="12" customWidth="1"/>
    <col min="3862" max="4097" width="9.33203125" style="12"/>
    <col min="4098" max="4098" width="12.6640625" style="12" customWidth="1"/>
    <col min="4099" max="4099" width="20.6640625" style="12" customWidth="1"/>
    <col min="4100" max="4100" width="13" style="12" customWidth="1"/>
    <col min="4101" max="4101" width="3" style="12" customWidth="1"/>
    <col min="4102" max="4102" width="16.1640625" style="12" customWidth="1"/>
    <col min="4103" max="4103" width="2.83203125" style="12" customWidth="1"/>
    <col min="4104" max="4104" width="13.33203125" style="12" customWidth="1"/>
    <col min="4105" max="4105" width="3.33203125" style="12" customWidth="1"/>
    <col min="4106" max="4106" width="11.83203125" style="12" customWidth="1"/>
    <col min="4107" max="4107" width="3" style="12" customWidth="1"/>
    <col min="4108" max="4108" width="16" style="12" customWidth="1"/>
    <col min="4109" max="4109" width="2.83203125" style="12" customWidth="1"/>
    <col min="4110" max="4110" width="10.5" style="12" customWidth="1"/>
    <col min="4111" max="4111" width="4.1640625" style="12" customWidth="1"/>
    <col min="4112" max="4112" width="10.83203125" style="12" customWidth="1"/>
    <col min="4113" max="4113" width="3.1640625" style="12" customWidth="1"/>
    <col min="4114" max="4114" width="11" style="12" customWidth="1"/>
    <col min="4115" max="4115" width="3" style="12" customWidth="1"/>
    <col min="4116" max="4116" width="11.1640625" style="12" customWidth="1"/>
    <col min="4117" max="4117" width="3.5" style="12" customWidth="1"/>
    <col min="4118" max="4353" width="9.33203125" style="12"/>
    <col min="4354" max="4354" width="12.6640625" style="12" customWidth="1"/>
    <col min="4355" max="4355" width="20.6640625" style="12" customWidth="1"/>
    <col min="4356" max="4356" width="13" style="12" customWidth="1"/>
    <col min="4357" max="4357" width="3" style="12" customWidth="1"/>
    <col min="4358" max="4358" width="16.1640625" style="12" customWidth="1"/>
    <col min="4359" max="4359" width="2.83203125" style="12" customWidth="1"/>
    <col min="4360" max="4360" width="13.33203125" style="12" customWidth="1"/>
    <col min="4361" max="4361" width="3.33203125" style="12" customWidth="1"/>
    <col min="4362" max="4362" width="11.83203125" style="12" customWidth="1"/>
    <col min="4363" max="4363" width="3" style="12" customWidth="1"/>
    <col min="4364" max="4364" width="16" style="12" customWidth="1"/>
    <col min="4365" max="4365" width="2.83203125" style="12" customWidth="1"/>
    <col min="4366" max="4366" width="10.5" style="12" customWidth="1"/>
    <col min="4367" max="4367" width="4.1640625" style="12" customWidth="1"/>
    <col min="4368" max="4368" width="10.83203125" style="12" customWidth="1"/>
    <col min="4369" max="4369" width="3.1640625" style="12" customWidth="1"/>
    <col min="4370" max="4370" width="11" style="12" customWidth="1"/>
    <col min="4371" max="4371" width="3" style="12" customWidth="1"/>
    <col min="4372" max="4372" width="11.1640625" style="12" customWidth="1"/>
    <col min="4373" max="4373" width="3.5" style="12" customWidth="1"/>
    <col min="4374" max="4609" width="9.33203125" style="12"/>
    <col min="4610" max="4610" width="12.6640625" style="12" customWidth="1"/>
    <col min="4611" max="4611" width="20.6640625" style="12" customWidth="1"/>
    <col min="4612" max="4612" width="13" style="12" customWidth="1"/>
    <col min="4613" max="4613" width="3" style="12" customWidth="1"/>
    <col min="4614" max="4614" width="16.1640625" style="12" customWidth="1"/>
    <col min="4615" max="4615" width="2.83203125" style="12" customWidth="1"/>
    <col min="4616" max="4616" width="13.33203125" style="12" customWidth="1"/>
    <col min="4617" max="4617" width="3.33203125" style="12" customWidth="1"/>
    <col min="4618" max="4618" width="11.83203125" style="12" customWidth="1"/>
    <col min="4619" max="4619" width="3" style="12" customWidth="1"/>
    <col min="4620" max="4620" width="16" style="12" customWidth="1"/>
    <col min="4621" max="4621" width="2.83203125" style="12" customWidth="1"/>
    <col min="4622" max="4622" width="10.5" style="12" customWidth="1"/>
    <col min="4623" max="4623" width="4.1640625" style="12" customWidth="1"/>
    <col min="4624" max="4624" width="10.83203125" style="12" customWidth="1"/>
    <col min="4625" max="4625" width="3.1640625" style="12" customWidth="1"/>
    <col min="4626" max="4626" width="11" style="12" customWidth="1"/>
    <col min="4627" max="4627" width="3" style="12" customWidth="1"/>
    <col min="4628" max="4628" width="11.1640625" style="12" customWidth="1"/>
    <col min="4629" max="4629" width="3.5" style="12" customWidth="1"/>
    <col min="4630" max="4865" width="9.33203125" style="12"/>
    <col min="4866" max="4866" width="12.6640625" style="12" customWidth="1"/>
    <col min="4867" max="4867" width="20.6640625" style="12" customWidth="1"/>
    <col min="4868" max="4868" width="13" style="12" customWidth="1"/>
    <col min="4869" max="4869" width="3" style="12" customWidth="1"/>
    <col min="4870" max="4870" width="16.1640625" style="12" customWidth="1"/>
    <col min="4871" max="4871" width="2.83203125" style="12" customWidth="1"/>
    <col min="4872" max="4872" width="13.33203125" style="12" customWidth="1"/>
    <col min="4873" max="4873" width="3.33203125" style="12" customWidth="1"/>
    <col min="4874" max="4874" width="11.83203125" style="12" customWidth="1"/>
    <col min="4875" max="4875" width="3" style="12" customWidth="1"/>
    <col min="4876" max="4876" width="16" style="12" customWidth="1"/>
    <col min="4877" max="4877" width="2.83203125" style="12" customWidth="1"/>
    <col min="4878" max="4878" width="10.5" style="12" customWidth="1"/>
    <col min="4879" max="4879" width="4.1640625" style="12" customWidth="1"/>
    <col min="4880" max="4880" width="10.83203125" style="12" customWidth="1"/>
    <col min="4881" max="4881" width="3.1640625" style="12" customWidth="1"/>
    <col min="4882" max="4882" width="11" style="12" customWidth="1"/>
    <col min="4883" max="4883" width="3" style="12" customWidth="1"/>
    <col min="4884" max="4884" width="11.1640625" style="12" customWidth="1"/>
    <col min="4885" max="4885" width="3.5" style="12" customWidth="1"/>
    <col min="4886" max="5121" width="9.33203125" style="12"/>
    <col min="5122" max="5122" width="12.6640625" style="12" customWidth="1"/>
    <col min="5123" max="5123" width="20.6640625" style="12" customWidth="1"/>
    <col min="5124" max="5124" width="13" style="12" customWidth="1"/>
    <col min="5125" max="5125" width="3" style="12" customWidth="1"/>
    <col min="5126" max="5126" width="16.1640625" style="12" customWidth="1"/>
    <col min="5127" max="5127" width="2.83203125" style="12" customWidth="1"/>
    <col min="5128" max="5128" width="13.33203125" style="12" customWidth="1"/>
    <col min="5129" max="5129" width="3.33203125" style="12" customWidth="1"/>
    <col min="5130" max="5130" width="11.83203125" style="12" customWidth="1"/>
    <col min="5131" max="5131" width="3" style="12" customWidth="1"/>
    <col min="5132" max="5132" width="16" style="12" customWidth="1"/>
    <col min="5133" max="5133" width="2.83203125" style="12" customWidth="1"/>
    <col min="5134" max="5134" width="10.5" style="12" customWidth="1"/>
    <col min="5135" max="5135" width="4.1640625" style="12" customWidth="1"/>
    <col min="5136" max="5136" width="10.83203125" style="12" customWidth="1"/>
    <col min="5137" max="5137" width="3.1640625" style="12" customWidth="1"/>
    <col min="5138" max="5138" width="11" style="12" customWidth="1"/>
    <col min="5139" max="5139" width="3" style="12" customWidth="1"/>
    <col min="5140" max="5140" width="11.1640625" style="12" customWidth="1"/>
    <col min="5141" max="5141" width="3.5" style="12" customWidth="1"/>
    <col min="5142" max="5377" width="9.33203125" style="12"/>
    <col min="5378" max="5378" width="12.6640625" style="12" customWidth="1"/>
    <col min="5379" max="5379" width="20.6640625" style="12" customWidth="1"/>
    <col min="5380" max="5380" width="13" style="12" customWidth="1"/>
    <col min="5381" max="5381" width="3" style="12" customWidth="1"/>
    <col min="5382" max="5382" width="16.1640625" style="12" customWidth="1"/>
    <col min="5383" max="5383" width="2.83203125" style="12" customWidth="1"/>
    <col min="5384" max="5384" width="13.33203125" style="12" customWidth="1"/>
    <col min="5385" max="5385" width="3.33203125" style="12" customWidth="1"/>
    <col min="5386" max="5386" width="11.83203125" style="12" customWidth="1"/>
    <col min="5387" max="5387" width="3" style="12" customWidth="1"/>
    <col min="5388" max="5388" width="16" style="12" customWidth="1"/>
    <col min="5389" max="5389" width="2.83203125" style="12" customWidth="1"/>
    <col min="5390" max="5390" width="10.5" style="12" customWidth="1"/>
    <col min="5391" max="5391" width="4.1640625" style="12" customWidth="1"/>
    <col min="5392" max="5392" width="10.83203125" style="12" customWidth="1"/>
    <col min="5393" max="5393" width="3.1640625" style="12" customWidth="1"/>
    <col min="5394" max="5394" width="11" style="12" customWidth="1"/>
    <col min="5395" max="5395" width="3" style="12" customWidth="1"/>
    <col min="5396" max="5396" width="11.1640625" style="12" customWidth="1"/>
    <col min="5397" max="5397" width="3.5" style="12" customWidth="1"/>
    <col min="5398" max="5633" width="9.33203125" style="12"/>
    <col min="5634" max="5634" width="12.6640625" style="12" customWidth="1"/>
    <col min="5635" max="5635" width="20.6640625" style="12" customWidth="1"/>
    <col min="5636" max="5636" width="13" style="12" customWidth="1"/>
    <col min="5637" max="5637" width="3" style="12" customWidth="1"/>
    <col min="5638" max="5638" width="16.1640625" style="12" customWidth="1"/>
    <col min="5639" max="5639" width="2.83203125" style="12" customWidth="1"/>
    <col min="5640" max="5640" width="13.33203125" style="12" customWidth="1"/>
    <col min="5641" max="5641" width="3.33203125" style="12" customWidth="1"/>
    <col min="5642" max="5642" width="11.83203125" style="12" customWidth="1"/>
    <col min="5643" max="5643" width="3" style="12" customWidth="1"/>
    <col min="5644" max="5644" width="16" style="12" customWidth="1"/>
    <col min="5645" max="5645" width="2.83203125" style="12" customWidth="1"/>
    <col min="5646" max="5646" width="10.5" style="12" customWidth="1"/>
    <col min="5647" max="5647" width="4.1640625" style="12" customWidth="1"/>
    <col min="5648" max="5648" width="10.83203125" style="12" customWidth="1"/>
    <col min="5649" max="5649" width="3.1640625" style="12" customWidth="1"/>
    <col min="5650" max="5650" width="11" style="12" customWidth="1"/>
    <col min="5651" max="5651" width="3" style="12" customWidth="1"/>
    <col min="5652" max="5652" width="11.1640625" style="12" customWidth="1"/>
    <col min="5653" max="5653" width="3.5" style="12" customWidth="1"/>
    <col min="5654" max="5889" width="9.33203125" style="12"/>
    <col min="5890" max="5890" width="12.6640625" style="12" customWidth="1"/>
    <col min="5891" max="5891" width="20.6640625" style="12" customWidth="1"/>
    <col min="5892" max="5892" width="13" style="12" customWidth="1"/>
    <col min="5893" max="5893" width="3" style="12" customWidth="1"/>
    <col min="5894" max="5894" width="16.1640625" style="12" customWidth="1"/>
    <col min="5895" max="5895" width="2.83203125" style="12" customWidth="1"/>
    <col min="5896" max="5896" width="13.33203125" style="12" customWidth="1"/>
    <col min="5897" max="5897" width="3.33203125" style="12" customWidth="1"/>
    <col min="5898" max="5898" width="11.83203125" style="12" customWidth="1"/>
    <col min="5899" max="5899" width="3" style="12" customWidth="1"/>
    <col min="5900" max="5900" width="16" style="12" customWidth="1"/>
    <col min="5901" max="5901" width="2.83203125" style="12" customWidth="1"/>
    <col min="5902" max="5902" width="10.5" style="12" customWidth="1"/>
    <col min="5903" max="5903" width="4.1640625" style="12" customWidth="1"/>
    <col min="5904" max="5904" width="10.83203125" style="12" customWidth="1"/>
    <col min="5905" max="5905" width="3.1640625" style="12" customWidth="1"/>
    <col min="5906" max="5906" width="11" style="12" customWidth="1"/>
    <col min="5907" max="5907" width="3" style="12" customWidth="1"/>
    <col min="5908" max="5908" width="11.1640625" style="12" customWidth="1"/>
    <col min="5909" max="5909" width="3.5" style="12" customWidth="1"/>
    <col min="5910" max="6145" width="9.33203125" style="12"/>
    <col min="6146" max="6146" width="12.6640625" style="12" customWidth="1"/>
    <col min="6147" max="6147" width="20.6640625" style="12" customWidth="1"/>
    <col min="6148" max="6148" width="13" style="12" customWidth="1"/>
    <col min="6149" max="6149" width="3" style="12" customWidth="1"/>
    <col min="6150" max="6150" width="16.1640625" style="12" customWidth="1"/>
    <col min="6151" max="6151" width="2.83203125" style="12" customWidth="1"/>
    <col min="6152" max="6152" width="13.33203125" style="12" customWidth="1"/>
    <col min="6153" max="6153" width="3.33203125" style="12" customWidth="1"/>
    <col min="6154" max="6154" width="11.83203125" style="12" customWidth="1"/>
    <col min="6155" max="6155" width="3" style="12" customWidth="1"/>
    <col min="6156" max="6156" width="16" style="12" customWidth="1"/>
    <col min="6157" max="6157" width="2.83203125" style="12" customWidth="1"/>
    <col min="6158" max="6158" width="10.5" style="12" customWidth="1"/>
    <col min="6159" max="6159" width="4.1640625" style="12" customWidth="1"/>
    <col min="6160" max="6160" width="10.83203125" style="12" customWidth="1"/>
    <col min="6161" max="6161" width="3.1640625" style="12" customWidth="1"/>
    <col min="6162" max="6162" width="11" style="12" customWidth="1"/>
    <col min="6163" max="6163" width="3" style="12" customWidth="1"/>
    <col min="6164" max="6164" width="11.1640625" style="12" customWidth="1"/>
    <col min="6165" max="6165" width="3.5" style="12" customWidth="1"/>
    <col min="6166" max="6401" width="9.33203125" style="12"/>
    <col min="6402" max="6402" width="12.6640625" style="12" customWidth="1"/>
    <col min="6403" max="6403" width="20.6640625" style="12" customWidth="1"/>
    <col min="6404" max="6404" width="13" style="12" customWidth="1"/>
    <col min="6405" max="6405" width="3" style="12" customWidth="1"/>
    <col min="6406" max="6406" width="16.1640625" style="12" customWidth="1"/>
    <col min="6407" max="6407" width="2.83203125" style="12" customWidth="1"/>
    <col min="6408" max="6408" width="13.33203125" style="12" customWidth="1"/>
    <col min="6409" max="6409" width="3.33203125" style="12" customWidth="1"/>
    <col min="6410" max="6410" width="11.83203125" style="12" customWidth="1"/>
    <col min="6411" max="6411" width="3" style="12" customWidth="1"/>
    <col min="6412" max="6412" width="16" style="12" customWidth="1"/>
    <col min="6413" max="6413" width="2.83203125" style="12" customWidth="1"/>
    <col min="6414" max="6414" width="10.5" style="12" customWidth="1"/>
    <col min="6415" max="6415" width="4.1640625" style="12" customWidth="1"/>
    <col min="6416" max="6416" width="10.83203125" style="12" customWidth="1"/>
    <col min="6417" max="6417" width="3.1640625" style="12" customWidth="1"/>
    <col min="6418" max="6418" width="11" style="12" customWidth="1"/>
    <col min="6419" max="6419" width="3" style="12" customWidth="1"/>
    <col min="6420" max="6420" width="11.1640625" style="12" customWidth="1"/>
    <col min="6421" max="6421" width="3.5" style="12" customWidth="1"/>
    <col min="6422" max="6657" width="9.33203125" style="12"/>
    <col min="6658" max="6658" width="12.6640625" style="12" customWidth="1"/>
    <col min="6659" max="6659" width="20.6640625" style="12" customWidth="1"/>
    <col min="6660" max="6660" width="13" style="12" customWidth="1"/>
    <col min="6661" max="6661" width="3" style="12" customWidth="1"/>
    <col min="6662" max="6662" width="16.1640625" style="12" customWidth="1"/>
    <col min="6663" max="6663" width="2.83203125" style="12" customWidth="1"/>
    <col min="6664" max="6664" width="13.33203125" style="12" customWidth="1"/>
    <col min="6665" max="6665" width="3.33203125" style="12" customWidth="1"/>
    <col min="6666" max="6666" width="11.83203125" style="12" customWidth="1"/>
    <col min="6667" max="6667" width="3" style="12" customWidth="1"/>
    <col min="6668" max="6668" width="16" style="12" customWidth="1"/>
    <col min="6669" max="6669" width="2.83203125" style="12" customWidth="1"/>
    <col min="6670" max="6670" width="10.5" style="12" customWidth="1"/>
    <col min="6671" max="6671" width="4.1640625" style="12" customWidth="1"/>
    <col min="6672" max="6672" width="10.83203125" style="12" customWidth="1"/>
    <col min="6673" max="6673" width="3.1640625" style="12" customWidth="1"/>
    <col min="6674" max="6674" width="11" style="12" customWidth="1"/>
    <col min="6675" max="6675" width="3" style="12" customWidth="1"/>
    <col min="6676" max="6676" width="11.1640625" style="12" customWidth="1"/>
    <col min="6677" max="6677" width="3.5" style="12" customWidth="1"/>
    <col min="6678" max="6913" width="9.33203125" style="12"/>
    <col min="6914" max="6914" width="12.6640625" style="12" customWidth="1"/>
    <col min="6915" max="6915" width="20.6640625" style="12" customWidth="1"/>
    <col min="6916" max="6916" width="13" style="12" customWidth="1"/>
    <col min="6917" max="6917" width="3" style="12" customWidth="1"/>
    <col min="6918" max="6918" width="16.1640625" style="12" customWidth="1"/>
    <col min="6919" max="6919" width="2.83203125" style="12" customWidth="1"/>
    <col min="6920" max="6920" width="13.33203125" style="12" customWidth="1"/>
    <col min="6921" max="6921" width="3.33203125" style="12" customWidth="1"/>
    <col min="6922" max="6922" width="11.83203125" style="12" customWidth="1"/>
    <col min="6923" max="6923" width="3" style="12" customWidth="1"/>
    <col min="6924" max="6924" width="16" style="12" customWidth="1"/>
    <col min="6925" max="6925" width="2.83203125" style="12" customWidth="1"/>
    <col min="6926" max="6926" width="10.5" style="12" customWidth="1"/>
    <col min="6927" max="6927" width="4.1640625" style="12" customWidth="1"/>
    <col min="6928" max="6928" width="10.83203125" style="12" customWidth="1"/>
    <col min="6929" max="6929" width="3.1640625" style="12" customWidth="1"/>
    <col min="6930" max="6930" width="11" style="12" customWidth="1"/>
    <col min="6931" max="6931" width="3" style="12" customWidth="1"/>
    <col min="6932" max="6932" width="11.1640625" style="12" customWidth="1"/>
    <col min="6933" max="6933" width="3.5" style="12" customWidth="1"/>
    <col min="6934" max="7169" width="9.33203125" style="12"/>
    <col min="7170" max="7170" width="12.6640625" style="12" customWidth="1"/>
    <col min="7171" max="7171" width="20.6640625" style="12" customWidth="1"/>
    <col min="7172" max="7172" width="13" style="12" customWidth="1"/>
    <col min="7173" max="7173" width="3" style="12" customWidth="1"/>
    <col min="7174" max="7174" width="16.1640625" style="12" customWidth="1"/>
    <col min="7175" max="7175" width="2.83203125" style="12" customWidth="1"/>
    <col min="7176" max="7176" width="13.33203125" style="12" customWidth="1"/>
    <col min="7177" max="7177" width="3.33203125" style="12" customWidth="1"/>
    <col min="7178" max="7178" width="11.83203125" style="12" customWidth="1"/>
    <col min="7179" max="7179" width="3" style="12" customWidth="1"/>
    <col min="7180" max="7180" width="16" style="12" customWidth="1"/>
    <col min="7181" max="7181" width="2.83203125" style="12" customWidth="1"/>
    <col min="7182" max="7182" width="10.5" style="12" customWidth="1"/>
    <col min="7183" max="7183" width="4.1640625" style="12" customWidth="1"/>
    <col min="7184" max="7184" width="10.83203125" style="12" customWidth="1"/>
    <col min="7185" max="7185" width="3.1640625" style="12" customWidth="1"/>
    <col min="7186" max="7186" width="11" style="12" customWidth="1"/>
    <col min="7187" max="7187" width="3" style="12" customWidth="1"/>
    <col min="7188" max="7188" width="11.1640625" style="12" customWidth="1"/>
    <col min="7189" max="7189" width="3.5" style="12" customWidth="1"/>
    <col min="7190" max="7425" width="9.33203125" style="12"/>
    <col min="7426" max="7426" width="12.6640625" style="12" customWidth="1"/>
    <col min="7427" max="7427" width="20.6640625" style="12" customWidth="1"/>
    <col min="7428" max="7428" width="13" style="12" customWidth="1"/>
    <col min="7429" max="7429" width="3" style="12" customWidth="1"/>
    <col min="7430" max="7430" width="16.1640625" style="12" customWidth="1"/>
    <col min="7431" max="7431" width="2.83203125" style="12" customWidth="1"/>
    <col min="7432" max="7432" width="13.33203125" style="12" customWidth="1"/>
    <col min="7433" max="7433" width="3.33203125" style="12" customWidth="1"/>
    <col min="7434" max="7434" width="11.83203125" style="12" customWidth="1"/>
    <col min="7435" max="7435" width="3" style="12" customWidth="1"/>
    <col min="7436" max="7436" width="16" style="12" customWidth="1"/>
    <col min="7437" max="7437" width="2.83203125" style="12" customWidth="1"/>
    <col min="7438" max="7438" width="10.5" style="12" customWidth="1"/>
    <col min="7439" max="7439" width="4.1640625" style="12" customWidth="1"/>
    <col min="7440" max="7440" width="10.83203125" style="12" customWidth="1"/>
    <col min="7441" max="7441" width="3.1640625" style="12" customWidth="1"/>
    <col min="7442" max="7442" width="11" style="12" customWidth="1"/>
    <col min="7443" max="7443" width="3" style="12" customWidth="1"/>
    <col min="7444" max="7444" width="11.1640625" style="12" customWidth="1"/>
    <col min="7445" max="7445" width="3.5" style="12" customWidth="1"/>
    <col min="7446" max="7681" width="9.33203125" style="12"/>
    <col min="7682" max="7682" width="12.6640625" style="12" customWidth="1"/>
    <col min="7683" max="7683" width="20.6640625" style="12" customWidth="1"/>
    <col min="7684" max="7684" width="13" style="12" customWidth="1"/>
    <col min="7685" max="7685" width="3" style="12" customWidth="1"/>
    <col min="7686" max="7686" width="16.1640625" style="12" customWidth="1"/>
    <col min="7687" max="7687" width="2.83203125" style="12" customWidth="1"/>
    <col min="7688" max="7688" width="13.33203125" style="12" customWidth="1"/>
    <col min="7689" max="7689" width="3.33203125" style="12" customWidth="1"/>
    <col min="7690" max="7690" width="11.83203125" style="12" customWidth="1"/>
    <col min="7691" max="7691" width="3" style="12" customWidth="1"/>
    <col min="7692" max="7692" width="16" style="12" customWidth="1"/>
    <col min="7693" max="7693" width="2.83203125" style="12" customWidth="1"/>
    <col min="7694" max="7694" width="10.5" style="12" customWidth="1"/>
    <col min="7695" max="7695" width="4.1640625" style="12" customWidth="1"/>
    <col min="7696" max="7696" width="10.83203125" style="12" customWidth="1"/>
    <col min="7697" max="7697" width="3.1640625" style="12" customWidth="1"/>
    <col min="7698" max="7698" width="11" style="12" customWidth="1"/>
    <col min="7699" max="7699" width="3" style="12" customWidth="1"/>
    <col min="7700" max="7700" width="11.1640625" style="12" customWidth="1"/>
    <col min="7701" max="7701" width="3.5" style="12" customWidth="1"/>
    <col min="7702" max="7937" width="9.33203125" style="12"/>
    <col min="7938" max="7938" width="12.6640625" style="12" customWidth="1"/>
    <col min="7939" max="7939" width="20.6640625" style="12" customWidth="1"/>
    <col min="7940" max="7940" width="13" style="12" customWidth="1"/>
    <col min="7941" max="7941" width="3" style="12" customWidth="1"/>
    <col min="7942" max="7942" width="16.1640625" style="12" customWidth="1"/>
    <col min="7943" max="7943" width="2.83203125" style="12" customWidth="1"/>
    <col min="7944" max="7944" width="13.33203125" style="12" customWidth="1"/>
    <col min="7945" max="7945" width="3.33203125" style="12" customWidth="1"/>
    <col min="7946" max="7946" width="11.83203125" style="12" customWidth="1"/>
    <col min="7947" max="7947" width="3" style="12" customWidth="1"/>
    <col min="7948" max="7948" width="16" style="12" customWidth="1"/>
    <col min="7949" max="7949" width="2.83203125" style="12" customWidth="1"/>
    <col min="7950" max="7950" width="10.5" style="12" customWidth="1"/>
    <col min="7951" max="7951" width="4.1640625" style="12" customWidth="1"/>
    <col min="7952" max="7952" width="10.83203125" style="12" customWidth="1"/>
    <col min="7953" max="7953" width="3.1640625" style="12" customWidth="1"/>
    <col min="7954" max="7954" width="11" style="12" customWidth="1"/>
    <col min="7955" max="7955" width="3" style="12" customWidth="1"/>
    <col min="7956" max="7956" width="11.1640625" style="12" customWidth="1"/>
    <col min="7957" max="7957" width="3.5" style="12" customWidth="1"/>
    <col min="7958" max="8193" width="9.33203125" style="12"/>
    <col min="8194" max="8194" width="12.6640625" style="12" customWidth="1"/>
    <col min="8195" max="8195" width="20.6640625" style="12" customWidth="1"/>
    <col min="8196" max="8196" width="13" style="12" customWidth="1"/>
    <col min="8197" max="8197" width="3" style="12" customWidth="1"/>
    <col min="8198" max="8198" width="16.1640625" style="12" customWidth="1"/>
    <col min="8199" max="8199" width="2.83203125" style="12" customWidth="1"/>
    <col min="8200" max="8200" width="13.33203125" style="12" customWidth="1"/>
    <col min="8201" max="8201" width="3.33203125" style="12" customWidth="1"/>
    <col min="8202" max="8202" width="11.83203125" style="12" customWidth="1"/>
    <col min="8203" max="8203" width="3" style="12" customWidth="1"/>
    <col min="8204" max="8204" width="16" style="12" customWidth="1"/>
    <col min="8205" max="8205" width="2.83203125" style="12" customWidth="1"/>
    <col min="8206" max="8206" width="10.5" style="12" customWidth="1"/>
    <col min="8207" max="8207" width="4.1640625" style="12" customWidth="1"/>
    <col min="8208" max="8208" width="10.83203125" style="12" customWidth="1"/>
    <col min="8209" max="8209" width="3.1640625" style="12" customWidth="1"/>
    <col min="8210" max="8210" width="11" style="12" customWidth="1"/>
    <col min="8211" max="8211" width="3" style="12" customWidth="1"/>
    <col min="8212" max="8212" width="11.1640625" style="12" customWidth="1"/>
    <col min="8213" max="8213" width="3.5" style="12" customWidth="1"/>
    <col min="8214" max="8449" width="9.33203125" style="12"/>
    <col min="8450" max="8450" width="12.6640625" style="12" customWidth="1"/>
    <col min="8451" max="8451" width="20.6640625" style="12" customWidth="1"/>
    <col min="8452" max="8452" width="13" style="12" customWidth="1"/>
    <col min="8453" max="8453" width="3" style="12" customWidth="1"/>
    <col min="8454" max="8454" width="16.1640625" style="12" customWidth="1"/>
    <col min="8455" max="8455" width="2.83203125" style="12" customWidth="1"/>
    <col min="8456" max="8456" width="13.33203125" style="12" customWidth="1"/>
    <col min="8457" max="8457" width="3.33203125" style="12" customWidth="1"/>
    <col min="8458" max="8458" width="11.83203125" style="12" customWidth="1"/>
    <col min="8459" max="8459" width="3" style="12" customWidth="1"/>
    <col min="8460" max="8460" width="16" style="12" customWidth="1"/>
    <col min="8461" max="8461" width="2.83203125" style="12" customWidth="1"/>
    <col min="8462" max="8462" width="10.5" style="12" customWidth="1"/>
    <col min="8463" max="8463" width="4.1640625" style="12" customWidth="1"/>
    <col min="8464" max="8464" width="10.83203125" style="12" customWidth="1"/>
    <col min="8465" max="8465" width="3.1640625" style="12" customWidth="1"/>
    <col min="8466" max="8466" width="11" style="12" customWidth="1"/>
    <col min="8467" max="8467" width="3" style="12" customWidth="1"/>
    <col min="8468" max="8468" width="11.1640625" style="12" customWidth="1"/>
    <col min="8469" max="8469" width="3.5" style="12" customWidth="1"/>
    <col min="8470" max="8705" width="9.33203125" style="12"/>
    <col min="8706" max="8706" width="12.6640625" style="12" customWidth="1"/>
    <col min="8707" max="8707" width="20.6640625" style="12" customWidth="1"/>
    <col min="8708" max="8708" width="13" style="12" customWidth="1"/>
    <col min="8709" max="8709" width="3" style="12" customWidth="1"/>
    <col min="8710" max="8710" width="16.1640625" style="12" customWidth="1"/>
    <col min="8711" max="8711" width="2.83203125" style="12" customWidth="1"/>
    <col min="8712" max="8712" width="13.33203125" style="12" customWidth="1"/>
    <col min="8713" max="8713" width="3.33203125" style="12" customWidth="1"/>
    <col min="8714" max="8714" width="11.83203125" style="12" customWidth="1"/>
    <col min="8715" max="8715" width="3" style="12" customWidth="1"/>
    <col min="8716" max="8716" width="16" style="12" customWidth="1"/>
    <col min="8717" max="8717" width="2.83203125" style="12" customWidth="1"/>
    <col min="8718" max="8718" width="10.5" style="12" customWidth="1"/>
    <col min="8719" max="8719" width="4.1640625" style="12" customWidth="1"/>
    <col min="8720" max="8720" width="10.83203125" style="12" customWidth="1"/>
    <col min="8721" max="8721" width="3.1640625" style="12" customWidth="1"/>
    <col min="8722" max="8722" width="11" style="12" customWidth="1"/>
    <col min="8723" max="8723" width="3" style="12" customWidth="1"/>
    <col min="8724" max="8724" width="11.1640625" style="12" customWidth="1"/>
    <col min="8725" max="8725" width="3.5" style="12" customWidth="1"/>
    <col min="8726" max="8961" width="9.33203125" style="12"/>
    <col min="8962" max="8962" width="12.6640625" style="12" customWidth="1"/>
    <col min="8963" max="8963" width="20.6640625" style="12" customWidth="1"/>
    <col min="8964" max="8964" width="13" style="12" customWidth="1"/>
    <col min="8965" max="8965" width="3" style="12" customWidth="1"/>
    <col min="8966" max="8966" width="16.1640625" style="12" customWidth="1"/>
    <col min="8967" max="8967" width="2.83203125" style="12" customWidth="1"/>
    <col min="8968" max="8968" width="13.33203125" style="12" customWidth="1"/>
    <col min="8969" max="8969" width="3.33203125" style="12" customWidth="1"/>
    <col min="8970" max="8970" width="11.83203125" style="12" customWidth="1"/>
    <col min="8971" max="8971" width="3" style="12" customWidth="1"/>
    <col min="8972" max="8972" width="16" style="12" customWidth="1"/>
    <col min="8973" max="8973" width="2.83203125" style="12" customWidth="1"/>
    <col min="8974" max="8974" width="10.5" style="12" customWidth="1"/>
    <col min="8975" max="8975" width="4.1640625" style="12" customWidth="1"/>
    <col min="8976" max="8976" width="10.83203125" style="12" customWidth="1"/>
    <col min="8977" max="8977" width="3.1640625" style="12" customWidth="1"/>
    <col min="8978" max="8978" width="11" style="12" customWidth="1"/>
    <col min="8979" max="8979" width="3" style="12" customWidth="1"/>
    <col min="8980" max="8980" width="11.1640625" style="12" customWidth="1"/>
    <col min="8981" max="8981" width="3.5" style="12" customWidth="1"/>
    <col min="8982" max="9217" width="9.33203125" style="12"/>
    <col min="9218" max="9218" width="12.6640625" style="12" customWidth="1"/>
    <col min="9219" max="9219" width="20.6640625" style="12" customWidth="1"/>
    <col min="9220" max="9220" width="13" style="12" customWidth="1"/>
    <col min="9221" max="9221" width="3" style="12" customWidth="1"/>
    <col min="9222" max="9222" width="16.1640625" style="12" customWidth="1"/>
    <col min="9223" max="9223" width="2.83203125" style="12" customWidth="1"/>
    <col min="9224" max="9224" width="13.33203125" style="12" customWidth="1"/>
    <col min="9225" max="9225" width="3.33203125" style="12" customWidth="1"/>
    <col min="9226" max="9226" width="11.83203125" style="12" customWidth="1"/>
    <col min="9227" max="9227" width="3" style="12" customWidth="1"/>
    <col min="9228" max="9228" width="16" style="12" customWidth="1"/>
    <col min="9229" max="9229" width="2.83203125" style="12" customWidth="1"/>
    <col min="9230" max="9230" width="10.5" style="12" customWidth="1"/>
    <col min="9231" max="9231" width="4.1640625" style="12" customWidth="1"/>
    <col min="9232" max="9232" width="10.83203125" style="12" customWidth="1"/>
    <col min="9233" max="9233" width="3.1640625" style="12" customWidth="1"/>
    <col min="9234" max="9234" width="11" style="12" customWidth="1"/>
    <col min="9235" max="9235" width="3" style="12" customWidth="1"/>
    <col min="9236" max="9236" width="11.1640625" style="12" customWidth="1"/>
    <col min="9237" max="9237" width="3.5" style="12" customWidth="1"/>
    <col min="9238" max="9473" width="9.33203125" style="12"/>
    <col min="9474" max="9474" width="12.6640625" style="12" customWidth="1"/>
    <col min="9475" max="9475" width="20.6640625" style="12" customWidth="1"/>
    <col min="9476" max="9476" width="13" style="12" customWidth="1"/>
    <col min="9477" max="9477" width="3" style="12" customWidth="1"/>
    <col min="9478" max="9478" width="16.1640625" style="12" customWidth="1"/>
    <col min="9479" max="9479" width="2.83203125" style="12" customWidth="1"/>
    <col min="9480" max="9480" width="13.33203125" style="12" customWidth="1"/>
    <col min="9481" max="9481" width="3.33203125" style="12" customWidth="1"/>
    <col min="9482" max="9482" width="11.83203125" style="12" customWidth="1"/>
    <col min="9483" max="9483" width="3" style="12" customWidth="1"/>
    <col min="9484" max="9484" width="16" style="12" customWidth="1"/>
    <col min="9485" max="9485" width="2.83203125" style="12" customWidth="1"/>
    <col min="9486" max="9486" width="10.5" style="12" customWidth="1"/>
    <col min="9487" max="9487" width="4.1640625" style="12" customWidth="1"/>
    <col min="9488" max="9488" width="10.83203125" style="12" customWidth="1"/>
    <col min="9489" max="9489" width="3.1640625" style="12" customWidth="1"/>
    <col min="9490" max="9490" width="11" style="12" customWidth="1"/>
    <col min="9491" max="9491" width="3" style="12" customWidth="1"/>
    <col min="9492" max="9492" width="11.1640625" style="12" customWidth="1"/>
    <col min="9493" max="9493" width="3.5" style="12" customWidth="1"/>
    <col min="9494" max="9729" width="9.33203125" style="12"/>
    <col min="9730" max="9730" width="12.6640625" style="12" customWidth="1"/>
    <col min="9731" max="9731" width="20.6640625" style="12" customWidth="1"/>
    <col min="9732" max="9732" width="13" style="12" customWidth="1"/>
    <col min="9733" max="9733" width="3" style="12" customWidth="1"/>
    <col min="9734" max="9734" width="16.1640625" style="12" customWidth="1"/>
    <col min="9735" max="9735" width="2.83203125" style="12" customWidth="1"/>
    <col min="9736" max="9736" width="13.33203125" style="12" customWidth="1"/>
    <col min="9737" max="9737" width="3.33203125" style="12" customWidth="1"/>
    <col min="9738" max="9738" width="11.83203125" style="12" customWidth="1"/>
    <col min="9739" max="9739" width="3" style="12" customWidth="1"/>
    <col min="9740" max="9740" width="16" style="12" customWidth="1"/>
    <col min="9741" max="9741" width="2.83203125" style="12" customWidth="1"/>
    <col min="9742" max="9742" width="10.5" style="12" customWidth="1"/>
    <col min="9743" max="9743" width="4.1640625" style="12" customWidth="1"/>
    <col min="9744" max="9744" width="10.83203125" style="12" customWidth="1"/>
    <col min="9745" max="9745" width="3.1640625" style="12" customWidth="1"/>
    <col min="9746" max="9746" width="11" style="12" customWidth="1"/>
    <col min="9747" max="9747" width="3" style="12" customWidth="1"/>
    <col min="9748" max="9748" width="11.1640625" style="12" customWidth="1"/>
    <col min="9749" max="9749" width="3.5" style="12" customWidth="1"/>
    <col min="9750" max="9985" width="9.33203125" style="12"/>
    <col min="9986" max="9986" width="12.6640625" style="12" customWidth="1"/>
    <col min="9987" max="9987" width="20.6640625" style="12" customWidth="1"/>
    <col min="9988" max="9988" width="13" style="12" customWidth="1"/>
    <col min="9989" max="9989" width="3" style="12" customWidth="1"/>
    <col min="9990" max="9990" width="16.1640625" style="12" customWidth="1"/>
    <col min="9991" max="9991" width="2.83203125" style="12" customWidth="1"/>
    <col min="9992" max="9992" width="13.33203125" style="12" customWidth="1"/>
    <col min="9993" max="9993" width="3.33203125" style="12" customWidth="1"/>
    <col min="9994" max="9994" width="11.83203125" style="12" customWidth="1"/>
    <col min="9995" max="9995" width="3" style="12" customWidth="1"/>
    <col min="9996" max="9996" width="16" style="12" customWidth="1"/>
    <col min="9997" max="9997" width="2.83203125" style="12" customWidth="1"/>
    <col min="9998" max="9998" width="10.5" style="12" customWidth="1"/>
    <col min="9999" max="9999" width="4.1640625" style="12" customWidth="1"/>
    <col min="10000" max="10000" width="10.83203125" style="12" customWidth="1"/>
    <col min="10001" max="10001" width="3.1640625" style="12" customWidth="1"/>
    <col min="10002" max="10002" width="11" style="12" customWidth="1"/>
    <col min="10003" max="10003" width="3" style="12" customWidth="1"/>
    <col min="10004" max="10004" width="11.1640625" style="12" customWidth="1"/>
    <col min="10005" max="10005" width="3.5" style="12" customWidth="1"/>
    <col min="10006" max="10241" width="9.33203125" style="12"/>
    <col min="10242" max="10242" width="12.6640625" style="12" customWidth="1"/>
    <col min="10243" max="10243" width="20.6640625" style="12" customWidth="1"/>
    <col min="10244" max="10244" width="13" style="12" customWidth="1"/>
    <col min="10245" max="10245" width="3" style="12" customWidth="1"/>
    <col min="10246" max="10246" width="16.1640625" style="12" customWidth="1"/>
    <col min="10247" max="10247" width="2.83203125" style="12" customWidth="1"/>
    <col min="10248" max="10248" width="13.33203125" style="12" customWidth="1"/>
    <col min="10249" max="10249" width="3.33203125" style="12" customWidth="1"/>
    <col min="10250" max="10250" width="11.83203125" style="12" customWidth="1"/>
    <col min="10251" max="10251" width="3" style="12" customWidth="1"/>
    <col min="10252" max="10252" width="16" style="12" customWidth="1"/>
    <col min="10253" max="10253" width="2.83203125" style="12" customWidth="1"/>
    <col min="10254" max="10254" width="10.5" style="12" customWidth="1"/>
    <col min="10255" max="10255" width="4.1640625" style="12" customWidth="1"/>
    <col min="10256" max="10256" width="10.83203125" style="12" customWidth="1"/>
    <col min="10257" max="10257" width="3.1640625" style="12" customWidth="1"/>
    <col min="10258" max="10258" width="11" style="12" customWidth="1"/>
    <col min="10259" max="10259" width="3" style="12" customWidth="1"/>
    <col min="10260" max="10260" width="11.1640625" style="12" customWidth="1"/>
    <col min="10261" max="10261" width="3.5" style="12" customWidth="1"/>
    <col min="10262" max="10497" width="9.33203125" style="12"/>
    <col min="10498" max="10498" width="12.6640625" style="12" customWidth="1"/>
    <col min="10499" max="10499" width="20.6640625" style="12" customWidth="1"/>
    <col min="10500" max="10500" width="13" style="12" customWidth="1"/>
    <col min="10501" max="10501" width="3" style="12" customWidth="1"/>
    <col min="10502" max="10502" width="16.1640625" style="12" customWidth="1"/>
    <col min="10503" max="10503" width="2.83203125" style="12" customWidth="1"/>
    <col min="10504" max="10504" width="13.33203125" style="12" customWidth="1"/>
    <col min="10505" max="10505" width="3.33203125" style="12" customWidth="1"/>
    <col min="10506" max="10506" width="11.83203125" style="12" customWidth="1"/>
    <col min="10507" max="10507" width="3" style="12" customWidth="1"/>
    <col min="10508" max="10508" width="16" style="12" customWidth="1"/>
    <col min="10509" max="10509" width="2.83203125" style="12" customWidth="1"/>
    <col min="10510" max="10510" width="10.5" style="12" customWidth="1"/>
    <col min="10511" max="10511" width="4.1640625" style="12" customWidth="1"/>
    <col min="10512" max="10512" width="10.83203125" style="12" customWidth="1"/>
    <col min="10513" max="10513" width="3.1640625" style="12" customWidth="1"/>
    <col min="10514" max="10514" width="11" style="12" customWidth="1"/>
    <col min="10515" max="10515" width="3" style="12" customWidth="1"/>
    <col min="10516" max="10516" width="11.1640625" style="12" customWidth="1"/>
    <col min="10517" max="10517" width="3.5" style="12" customWidth="1"/>
    <col min="10518" max="10753" width="9.33203125" style="12"/>
    <col min="10754" max="10754" width="12.6640625" style="12" customWidth="1"/>
    <col min="10755" max="10755" width="20.6640625" style="12" customWidth="1"/>
    <col min="10756" max="10756" width="13" style="12" customWidth="1"/>
    <col min="10757" max="10757" width="3" style="12" customWidth="1"/>
    <col min="10758" max="10758" width="16.1640625" style="12" customWidth="1"/>
    <col min="10759" max="10759" width="2.83203125" style="12" customWidth="1"/>
    <col min="10760" max="10760" width="13.33203125" style="12" customWidth="1"/>
    <col min="10761" max="10761" width="3.33203125" style="12" customWidth="1"/>
    <col min="10762" max="10762" width="11.83203125" style="12" customWidth="1"/>
    <col min="10763" max="10763" width="3" style="12" customWidth="1"/>
    <col min="10764" max="10764" width="16" style="12" customWidth="1"/>
    <col min="10765" max="10765" width="2.83203125" style="12" customWidth="1"/>
    <col min="10766" max="10766" width="10.5" style="12" customWidth="1"/>
    <col min="10767" max="10767" width="4.1640625" style="12" customWidth="1"/>
    <col min="10768" max="10768" width="10.83203125" style="12" customWidth="1"/>
    <col min="10769" max="10769" width="3.1640625" style="12" customWidth="1"/>
    <col min="10770" max="10770" width="11" style="12" customWidth="1"/>
    <col min="10771" max="10771" width="3" style="12" customWidth="1"/>
    <col min="10772" max="10772" width="11.1640625" style="12" customWidth="1"/>
    <col min="10773" max="10773" width="3.5" style="12" customWidth="1"/>
    <col min="10774" max="11009" width="9.33203125" style="12"/>
    <col min="11010" max="11010" width="12.6640625" style="12" customWidth="1"/>
    <col min="11011" max="11011" width="20.6640625" style="12" customWidth="1"/>
    <col min="11012" max="11012" width="13" style="12" customWidth="1"/>
    <col min="11013" max="11013" width="3" style="12" customWidth="1"/>
    <col min="11014" max="11014" width="16.1640625" style="12" customWidth="1"/>
    <col min="11015" max="11015" width="2.83203125" style="12" customWidth="1"/>
    <col min="11016" max="11016" width="13.33203125" style="12" customWidth="1"/>
    <col min="11017" max="11017" width="3.33203125" style="12" customWidth="1"/>
    <col min="11018" max="11018" width="11.83203125" style="12" customWidth="1"/>
    <col min="11019" max="11019" width="3" style="12" customWidth="1"/>
    <col min="11020" max="11020" width="16" style="12" customWidth="1"/>
    <col min="11021" max="11021" width="2.83203125" style="12" customWidth="1"/>
    <col min="11022" max="11022" width="10.5" style="12" customWidth="1"/>
    <col min="11023" max="11023" width="4.1640625" style="12" customWidth="1"/>
    <col min="11024" max="11024" width="10.83203125" style="12" customWidth="1"/>
    <col min="11025" max="11025" width="3.1640625" style="12" customWidth="1"/>
    <col min="11026" max="11026" width="11" style="12" customWidth="1"/>
    <col min="11027" max="11027" width="3" style="12" customWidth="1"/>
    <col min="11028" max="11028" width="11.1640625" style="12" customWidth="1"/>
    <col min="11029" max="11029" width="3.5" style="12" customWidth="1"/>
    <col min="11030" max="11265" width="9.33203125" style="12"/>
    <col min="11266" max="11266" width="12.6640625" style="12" customWidth="1"/>
    <col min="11267" max="11267" width="20.6640625" style="12" customWidth="1"/>
    <col min="11268" max="11268" width="13" style="12" customWidth="1"/>
    <col min="11269" max="11269" width="3" style="12" customWidth="1"/>
    <col min="11270" max="11270" width="16.1640625" style="12" customWidth="1"/>
    <col min="11271" max="11271" width="2.83203125" style="12" customWidth="1"/>
    <col min="11272" max="11272" width="13.33203125" style="12" customWidth="1"/>
    <col min="11273" max="11273" width="3.33203125" style="12" customWidth="1"/>
    <col min="11274" max="11274" width="11.83203125" style="12" customWidth="1"/>
    <col min="11275" max="11275" width="3" style="12" customWidth="1"/>
    <col min="11276" max="11276" width="16" style="12" customWidth="1"/>
    <col min="11277" max="11277" width="2.83203125" style="12" customWidth="1"/>
    <col min="11278" max="11278" width="10.5" style="12" customWidth="1"/>
    <col min="11279" max="11279" width="4.1640625" style="12" customWidth="1"/>
    <col min="11280" max="11280" width="10.83203125" style="12" customWidth="1"/>
    <col min="11281" max="11281" width="3.1640625" style="12" customWidth="1"/>
    <col min="11282" max="11282" width="11" style="12" customWidth="1"/>
    <col min="11283" max="11283" width="3" style="12" customWidth="1"/>
    <col min="11284" max="11284" width="11.1640625" style="12" customWidth="1"/>
    <col min="11285" max="11285" width="3.5" style="12" customWidth="1"/>
    <col min="11286" max="11521" width="9.33203125" style="12"/>
    <col min="11522" max="11522" width="12.6640625" style="12" customWidth="1"/>
    <col min="11523" max="11523" width="20.6640625" style="12" customWidth="1"/>
    <col min="11524" max="11524" width="13" style="12" customWidth="1"/>
    <col min="11525" max="11525" width="3" style="12" customWidth="1"/>
    <col min="11526" max="11526" width="16.1640625" style="12" customWidth="1"/>
    <col min="11527" max="11527" width="2.83203125" style="12" customWidth="1"/>
    <col min="11528" max="11528" width="13.33203125" style="12" customWidth="1"/>
    <col min="11529" max="11529" width="3.33203125" style="12" customWidth="1"/>
    <col min="11530" max="11530" width="11.83203125" style="12" customWidth="1"/>
    <col min="11531" max="11531" width="3" style="12" customWidth="1"/>
    <col min="11532" max="11532" width="16" style="12" customWidth="1"/>
    <col min="11533" max="11533" width="2.83203125" style="12" customWidth="1"/>
    <col min="11534" max="11534" width="10.5" style="12" customWidth="1"/>
    <col min="11535" max="11535" width="4.1640625" style="12" customWidth="1"/>
    <col min="11536" max="11536" width="10.83203125" style="12" customWidth="1"/>
    <col min="11537" max="11537" width="3.1640625" style="12" customWidth="1"/>
    <col min="11538" max="11538" width="11" style="12" customWidth="1"/>
    <col min="11539" max="11539" width="3" style="12" customWidth="1"/>
    <col min="11540" max="11540" width="11.1640625" style="12" customWidth="1"/>
    <col min="11541" max="11541" width="3.5" style="12" customWidth="1"/>
    <col min="11542" max="11777" width="9.33203125" style="12"/>
    <col min="11778" max="11778" width="12.6640625" style="12" customWidth="1"/>
    <col min="11779" max="11779" width="20.6640625" style="12" customWidth="1"/>
    <col min="11780" max="11780" width="13" style="12" customWidth="1"/>
    <col min="11781" max="11781" width="3" style="12" customWidth="1"/>
    <col min="11782" max="11782" width="16.1640625" style="12" customWidth="1"/>
    <col min="11783" max="11783" width="2.83203125" style="12" customWidth="1"/>
    <col min="11784" max="11784" width="13.33203125" style="12" customWidth="1"/>
    <col min="11785" max="11785" width="3.33203125" style="12" customWidth="1"/>
    <col min="11786" max="11786" width="11.83203125" style="12" customWidth="1"/>
    <col min="11787" max="11787" width="3" style="12" customWidth="1"/>
    <col min="11788" max="11788" width="16" style="12" customWidth="1"/>
    <col min="11789" max="11789" width="2.83203125" style="12" customWidth="1"/>
    <col min="11790" max="11790" width="10.5" style="12" customWidth="1"/>
    <col min="11791" max="11791" width="4.1640625" style="12" customWidth="1"/>
    <col min="11792" max="11792" width="10.83203125" style="12" customWidth="1"/>
    <col min="11793" max="11793" width="3.1640625" style="12" customWidth="1"/>
    <col min="11794" max="11794" width="11" style="12" customWidth="1"/>
    <col min="11795" max="11795" width="3" style="12" customWidth="1"/>
    <col min="11796" max="11796" width="11.1640625" style="12" customWidth="1"/>
    <col min="11797" max="11797" width="3.5" style="12" customWidth="1"/>
    <col min="11798" max="12033" width="9.33203125" style="12"/>
    <col min="12034" max="12034" width="12.6640625" style="12" customWidth="1"/>
    <col min="12035" max="12035" width="20.6640625" style="12" customWidth="1"/>
    <col min="12036" max="12036" width="13" style="12" customWidth="1"/>
    <col min="12037" max="12037" width="3" style="12" customWidth="1"/>
    <col min="12038" max="12038" width="16.1640625" style="12" customWidth="1"/>
    <col min="12039" max="12039" width="2.83203125" style="12" customWidth="1"/>
    <col min="12040" max="12040" width="13.33203125" style="12" customWidth="1"/>
    <col min="12041" max="12041" width="3.33203125" style="12" customWidth="1"/>
    <col min="12042" max="12042" width="11.83203125" style="12" customWidth="1"/>
    <col min="12043" max="12043" width="3" style="12" customWidth="1"/>
    <col min="12044" max="12044" width="16" style="12" customWidth="1"/>
    <col min="12045" max="12045" width="2.83203125" style="12" customWidth="1"/>
    <col min="12046" max="12046" width="10.5" style="12" customWidth="1"/>
    <col min="12047" max="12047" width="4.1640625" style="12" customWidth="1"/>
    <col min="12048" max="12048" width="10.83203125" style="12" customWidth="1"/>
    <col min="12049" max="12049" width="3.1640625" style="12" customWidth="1"/>
    <col min="12050" max="12050" width="11" style="12" customWidth="1"/>
    <col min="12051" max="12051" width="3" style="12" customWidth="1"/>
    <col min="12052" max="12052" width="11.1640625" style="12" customWidth="1"/>
    <col min="12053" max="12053" width="3.5" style="12" customWidth="1"/>
    <col min="12054" max="12289" width="9.33203125" style="12"/>
    <col min="12290" max="12290" width="12.6640625" style="12" customWidth="1"/>
    <col min="12291" max="12291" width="20.6640625" style="12" customWidth="1"/>
    <col min="12292" max="12292" width="13" style="12" customWidth="1"/>
    <col min="12293" max="12293" width="3" style="12" customWidth="1"/>
    <col min="12294" max="12294" width="16.1640625" style="12" customWidth="1"/>
    <col min="12295" max="12295" width="2.83203125" style="12" customWidth="1"/>
    <col min="12296" max="12296" width="13.33203125" style="12" customWidth="1"/>
    <col min="12297" max="12297" width="3.33203125" style="12" customWidth="1"/>
    <col min="12298" max="12298" width="11.83203125" style="12" customWidth="1"/>
    <col min="12299" max="12299" width="3" style="12" customWidth="1"/>
    <col min="12300" max="12300" width="16" style="12" customWidth="1"/>
    <col min="12301" max="12301" width="2.83203125" style="12" customWidth="1"/>
    <col min="12302" max="12302" width="10.5" style="12" customWidth="1"/>
    <col min="12303" max="12303" width="4.1640625" style="12" customWidth="1"/>
    <col min="12304" max="12304" width="10.83203125" style="12" customWidth="1"/>
    <col min="12305" max="12305" width="3.1640625" style="12" customWidth="1"/>
    <col min="12306" max="12306" width="11" style="12" customWidth="1"/>
    <col min="12307" max="12307" width="3" style="12" customWidth="1"/>
    <col min="12308" max="12308" width="11.1640625" style="12" customWidth="1"/>
    <col min="12309" max="12309" width="3.5" style="12" customWidth="1"/>
    <col min="12310" max="12545" width="9.33203125" style="12"/>
    <col min="12546" max="12546" width="12.6640625" style="12" customWidth="1"/>
    <col min="12547" max="12547" width="20.6640625" style="12" customWidth="1"/>
    <col min="12548" max="12548" width="13" style="12" customWidth="1"/>
    <col min="12549" max="12549" width="3" style="12" customWidth="1"/>
    <col min="12550" max="12550" width="16.1640625" style="12" customWidth="1"/>
    <col min="12551" max="12551" width="2.83203125" style="12" customWidth="1"/>
    <col min="12552" max="12552" width="13.33203125" style="12" customWidth="1"/>
    <col min="12553" max="12553" width="3.33203125" style="12" customWidth="1"/>
    <col min="12554" max="12554" width="11.83203125" style="12" customWidth="1"/>
    <col min="12555" max="12555" width="3" style="12" customWidth="1"/>
    <col min="12556" max="12556" width="16" style="12" customWidth="1"/>
    <col min="12557" max="12557" width="2.83203125" style="12" customWidth="1"/>
    <col min="12558" max="12558" width="10.5" style="12" customWidth="1"/>
    <col min="12559" max="12559" width="4.1640625" style="12" customWidth="1"/>
    <col min="12560" max="12560" width="10.83203125" style="12" customWidth="1"/>
    <col min="12561" max="12561" width="3.1640625" style="12" customWidth="1"/>
    <col min="12562" max="12562" width="11" style="12" customWidth="1"/>
    <col min="12563" max="12563" width="3" style="12" customWidth="1"/>
    <col min="12564" max="12564" width="11.1640625" style="12" customWidth="1"/>
    <col min="12565" max="12565" width="3.5" style="12" customWidth="1"/>
    <col min="12566" max="12801" width="9.33203125" style="12"/>
    <col min="12802" max="12802" width="12.6640625" style="12" customWidth="1"/>
    <col min="12803" max="12803" width="20.6640625" style="12" customWidth="1"/>
    <col min="12804" max="12804" width="13" style="12" customWidth="1"/>
    <col min="12805" max="12805" width="3" style="12" customWidth="1"/>
    <col min="12806" max="12806" width="16.1640625" style="12" customWidth="1"/>
    <col min="12807" max="12807" width="2.83203125" style="12" customWidth="1"/>
    <col min="12808" max="12808" width="13.33203125" style="12" customWidth="1"/>
    <col min="12809" max="12809" width="3.33203125" style="12" customWidth="1"/>
    <col min="12810" max="12810" width="11.83203125" style="12" customWidth="1"/>
    <col min="12811" max="12811" width="3" style="12" customWidth="1"/>
    <col min="12812" max="12812" width="16" style="12" customWidth="1"/>
    <col min="12813" max="12813" width="2.83203125" style="12" customWidth="1"/>
    <col min="12814" max="12814" width="10.5" style="12" customWidth="1"/>
    <col min="12815" max="12815" width="4.1640625" style="12" customWidth="1"/>
    <col min="12816" max="12816" width="10.83203125" style="12" customWidth="1"/>
    <col min="12817" max="12817" width="3.1640625" style="12" customWidth="1"/>
    <col min="12818" max="12818" width="11" style="12" customWidth="1"/>
    <col min="12819" max="12819" width="3" style="12" customWidth="1"/>
    <col min="12820" max="12820" width="11.1640625" style="12" customWidth="1"/>
    <col min="12821" max="12821" width="3.5" style="12" customWidth="1"/>
    <col min="12822" max="13057" width="9.33203125" style="12"/>
    <col min="13058" max="13058" width="12.6640625" style="12" customWidth="1"/>
    <col min="13059" max="13059" width="20.6640625" style="12" customWidth="1"/>
    <col min="13060" max="13060" width="13" style="12" customWidth="1"/>
    <col min="13061" max="13061" width="3" style="12" customWidth="1"/>
    <col min="13062" max="13062" width="16.1640625" style="12" customWidth="1"/>
    <col min="13063" max="13063" width="2.83203125" style="12" customWidth="1"/>
    <col min="13064" max="13064" width="13.33203125" style="12" customWidth="1"/>
    <col min="13065" max="13065" width="3.33203125" style="12" customWidth="1"/>
    <col min="13066" max="13066" width="11.83203125" style="12" customWidth="1"/>
    <col min="13067" max="13067" width="3" style="12" customWidth="1"/>
    <col min="13068" max="13068" width="16" style="12" customWidth="1"/>
    <col min="13069" max="13069" width="2.83203125" style="12" customWidth="1"/>
    <col min="13070" max="13070" width="10.5" style="12" customWidth="1"/>
    <col min="13071" max="13071" width="4.1640625" style="12" customWidth="1"/>
    <col min="13072" max="13072" width="10.83203125" style="12" customWidth="1"/>
    <col min="13073" max="13073" width="3.1640625" style="12" customWidth="1"/>
    <col min="13074" max="13074" width="11" style="12" customWidth="1"/>
    <col min="13075" max="13075" width="3" style="12" customWidth="1"/>
    <col min="13076" max="13076" width="11.1640625" style="12" customWidth="1"/>
    <col min="13077" max="13077" width="3.5" style="12" customWidth="1"/>
    <col min="13078" max="13313" width="9.33203125" style="12"/>
    <col min="13314" max="13314" width="12.6640625" style="12" customWidth="1"/>
    <col min="13315" max="13315" width="20.6640625" style="12" customWidth="1"/>
    <col min="13316" max="13316" width="13" style="12" customWidth="1"/>
    <col min="13317" max="13317" width="3" style="12" customWidth="1"/>
    <col min="13318" max="13318" width="16.1640625" style="12" customWidth="1"/>
    <col min="13319" max="13319" width="2.83203125" style="12" customWidth="1"/>
    <col min="13320" max="13320" width="13.33203125" style="12" customWidth="1"/>
    <col min="13321" max="13321" width="3.33203125" style="12" customWidth="1"/>
    <col min="13322" max="13322" width="11.83203125" style="12" customWidth="1"/>
    <col min="13323" max="13323" width="3" style="12" customWidth="1"/>
    <col min="13324" max="13324" width="16" style="12" customWidth="1"/>
    <col min="13325" max="13325" width="2.83203125" style="12" customWidth="1"/>
    <col min="13326" max="13326" width="10.5" style="12" customWidth="1"/>
    <col min="13327" max="13327" width="4.1640625" style="12" customWidth="1"/>
    <col min="13328" max="13328" width="10.83203125" style="12" customWidth="1"/>
    <col min="13329" max="13329" width="3.1640625" style="12" customWidth="1"/>
    <col min="13330" max="13330" width="11" style="12" customWidth="1"/>
    <col min="13331" max="13331" width="3" style="12" customWidth="1"/>
    <col min="13332" max="13332" width="11.1640625" style="12" customWidth="1"/>
    <col min="13333" max="13333" width="3.5" style="12" customWidth="1"/>
    <col min="13334" max="13569" width="9.33203125" style="12"/>
    <col min="13570" max="13570" width="12.6640625" style="12" customWidth="1"/>
    <col min="13571" max="13571" width="20.6640625" style="12" customWidth="1"/>
    <col min="13572" max="13572" width="13" style="12" customWidth="1"/>
    <col min="13573" max="13573" width="3" style="12" customWidth="1"/>
    <col min="13574" max="13574" width="16.1640625" style="12" customWidth="1"/>
    <col min="13575" max="13575" width="2.83203125" style="12" customWidth="1"/>
    <col min="13576" max="13576" width="13.33203125" style="12" customWidth="1"/>
    <col min="13577" max="13577" width="3.33203125" style="12" customWidth="1"/>
    <col min="13578" max="13578" width="11.83203125" style="12" customWidth="1"/>
    <col min="13579" max="13579" width="3" style="12" customWidth="1"/>
    <col min="13580" max="13580" width="16" style="12" customWidth="1"/>
    <col min="13581" max="13581" width="2.83203125" style="12" customWidth="1"/>
    <col min="13582" max="13582" width="10.5" style="12" customWidth="1"/>
    <col min="13583" max="13583" width="4.1640625" style="12" customWidth="1"/>
    <col min="13584" max="13584" width="10.83203125" style="12" customWidth="1"/>
    <col min="13585" max="13585" width="3.1640625" style="12" customWidth="1"/>
    <col min="13586" max="13586" width="11" style="12" customWidth="1"/>
    <col min="13587" max="13587" width="3" style="12" customWidth="1"/>
    <col min="13588" max="13588" width="11.1640625" style="12" customWidth="1"/>
    <col min="13589" max="13589" width="3.5" style="12" customWidth="1"/>
    <col min="13590" max="13825" width="9.33203125" style="12"/>
    <col min="13826" max="13826" width="12.6640625" style="12" customWidth="1"/>
    <col min="13827" max="13827" width="20.6640625" style="12" customWidth="1"/>
    <col min="13828" max="13828" width="13" style="12" customWidth="1"/>
    <col min="13829" max="13829" width="3" style="12" customWidth="1"/>
    <col min="13830" max="13830" width="16.1640625" style="12" customWidth="1"/>
    <col min="13831" max="13831" width="2.83203125" style="12" customWidth="1"/>
    <col min="13832" max="13832" width="13.33203125" style="12" customWidth="1"/>
    <col min="13833" max="13833" width="3.33203125" style="12" customWidth="1"/>
    <col min="13834" max="13834" width="11.83203125" style="12" customWidth="1"/>
    <col min="13835" max="13835" width="3" style="12" customWidth="1"/>
    <col min="13836" max="13836" width="16" style="12" customWidth="1"/>
    <col min="13837" max="13837" width="2.83203125" style="12" customWidth="1"/>
    <col min="13838" max="13838" width="10.5" style="12" customWidth="1"/>
    <col min="13839" max="13839" width="4.1640625" style="12" customWidth="1"/>
    <col min="13840" max="13840" width="10.83203125" style="12" customWidth="1"/>
    <col min="13841" max="13841" width="3.1640625" style="12" customWidth="1"/>
    <col min="13842" max="13842" width="11" style="12" customWidth="1"/>
    <col min="13843" max="13843" width="3" style="12" customWidth="1"/>
    <col min="13844" max="13844" width="11.1640625" style="12" customWidth="1"/>
    <col min="13845" max="13845" width="3.5" style="12" customWidth="1"/>
    <col min="13846" max="14081" width="9.33203125" style="12"/>
    <col min="14082" max="14082" width="12.6640625" style="12" customWidth="1"/>
    <col min="14083" max="14083" width="20.6640625" style="12" customWidth="1"/>
    <col min="14084" max="14084" width="13" style="12" customWidth="1"/>
    <col min="14085" max="14085" width="3" style="12" customWidth="1"/>
    <col min="14086" max="14086" width="16.1640625" style="12" customWidth="1"/>
    <col min="14087" max="14087" width="2.83203125" style="12" customWidth="1"/>
    <col min="14088" max="14088" width="13.33203125" style="12" customWidth="1"/>
    <col min="14089" max="14089" width="3.33203125" style="12" customWidth="1"/>
    <col min="14090" max="14090" width="11.83203125" style="12" customWidth="1"/>
    <col min="14091" max="14091" width="3" style="12" customWidth="1"/>
    <col min="14092" max="14092" width="16" style="12" customWidth="1"/>
    <col min="14093" max="14093" width="2.83203125" style="12" customWidth="1"/>
    <col min="14094" max="14094" width="10.5" style="12" customWidth="1"/>
    <col min="14095" max="14095" width="4.1640625" style="12" customWidth="1"/>
    <col min="14096" max="14096" width="10.83203125" style="12" customWidth="1"/>
    <col min="14097" max="14097" width="3.1640625" style="12" customWidth="1"/>
    <col min="14098" max="14098" width="11" style="12" customWidth="1"/>
    <col min="14099" max="14099" width="3" style="12" customWidth="1"/>
    <col min="14100" max="14100" width="11.1640625" style="12" customWidth="1"/>
    <col min="14101" max="14101" width="3.5" style="12" customWidth="1"/>
    <col min="14102" max="14337" width="9.33203125" style="12"/>
    <col min="14338" max="14338" width="12.6640625" style="12" customWidth="1"/>
    <col min="14339" max="14339" width="20.6640625" style="12" customWidth="1"/>
    <col min="14340" max="14340" width="13" style="12" customWidth="1"/>
    <col min="14341" max="14341" width="3" style="12" customWidth="1"/>
    <col min="14342" max="14342" width="16.1640625" style="12" customWidth="1"/>
    <col min="14343" max="14343" width="2.83203125" style="12" customWidth="1"/>
    <col min="14344" max="14344" width="13.33203125" style="12" customWidth="1"/>
    <col min="14345" max="14345" width="3.33203125" style="12" customWidth="1"/>
    <col min="14346" max="14346" width="11.83203125" style="12" customWidth="1"/>
    <col min="14347" max="14347" width="3" style="12" customWidth="1"/>
    <col min="14348" max="14348" width="16" style="12" customWidth="1"/>
    <col min="14349" max="14349" width="2.83203125" style="12" customWidth="1"/>
    <col min="14350" max="14350" width="10.5" style="12" customWidth="1"/>
    <col min="14351" max="14351" width="4.1640625" style="12" customWidth="1"/>
    <col min="14352" max="14352" width="10.83203125" style="12" customWidth="1"/>
    <col min="14353" max="14353" width="3.1640625" style="12" customWidth="1"/>
    <col min="14354" max="14354" width="11" style="12" customWidth="1"/>
    <col min="14355" max="14355" width="3" style="12" customWidth="1"/>
    <col min="14356" max="14356" width="11.1640625" style="12" customWidth="1"/>
    <col min="14357" max="14357" width="3.5" style="12" customWidth="1"/>
    <col min="14358" max="14593" width="9.33203125" style="12"/>
    <col min="14594" max="14594" width="12.6640625" style="12" customWidth="1"/>
    <col min="14595" max="14595" width="20.6640625" style="12" customWidth="1"/>
    <col min="14596" max="14596" width="13" style="12" customWidth="1"/>
    <col min="14597" max="14597" width="3" style="12" customWidth="1"/>
    <col min="14598" max="14598" width="16.1640625" style="12" customWidth="1"/>
    <col min="14599" max="14599" width="2.83203125" style="12" customWidth="1"/>
    <col min="14600" max="14600" width="13.33203125" style="12" customWidth="1"/>
    <col min="14601" max="14601" width="3.33203125" style="12" customWidth="1"/>
    <col min="14602" max="14602" width="11.83203125" style="12" customWidth="1"/>
    <col min="14603" max="14603" width="3" style="12" customWidth="1"/>
    <col min="14604" max="14604" width="16" style="12" customWidth="1"/>
    <col min="14605" max="14605" width="2.83203125" style="12" customWidth="1"/>
    <col min="14606" max="14606" width="10.5" style="12" customWidth="1"/>
    <col min="14607" max="14607" width="4.1640625" style="12" customWidth="1"/>
    <col min="14608" max="14608" width="10.83203125" style="12" customWidth="1"/>
    <col min="14609" max="14609" width="3.1640625" style="12" customWidth="1"/>
    <col min="14610" max="14610" width="11" style="12" customWidth="1"/>
    <col min="14611" max="14611" width="3" style="12" customWidth="1"/>
    <col min="14612" max="14612" width="11.1640625" style="12" customWidth="1"/>
    <col min="14613" max="14613" width="3.5" style="12" customWidth="1"/>
    <col min="14614" max="14849" width="9.33203125" style="12"/>
    <col min="14850" max="14850" width="12.6640625" style="12" customWidth="1"/>
    <col min="14851" max="14851" width="20.6640625" style="12" customWidth="1"/>
    <col min="14852" max="14852" width="13" style="12" customWidth="1"/>
    <col min="14853" max="14853" width="3" style="12" customWidth="1"/>
    <col min="14854" max="14854" width="16.1640625" style="12" customWidth="1"/>
    <col min="14855" max="14855" width="2.83203125" style="12" customWidth="1"/>
    <col min="14856" max="14856" width="13.33203125" style="12" customWidth="1"/>
    <col min="14857" max="14857" width="3.33203125" style="12" customWidth="1"/>
    <col min="14858" max="14858" width="11.83203125" style="12" customWidth="1"/>
    <col min="14859" max="14859" width="3" style="12" customWidth="1"/>
    <col min="14860" max="14860" width="16" style="12" customWidth="1"/>
    <col min="14861" max="14861" width="2.83203125" style="12" customWidth="1"/>
    <col min="14862" max="14862" width="10.5" style="12" customWidth="1"/>
    <col min="14863" max="14863" width="4.1640625" style="12" customWidth="1"/>
    <col min="14864" max="14864" width="10.83203125" style="12" customWidth="1"/>
    <col min="14865" max="14865" width="3.1640625" style="12" customWidth="1"/>
    <col min="14866" max="14866" width="11" style="12" customWidth="1"/>
    <col min="14867" max="14867" width="3" style="12" customWidth="1"/>
    <col min="14868" max="14868" width="11.1640625" style="12" customWidth="1"/>
    <col min="14869" max="14869" width="3.5" style="12" customWidth="1"/>
    <col min="14870" max="15105" width="9.33203125" style="12"/>
    <col min="15106" max="15106" width="12.6640625" style="12" customWidth="1"/>
    <col min="15107" max="15107" width="20.6640625" style="12" customWidth="1"/>
    <col min="15108" max="15108" width="13" style="12" customWidth="1"/>
    <col min="15109" max="15109" width="3" style="12" customWidth="1"/>
    <col min="15110" max="15110" width="16.1640625" style="12" customWidth="1"/>
    <col min="15111" max="15111" width="2.83203125" style="12" customWidth="1"/>
    <col min="15112" max="15112" width="13.33203125" style="12" customWidth="1"/>
    <col min="15113" max="15113" width="3.33203125" style="12" customWidth="1"/>
    <col min="15114" max="15114" width="11.83203125" style="12" customWidth="1"/>
    <col min="15115" max="15115" width="3" style="12" customWidth="1"/>
    <col min="15116" max="15116" width="16" style="12" customWidth="1"/>
    <col min="15117" max="15117" width="2.83203125" style="12" customWidth="1"/>
    <col min="15118" max="15118" width="10.5" style="12" customWidth="1"/>
    <col min="15119" max="15119" width="4.1640625" style="12" customWidth="1"/>
    <col min="15120" max="15120" width="10.83203125" style="12" customWidth="1"/>
    <col min="15121" max="15121" width="3.1640625" style="12" customWidth="1"/>
    <col min="15122" max="15122" width="11" style="12" customWidth="1"/>
    <col min="15123" max="15123" width="3" style="12" customWidth="1"/>
    <col min="15124" max="15124" width="11.1640625" style="12" customWidth="1"/>
    <col min="15125" max="15125" width="3.5" style="12" customWidth="1"/>
    <col min="15126" max="15361" width="9.33203125" style="12"/>
    <col min="15362" max="15362" width="12.6640625" style="12" customWidth="1"/>
    <col min="15363" max="15363" width="20.6640625" style="12" customWidth="1"/>
    <col min="15364" max="15364" width="13" style="12" customWidth="1"/>
    <col min="15365" max="15365" width="3" style="12" customWidth="1"/>
    <col min="15366" max="15366" width="16.1640625" style="12" customWidth="1"/>
    <col min="15367" max="15367" width="2.83203125" style="12" customWidth="1"/>
    <col min="15368" max="15368" width="13.33203125" style="12" customWidth="1"/>
    <col min="15369" max="15369" width="3.33203125" style="12" customWidth="1"/>
    <col min="15370" max="15370" width="11.83203125" style="12" customWidth="1"/>
    <col min="15371" max="15371" width="3" style="12" customWidth="1"/>
    <col min="15372" max="15372" width="16" style="12" customWidth="1"/>
    <col min="15373" max="15373" width="2.83203125" style="12" customWidth="1"/>
    <col min="15374" max="15374" width="10.5" style="12" customWidth="1"/>
    <col min="15375" max="15375" width="4.1640625" style="12" customWidth="1"/>
    <col min="15376" max="15376" width="10.83203125" style="12" customWidth="1"/>
    <col min="15377" max="15377" width="3.1640625" style="12" customWidth="1"/>
    <col min="15378" max="15378" width="11" style="12" customWidth="1"/>
    <col min="15379" max="15379" width="3" style="12" customWidth="1"/>
    <col min="15380" max="15380" width="11.1640625" style="12" customWidth="1"/>
    <col min="15381" max="15381" width="3.5" style="12" customWidth="1"/>
    <col min="15382" max="15617" width="9.33203125" style="12"/>
    <col min="15618" max="15618" width="12.6640625" style="12" customWidth="1"/>
    <col min="15619" max="15619" width="20.6640625" style="12" customWidth="1"/>
    <col min="15620" max="15620" width="13" style="12" customWidth="1"/>
    <col min="15621" max="15621" width="3" style="12" customWidth="1"/>
    <col min="15622" max="15622" width="16.1640625" style="12" customWidth="1"/>
    <col min="15623" max="15623" width="2.83203125" style="12" customWidth="1"/>
    <col min="15624" max="15624" width="13.33203125" style="12" customWidth="1"/>
    <col min="15625" max="15625" width="3.33203125" style="12" customWidth="1"/>
    <col min="15626" max="15626" width="11.83203125" style="12" customWidth="1"/>
    <col min="15627" max="15627" width="3" style="12" customWidth="1"/>
    <col min="15628" max="15628" width="16" style="12" customWidth="1"/>
    <col min="15629" max="15629" width="2.83203125" style="12" customWidth="1"/>
    <col min="15630" max="15630" width="10.5" style="12" customWidth="1"/>
    <col min="15631" max="15631" width="4.1640625" style="12" customWidth="1"/>
    <col min="15632" max="15632" width="10.83203125" style="12" customWidth="1"/>
    <col min="15633" max="15633" width="3.1640625" style="12" customWidth="1"/>
    <col min="15634" max="15634" width="11" style="12" customWidth="1"/>
    <col min="15635" max="15635" width="3" style="12" customWidth="1"/>
    <col min="15636" max="15636" width="11.1640625" style="12" customWidth="1"/>
    <col min="15637" max="15637" width="3.5" style="12" customWidth="1"/>
    <col min="15638" max="15873" width="9.33203125" style="12"/>
    <col min="15874" max="15874" width="12.6640625" style="12" customWidth="1"/>
    <col min="15875" max="15875" width="20.6640625" style="12" customWidth="1"/>
    <col min="15876" max="15876" width="13" style="12" customWidth="1"/>
    <col min="15877" max="15877" width="3" style="12" customWidth="1"/>
    <col min="15878" max="15878" width="16.1640625" style="12" customWidth="1"/>
    <col min="15879" max="15879" width="2.83203125" style="12" customWidth="1"/>
    <col min="15880" max="15880" width="13.33203125" style="12" customWidth="1"/>
    <col min="15881" max="15881" width="3.33203125" style="12" customWidth="1"/>
    <col min="15882" max="15882" width="11.83203125" style="12" customWidth="1"/>
    <col min="15883" max="15883" width="3" style="12" customWidth="1"/>
    <col min="15884" max="15884" width="16" style="12" customWidth="1"/>
    <col min="15885" max="15885" width="2.83203125" style="12" customWidth="1"/>
    <col min="15886" max="15886" width="10.5" style="12" customWidth="1"/>
    <col min="15887" max="15887" width="4.1640625" style="12" customWidth="1"/>
    <col min="15888" max="15888" width="10.83203125" style="12" customWidth="1"/>
    <col min="15889" max="15889" width="3.1640625" style="12" customWidth="1"/>
    <col min="15890" max="15890" width="11" style="12" customWidth="1"/>
    <col min="15891" max="15891" width="3" style="12" customWidth="1"/>
    <col min="15892" max="15892" width="11.1640625" style="12" customWidth="1"/>
    <col min="15893" max="15893" width="3.5" style="12" customWidth="1"/>
    <col min="15894" max="16129" width="9.33203125" style="12"/>
    <col min="16130" max="16130" width="12.6640625" style="12" customWidth="1"/>
    <col min="16131" max="16131" width="20.6640625" style="12" customWidth="1"/>
    <col min="16132" max="16132" width="13" style="12" customWidth="1"/>
    <col min="16133" max="16133" width="3" style="12" customWidth="1"/>
    <col min="16134" max="16134" width="16.1640625" style="12" customWidth="1"/>
    <col min="16135" max="16135" width="2.83203125" style="12" customWidth="1"/>
    <col min="16136" max="16136" width="13.33203125" style="12" customWidth="1"/>
    <col min="16137" max="16137" width="3.33203125" style="12" customWidth="1"/>
    <col min="16138" max="16138" width="11.83203125" style="12" customWidth="1"/>
    <col min="16139" max="16139" width="3" style="12" customWidth="1"/>
    <col min="16140" max="16140" width="16" style="12" customWidth="1"/>
    <col min="16141" max="16141" width="2.83203125" style="12" customWidth="1"/>
    <col min="16142" max="16142" width="10.5" style="12" customWidth="1"/>
    <col min="16143" max="16143" width="4.1640625" style="12" customWidth="1"/>
    <col min="16144" max="16144" width="10.83203125" style="12" customWidth="1"/>
    <col min="16145" max="16145" width="3.1640625" style="12" customWidth="1"/>
    <col min="16146" max="16146" width="11" style="12" customWidth="1"/>
    <col min="16147" max="16147" width="3" style="12" customWidth="1"/>
    <col min="16148" max="16148" width="11.1640625" style="12" customWidth="1"/>
    <col min="16149" max="16149" width="3.5" style="12" customWidth="1"/>
    <col min="16150" max="16384" width="9.33203125" style="12"/>
  </cols>
  <sheetData>
    <row r="1" spans="1:24" ht="13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ht="13.5" customHeight="1" x14ac:dyDescent="0.25">
      <c r="A2" s="11"/>
      <c r="I2" s="11"/>
      <c r="J2" s="11"/>
      <c r="K2" s="13" t="s">
        <v>9</v>
      </c>
      <c r="L2" s="11"/>
      <c r="M2" s="11"/>
      <c r="N2" s="11"/>
    </row>
    <row r="3" spans="1:24" ht="13.5" customHeight="1" x14ac:dyDescent="0.25">
      <c r="A3" s="11"/>
      <c r="I3" s="11"/>
      <c r="J3" s="11"/>
      <c r="K3" s="14" t="s">
        <v>10</v>
      </c>
      <c r="L3" s="11"/>
      <c r="M3" s="11"/>
      <c r="N3" s="11"/>
    </row>
    <row r="4" spans="1:24" ht="13.5" customHeight="1" x14ac:dyDescent="0.25">
      <c r="A4" s="11"/>
      <c r="B4" s="296" t="s">
        <v>0</v>
      </c>
      <c r="C4" s="296"/>
      <c r="D4" s="296"/>
      <c r="E4" s="296"/>
      <c r="F4" s="296"/>
      <c r="G4" s="296"/>
      <c r="H4" s="296"/>
      <c r="I4" s="11"/>
      <c r="J4" s="11"/>
      <c r="K4" s="14" t="s">
        <v>11</v>
      </c>
      <c r="L4" s="11"/>
      <c r="M4" s="11"/>
      <c r="N4" s="11"/>
    </row>
    <row r="5" spans="1:24" ht="15.75" x14ac:dyDescent="0.25">
      <c r="A5" s="11"/>
      <c r="B5" s="298" t="s">
        <v>12</v>
      </c>
      <c r="C5" s="298"/>
      <c r="D5" s="298"/>
      <c r="E5" s="298"/>
      <c r="F5" s="298"/>
      <c r="G5" s="298"/>
      <c r="H5" s="298"/>
      <c r="I5" s="11"/>
      <c r="J5" s="11"/>
      <c r="K5" s="11"/>
      <c r="L5" s="11"/>
      <c r="M5" s="11"/>
      <c r="N5" s="11"/>
    </row>
    <row r="6" spans="1:24" ht="15.75" x14ac:dyDescent="0.25">
      <c r="A6" s="11"/>
      <c r="B6" s="1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4" ht="15.75" x14ac:dyDescent="0.25">
      <c r="A7" s="11"/>
      <c r="B7" s="1"/>
      <c r="C7" s="11"/>
      <c r="D7" s="16" t="s">
        <v>13</v>
      </c>
      <c r="E7" s="17"/>
      <c r="F7" s="18" t="s">
        <v>14</v>
      </c>
      <c r="G7" s="11"/>
      <c r="H7" s="11"/>
      <c r="I7" s="11"/>
      <c r="J7" s="11"/>
      <c r="K7" s="11"/>
      <c r="L7" s="11"/>
      <c r="M7" s="11"/>
      <c r="N7" s="11"/>
    </row>
    <row r="8" spans="1:24" ht="15.75" x14ac:dyDescent="0.25">
      <c r="A8" s="11"/>
      <c r="B8" s="19"/>
      <c r="C8" s="20"/>
      <c r="D8" s="21"/>
      <c r="E8" s="22"/>
      <c r="F8" s="20"/>
      <c r="G8" s="11"/>
      <c r="H8" s="11"/>
      <c r="I8" s="11"/>
      <c r="J8" s="11"/>
      <c r="K8" s="11"/>
      <c r="L8" s="11"/>
      <c r="M8" s="11"/>
      <c r="N8" s="11"/>
    </row>
    <row r="9" spans="1:24" ht="15.75" x14ac:dyDescent="0.25">
      <c r="A9" s="11"/>
      <c r="B9" s="23" t="s">
        <v>15</v>
      </c>
      <c r="C9" s="24"/>
      <c r="D9" s="25">
        <v>-809332</v>
      </c>
      <c r="E9" s="11"/>
      <c r="F9" s="26">
        <f>+'47WA.2540.'!K94</f>
        <v>-853202.93999999983</v>
      </c>
      <c r="G9" s="11"/>
      <c r="H9" s="11"/>
      <c r="I9" s="11"/>
      <c r="J9" s="11"/>
      <c r="K9" s="11"/>
      <c r="L9" s="11"/>
      <c r="M9" s="11"/>
      <c r="N9" s="27"/>
      <c r="X9" s="28"/>
    </row>
    <row r="10" spans="1:24" ht="15.75" x14ac:dyDescent="0.25">
      <c r="A10" s="11"/>
      <c r="B10" s="23"/>
      <c r="C10" s="24"/>
      <c r="D10" s="25"/>
      <c r="E10" s="11"/>
      <c r="F10" s="24"/>
      <c r="G10" s="11"/>
      <c r="H10" s="11"/>
      <c r="I10" s="11"/>
      <c r="J10" s="11"/>
      <c r="K10" s="11"/>
      <c r="L10" s="11"/>
      <c r="M10" s="11"/>
      <c r="N10" s="11"/>
    </row>
    <row r="11" spans="1:24" ht="15.75" x14ac:dyDescent="0.25">
      <c r="A11" s="11"/>
      <c r="B11" s="29"/>
      <c r="C11" s="24"/>
      <c r="D11" s="30"/>
      <c r="E11" s="11"/>
      <c r="F11" s="31"/>
      <c r="G11" s="11"/>
      <c r="H11" s="11"/>
      <c r="I11" s="11"/>
      <c r="J11" s="11"/>
      <c r="K11" s="11"/>
      <c r="L11" s="11"/>
      <c r="M11" s="11"/>
      <c r="N11" s="11"/>
    </row>
    <row r="12" spans="1:24" ht="15.75" x14ac:dyDescent="0.25">
      <c r="A12" s="11"/>
      <c r="B12" s="32"/>
      <c r="C12" s="33"/>
      <c r="D12" s="34"/>
      <c r="E12" s="35"/>
      <c r="F12" s="36"/>
      <c r="G12" s="11"/>
      <c r="H12" s="11"/>
      <c r="I12" s="11"/>
      <c r="J12" s="11"/>
      <c r="K12" s="11"/>
      <c r="L12" s="11"/>
      <c r="M12" s="11"/>
      <c r="N12" s="11"/>
    </row>
    <row r="13" spans="1:24" ht="15.75" x14ac:dyDescent="0.25">
      <c r="A13" s="11"/>
      <c r="B13" s="11"/>
      <c r="C13" s="11"/>
      <c r="D13" s="37"/>
      <c r="E13" s="11"/>
      <c r="F13" s="37"/>
      <c r="G13" s="11"/>
      <c r="H13" s="11"/>
      <c r="I13" s="11"/>
      <c r="J13" s="11"/>
      <c r="K13" s="11"/>
      <c r="L13" s="11"/>
      <c r="M13" s="11"/>
      <c r="N13" s="11"/>
    </row>
    <row r="14" spans="1:24" ht="15.75" x14ac:dyDescent="0.25">
      <c r="A14" s="11"/>
      <c r="B14" s="38" t="s">
        <v>16</v>
      </c>
      <c r="C14" s="39"/>
      <c r="D14" s="40" t="s">
        <v>17</v>
      </c>
      <c r="E14" s="38"/>
      <c r="F14" s="41" t="s">
        <v>18</v>
      </c>
      <c r="G14" s="38"/>
      <c r="H14" s="42">
        <v>505</v>
      </c>
      <c r="I14" s="43">
        <v>511</v>
      </c>
      <c r="J14" s="43">
        <v>570</v>
      </c>
      <c r="K14" s="43">
        <v>663</v>
      </c>
      <c r="L14" s="43" t="s">
        <v>19</v>
      </c>
      <c r="M14" s="11"/>
      <c r="N14" s="11"/>
      <c r="T14" s="28"/>
    </row>
    <row r="15" spans="1:24" ht="15.75" x14ac:dyDescent="0.25">
      <c r="A15" s="11"/>
      <c r="B15" s="19"/>
      <c r="C15" s="20"/>
      <c r="D15" s="44"/>
      <c r="E15" s="29"/>
      <c r="F15" s="31"/>
      <c r="G15" s="29"/>
      <c r="H15" s="24"/>
      <c r="I15" s="45"/>
      <c r="J15" s="45"/>
      <c r="K15" s="45"/>
      <c r="L15" s="45"/>
      <c r="M15" s="11"/>
      <c r="N15" s="11"/>
      <c r="T15" s="28"/>
    </row>
    <row r="16" spans="1:24" ht="15.75" x14ac:dyDescent="0.25">
      <c r="A16" s="11"/>
      <c r="B16" s="29" t="s">
        <v>20</v>
      </c>
      <c r="C16" s="24"/>
      <c r="D16" s="46">
        <v>-2.8700000000000002E-3</v>
      </c>
      <c r="E16" s="47"/>
      <c r="F16" s="48">
        <v>-2.1900000000000001E-3</v>
      </c>
      <c r="G16" s="47"/>
      <c r="H16" s="48">
        <v>-1.39E-3</v>
      </c>
      <c r="I16" s="46">
        <v>-1.15E-3</v>
      </c>
      <c r="J16" s="46">
        <v>-4.2000000000000002E-4</v>
      </c>
      <c r="K16" s="46">
        <v>-2.4000000000000001E-4</v>
      </c>
      <c r="L16" s="45"/>
      <c r="M16" s="11"/>
      <c r="N16" s="11"/>
      <c r="R16" s="49"/>
      <c r="T16" s="28"/>
    </row>
    <row r="17" spans="1:20" ht="15.75" x14ac:dyDescent="0.25">
      <c r="A17" s="11"/>
      <c r="B17" s="29"/>
      <c r="C17" s="24"/>
      <c r="D17" s="50"/>
      <c r="E17" s="50"/>
      <c r="F17" s="51"/>
      <c r="G17" s="50"/>
      <c r="H17" s="51"/>
      <c r="I17" s="52"/>
      <c r="J17" s="52"/>
      <c r="K17" s="45"/>
      <c r="L17" s="45"/>
      <c r="M17" s="11"/>
      <c r="N17" s="11"/>
      <c r="R17" s="49"/>
      <c r="T17" s="28"/>
    </row>
    <row r="18" spans="1:20" ht="15.75" x14ac:dyDescent="0.25">
      <c r="A18" s="11"/>
      <c r="B18" s="53" t="s">
        <v>21</v>
      </c>
      <c r="C18" s="24"/>
      <c r="D18" s="54">
        <v>-4.5433198143150597E-2</v>
      </c>
      <c r="E18" s="55"/>
      <c r="F18" s="56">
        <f>+D18</f>
        <v>-4.5433198143150597E-2</v>
      </c>
      <c r="G18" s="55"/>
      <c r="H18" s="56">
        <f>+F18</f>
        <v>-4.5433198143150597E-2</v>
      </c>
      <c r="I18" s="54">
        <f>+H18</f>
        <v>-4.5433198143150597E-2</v>
      </c>
      <c r="J18" s="54">
        <f>+I18</f>
        <v>-4.5433198143150597E-2</v>
      </c>
      <c r="K18" s="54">
        <f>+J18</f>
        <v>-4.5433198143150597E-2</v>
      </c>
      <c r="L18" s="57"/>
      <c r="M18" s="11"/>
      <c r="N18" s="11"/>
      <c r="R18" s="49"/>
      <c r="T18" s="28"/>
    </row>
    <row r="19" spans="1:20" ht="15.75" x14ac:dyDescent="0.25">
      <c r="A19" s="11"/>
      <c r="B19" s="53"/>
      <c r="C19" s="24"/>
      <c r="D19" s="54"/>
      <c r="E19" s="29"/>
      <c r="F19" s="56"/>
      <c r="G19" s="29"/>
      <c r="H19" s="56"/>
      <c r="I19" s="45"/>
      <c r="J19" s="45"/>
      <c r="K19" s="45"/>
      <c r="L19" s="57"/>
      <c r="M19" s="11"/>
      <c r="N19" s="11"/>
      <c r="T19" s="28"/>
    </row>
    <row r="20" spans="1:20" ht="15.75" x14ac:dyDescent="0.25">
      <c r="A20" s="11"/>
      <c r="B20" s="58" t="s">
        <v>22</v>
      </c>
      <c r="C20" s="59"/>
      <c r="D20" s="60">
        <f>+D16+D24</f>
        <v>-2.7396067213291578E-3</v>
      </c>
      <c r="E20" s="29"/>
      <c r="F20" s="61">
        <f>+F16+F24</f>
        <v>-2.0905012960665001E-3</v>
      </c>
      <c r="G20" s="29"/>
      <c r="H20" s="61">
        <f>+H16+H24</f>
        <v>-1.3268478545810207E-3</v>
      </c>
      <c r="I20" s="60">
        <f t="shared" ref="I20:K20" si="0">+I16+I24</f>
        <v>-1.0977518221353768E-3</v>
      </c>
      <c r="J20" s="60">
        <f>+J16+J24</f>
        <v>-4.0091805677987675E-4</v>
      </c>
      <c r="K20" s="60">
        <f t="shared" si="0"/>
        <v>-2.2909603244564386E-4</v>
      </c>
      <c r="L20" s="45"/>
      <c r="M20" s="11"/>
      <c r="N20" s="11"/>
      <c r="P20" s="28"/>
      <c r="R20" s="62"/>
      <c r="T20" s="28"/>
    </row>
    <row r="21" spans="1:20" ht="15.75" x14ac:dyDescent="0.25">
      <c r="A21" s="11"/>
      <c r="B21" s="58"/>
      <c r="C21" s="59"/>
      <c r="D21" s="60"/>
      <c r="E21" s="29"/>
      <c r="F21" s="61"/>
      <c r="G21" s="29"/>
      <c r="H21" s="61"/>
      <c r="I21" s="45"/>
      <c r="J21" s="45"/>
      <c r="K21" s="45"/>
      <c r="L21" s="45"/>
      <c r="M21" s="11"/>
      <c r="N21" s="27"/>
      <c r="P21" s="28"/>
      <c r="R21" s="63"/>
      <c r="T21" s="28"/>
    </row>
    <row r="22" spans="1:20" ht="15.75" x14ac:dyDescent="0.25">
      <c r="A22" s="11"/>
      <c r="B22" s="29" t="s">
        <v>23</v>
      </c>
      <c r="C22" s="24"/>
      <c r="D22" s="25">
        <f>+D20*D27</f>
        <v>-384137.450284374</v>
      </c>
      <c r="E22" s="29"/>
      <c r="F22" s="64">
        <f>+F20*F27</f>
        <v>-216642.37748877527</v>
      </c>
      <c r="G22" s="29"/>
      <c r="H22" s="64">
        <f>+H20*H27</f>
        <v>-17856.482700753109</v>
      </c>
      <c r="I22" s="25">
        <f>+I20*I27</f>
        <v>-18223.924000592706</v>
      </c>
      <c r="J22" s="25">
        <f>+J20*J27</f>
        <v>-943.6829095426076</v>
      </c>
      <c r="K22" s="25">
        <f>+K20*K27</f>
        <v>-215399.08261596222</v>
      </c>
      <c r="L22" s="65">
        <f>+D22+F22+H22+I22+J22+K22</f>
        <v>-853202.99999999988</v>
      </c>
      <c r="M22" s="11"/>
      <c r="N22" s="11"/>
      <c r="T22" s="28"/>
    </row>
    <row r="23" spans="1:20" ht="15.75" x14ac:dyDescent="0.25">
      <c r="A23" s="11"/>
      <c r="B23" s="29"/>
      <c r="C23" s="24"/>
      <c r="D23" s="25"/>
      <c r="E23" s="29"/>
      <c r="F23" s="64"/>
      <c r="G23" s="29"/>
      <c r="H23" s="64"/>
      <c r="I23" s="45"/>
      <c r="J23" s="45"/>
      <c r="K23" s="45"/>
      <c r="L23" s="65"/>
      <c r="M23" s="11"/>
      <c r="N23" s="11"/>
      <c r="T23" s="28"/>
    </row>
    <row r="24" spans="1:20" ht="15.75" x14ac:dyDescent="0.25">
      <c r="A24" s="11"/>
      <c r="B24" s="29" t="s">
        <v>24</v>
      </c>
      <c r="C24" s="24"/>
      <c r="D24" s="46">
        <f>+D16*D18</f>
        <v>1.3039327867084223E-4</v>
      </c>
      <c r="E24" s="29"/>
      <c r="F24" s="48">
        <f>+F16*F18</f>
        <v>9.9498703933499817E-5</v>
      </c>
      <c r="G24" s="66"/>
      <c r="H24" s="48">
        <f>+H16*H18</f>
        <v>6.3152145418979329E-5</v>
      </c>
      <c r="I24" s="46">
        <f t="shared" ref="I24:K24" si="1">+I16*I18</f>
        <v>5.2248177864623188E-5</v>
      </c>
      <c r="J24" s="46">
        <f>+J16*J18</f>
        <v>1.9081943220123252E-5</v>
      </c>
      <c r="K24" s="46">
        <f t="shared" si="1"/>
        <v>1.0903967554356144E-5</v>
      </c>
      <c r="L24" s="65"/>
      <c r="M24" s="11"/>
      <c r="N24" s="11"/>
      <c r="S24" s="67"/>
    </row>
    <row r="25" spans="1:20" ht="15.75" x14ac:dyDescent="0.25">
      <c r="A25" s="11"/>
      <c r="B25" s="29"/>
      <c r="C25" s="24"/>
      <c r="D25" s="46"/>
      <c r="E25" s="29"/>
      <c r="F25" s="48"/>
      <c r="G25" s="29"/>
      <c r="H25" s="48"/>
      <c r="I25" s="45"/>
      <c r="J25" s="45"/>
      <c r="K25" s="45"/>
      <c r="L25" s="65"/>
      <c r="M25" s="11"/>
      <c r="N25" s="11"/>
      <c r="S25" s="67"/>
    </row>
    <row r="26" spans="1:20" ht="15.75" x14ac:dyDescent="0.25">
      <c r="A26" s="11"/>
      <c r="B26" s="29"/>
      <c r="C26" s="24"/>
      <c r="D26" s="30"/>
      <c r="E26" s="29"/>
      <c r="F26" s="31"/>
      <c r="G26" s="29"/>
      <c r="H26" s="31"/>
      <c r="I26" s="45"/>
      <c r="J26" s="45"/>
      <c r="K26" s="45"/>
      <c r="L26" s="68"/>
      <c r="M26" s="11"/>
      <c r="N26" s="11"/>
      <c r="S26" s="67"/>
    </row>
    <row r="27" spans="1:20" ht="15.75" x14ac:dyDescent="0.25">
      <c r="A27" s="11"/>
      <c r="B27" s="32" t="s">
        <v>25</v>
      </c>
      <c r="C27" s="33"/>
      <c r="D27" s="34">
        <f>+'Test Period Volumes'!C35</f>
        <v>140216275.3119559</v>
      </c>
      <c r="E27" s="32"/>
      <c r="F27" s="36">
        <f>+'Test Period Volumes'!D35</f>
        <v>103631783.38918559</v>
      </c>
      <c r="G27" s="32"/>
      <c r="H27" s="36">
        <f>+'Test Period Volumes'!E35</f>
        <v>13457822.341199517</v>
      </c>
      <c r="I27" s="69">
        <f>+'Test Period Volumes'!F35</f>
        <v>16601133.000301499</v>
      </c>
      <c r="J27" s="69">
        <f>+'Test Period Volumes'!G35</f>
        <v>2353804.9573574951</v>
      </c>
      <c r="K27" s="69">
        <f>+'Test Period Volumes'!H35</f>
        <v>940213064</v>
      </c>
      <c r="L27" s="34">
        <f>+D27+F27+H27+I27+J27+K27</f>
        <v>1216473883</v>
      </c>
      <c r="M27" s="11"/>
      <c r="N27" s="11"/>
      <c r="S27" s="67"/>
    </row>
    <row r="28" spans="1:20" ht="15" x14ac:dyDescent="0.25">
      <c r="A28" s="70"/>
      <c r="D28" s="71"/>
      <c r="E28" s="71"/>
      <c r="F28" s="71"/>
      <c r="G28" s="71"/>
      <c r="H28" s="71"/>
      <c r="I28" s="71"/>
      <c r="J28" s="71"/>
      <c r="S28" s="67"/>
    </row>
    <row r="31" spans="1:20" x14ac:dyDescent="0.15">
      <c r="C31" s="72"/>
      <c r="D31" s="72"/>
      <c r="E31" s="72"/>
      <c r="F31" s="72"/>
      <c r="G31" s="72"/>
      <c r="H31" s="72"/>
    </row>
  </sheetData>
  <dataConsolidate/>
  <mergeCells count="2">
    <mergeCell ref="B4:H4"/>
    <mergeCell ref="B5:H5"/>
  </mergeCells>
  <printOptions horizontalCentered="1"/>
  <pageMargins left="0.5" right="0.5" top="1" bottom="1" header="0.5" footer="0.5"/>
  <pageSetup scale="61" orientation="portrait" r:id="rId1"/>
  <headerFooter scaleWithDoc="0" alignWithMargins="0">
    <oddFooter>&amp;LTab Name: &amp;A</oddFooter>
  </headerFooter>
  <colBreaks count="1" manualBreakCount="1">
    <brk id="20" min="1" max="3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5753-BBDE-420C-9267-9820824590B3}">
  <dimension ref="A1:O28"/>
  <sheetViews>
    <sheetView tabSelected="1" workbookViewId="0">
      <selection activeCell="A12" sqref="A12:G12 J39"/>
    </sheetView>
  </sheetViews>
  <sheetFormatPr defaultRowHeight="15.75" x14ac:dyDescent="0.25"/>
  <cols>
    <col min="1" max="1" width="6.1640625" style="11" bestFit="1" customWidth="1"/>
    <col min="2" max="2" width="9.33203125" style="11"/>
    <col min="3" max="3" width="21.6640625" style="11" customWidth="1"/>
    <col min="4" max="4" width="13.5" style="11" customWidth="1"/>
    <col min="5" max="5" width="18" style="11" bestFit="1" customWidth="1"/>
    <col min="6" max="6" width="27.1640625" style="11" bestFit="1" customWidth="1"/>
    <col min="7" max="7" width="1.83203125" style="11" customWidth="1"/>
    <col min="8" max="8" width="25" style="11" customWidth="1"/>
    <col min="9" max="9" width="1.33203125" style="11" customWidth="1"/>
    <col min="10" max="10" width="15.33203125" style="140" bestFit="1" customWidth="1"/>
    <col min="11" max="11" width="17.6640625" style="11" bestFit="1" customWidth="1"/>
    <col min="12" max="12" width="13.5" style="11" bestFit="1" customWidth="1"/>
    <col min="13" max="13" width="9.33203125" style="11"/>
    <col min="14" max="14" width="15.83203125" style="11" customWidth="1"/>
    <col min="15" max="15" width="12.5" style="11" customWidth="1"/>
    <col min="16" max="253" width="9.33203125" style="11"/>
    <col min="254" max="254" width="5" style="11" customWidth="1"/>
    <col min="255" max="255" width="9.33203125" style="11"/>
    <col min="256" max="256" width="21.6640625" style="11" customWidth="1"/>
    <col min="257" max="257" width="13.5" style="11" customWidth="1"/>
    <col min="258" max="258" width="10.5" style="11" customWidth="1"/>
    <col min="259" max="259" width="15.1640625" style="11" customWidth="1"/>
    <col min="260" max="260" width="3.6640625" style="11" customWidth="1"/>
    <col min="261" max="261" width="13.1640625" style="11" customWidth="1"/>
    <col min="262" max="262" width="3.83203125" style="11" customWidth="1"/>
    <col min="263" max="263" width="15" style="11" customWidth="1"/>
    <col min="264" max="264" width="3.6640625" style="11" customWidth="1"/>
    <col min="265" max="266" width="13" style="11" customWidth="1"/>
    <col min="267" max="267" width="0" style="11" hidden="1" customWidth="1"/>
    <col min="268" max="269" width="9.33203125" style="11"/>
    <col min="270" max="270" width="15.83203125" style="11" customWidth="1"/>
    <col min="271" max="509" width="9.33203125" style="11"/>
    <col min="510" max="510" width="5" style="11" customWidth="1"/>
    <col min="511" max="511" width="9.33203125" style="11"/>
    <col min="512" max="512" width="21.6640625" style="11" customWidth="1"/>
    <col min="513" max="513" width="13.5" style="11" customWidth="1"/>
    <col min="514" max="514" width="10.5" style="11" customWidth="1"/>
    <col min="515" max="515" width="15.1640625" style="11" customWidth="1"/>
    <col min="516" max="516" width="3.6640625" style="11" customWidth="1"/>
    <col min="517" max="517" width="13.1640625" style="11" customWidth="1"/>
    <col min="518" max="518" width="3.83203125" style="11" customWidth="1"/>
    <col min="519" max="519" width="15" style="11" customWidth="1"/>
    <col min="520" max="520" width="3.6640625" style="11" customWidth="1"/>
    <col min="521" max="522" width="13" style="11" customWidth="1"/>
    <col min="523" max="523" width="0" style="11" hidden="1" customWidth="1"/>
    <col min="524" max="525" width="9.33203125" style="11"/>
    <col min="526" max="526" width="15.83203125" style="11" customWidth="1"/>
    <col min="527" max="765" width="9.33203125" style="11"/>
    <col min="766" max="766" width="5" style="11" customWidth="1"/>
    <col min="767" max="767" width="9.33203125" style="11"/>
    <col min="768" max="768" width="21.6640625" style="11" customWidth="1"/>
    <col min="769" max="769" width="13.5" style="11" customWidth="1"/>
    <col min="770" max="770" width="10.5" style="11" customWidth="1"/>
    <col min="771" max="771" width="15.1640625" style="11" customWidth="1"/>
    <col min="772" max="772" width="3.6640625" style="11" customWidth="1"/>
    <col min="773" max="773" width="13.1640625" style="11" customWidth="1"/>
    <col min="774" max="774" width="3.83203125" style="11" customWidth="1"/>
    <col min="775" max="775" width="15" style="11" customWidth="1"/>
    <col min="776" max="776" width="3.6640625" style="11" customWidth="1"/>
    <col min="777" max="778" width="13" style="11" customWidth="1"/>
    <col min="779" max="779" width="0" style="11" hidden="1" customWidth="1"/>
    <col min="780" max="781" width="9.33203125" style="11"/>
    <col min="782" max="782" width="15.83203125" style="11" customWidth="1"/>
    <col min="783" max="1021" width="9.33203125" style="11"/>
    <col min="1022" max="1022" width="5" style="11" customWidth="1"/>
    <col min="1023" max="1023" width="9.33203125" style="11"/>
    <col min="1024" max="1024" width="21.6640625" style="11" customWidth="1"/>
    <col min="1025" max="1025" width="13.5" style="11" customWidth="1"/>
    <col min="1026" max="1026" width="10.5" style="11" customWidth="1"/>
    <col min="1027" max="1027" width="15.1640625" style="11" customWidth="1"/>
    <col min="1028" max="1028" width="3.6640625" style="11" customWidth="1"/>
    <col min="1029" max="1029" width="13.1640625" style="11" customWidth="1"/>
    <col min="1030" max="1030" width="3.83203125" style="11" customWidth="1"/>
    <col min="1031" max="1031" width="15" style="11" customWidth="1"/>
    <col min="1032" max="1032" width="3.6640625" style="11" customWidth="1"/>
    <col min="1033" max="1034" width="13" style="11" customWidth="1"/>
    <col min="1035" max="1035" width="0" style="11" hidden="1" customWidth="1"/>
    <col min="1036" max="1037" width="9.33203125" style="11"/>
    <col min="1038" max="1038" width="15.83203125" style="11" customWidth="1"/>
    <col min="1039" max="1277" width="9.33203125" style="11"/>
    <col min="1278" max="1278" width="5" style="11" customWidth="1"/>
    <col min="1279" max="1279" width="9.33203125" style="11"/>
    <col min="1280" max="1280" width="21.6640625" style="11" customWidth="1"/>
    <col min="1281" max="1281" width="13.5" style="11" customWidth="1"/>
    <col min="1282" max="1282" width="10.5" style="11" customWidth="1"/>
    <col min="1283" max="1283" width="15.1640625" style="11" customWidth="1"/>
    <col min="1284" max="1284" width="3.6640625" style="11" customWidth="1"/>
    <col min="1285" max="1285" width="13.1640625" style="11" customWidth="1"/>
    <col min="1286" max="1286" width="3.83203125" style="11" customWidth="1"/>
    <col min="1287" max="1287" width="15" style="11" customWidth="1"/>
    <col min="1288" max="1288" width="3.6640625" style="11" customWidth="1"/>
    <col min="1289" max="1290" width="13" style="11" customWidth="1"/>
    <col min="1291" max="1291" width="0" style="11" hidden="1" customWidth="1"/>
    <col min="1292" max="1293" width="9.33203125" style="11"/>
    <col min="1294" max="1294" width="15.83203125" style="11" customWidth="1"/>
    <col min="1295" max="1533" width="9.33203125" style="11"/>
    <col min="1534" max="1534" width="5" style="11" customWidth="1"/>
    <col min="1535" max="1535" width="9.33203125" style="11"/>
    <col min="1536" max="1536" width="21.6640625" style="11" customWidth="1"/>
    <col min="1537" max="1537" width="13.5" style="11" customWidth="1"/>
    <col min="1538" max="1538" width="10.5" style="11" customWidth="1"/>
    <col min="1539" max="1539" width="15.1640625" style="11" customWidth="1"/>
    <col min="1540" max="1540" width="3.6640625" style="11" customWidth="1"/>
    <col min="1541" max="1541" width="13.1640625" style="11" customWidth="1"/>
    <col min="1542" max="1542" width="3.83203125" style="11" customWidth="1"/>
    <col min="1543" max="1543" width="15" style="11" customWidth="1"/>
    <col min="1544" max="1544" width="3.6640625" style="11" customWidth="1"/>
    <col min="1545" max="1546" width="13" style="11" customWidth="1"/>
    <col min="1547" max="1547" width="0" style="11" hidden="1" customWidth="1"/>
    <col min="1548" max="1549" width="9.33203125" style="11"/>
    <col min="1550" max="1550" width="15.83203125" style="11" customWidth="1"/>
    <col min="1551" max="1789" width="9.33203125" style="11"/>
    <col min="1790" max="1790" width="5" style="11" customWidth="1"/>
    <col min="1791" max="1791" width="9.33203125" style="11"/>
    <col min="1792" max="1792" width="21.6640625" style="11" customWidth="1"/>
    <col min="1793" max="1793" width="13.5" style="11" customWidth="1"/>
    <col min="1794" max="1794" width="10.5" style="11" customWidth="1"/>
    <col min="1795" max="1795" width="15.1640625" style="11" customWidth="1"/>
    <col min="1796" max="1796" width="3.6640625" style="11" customWidth="1"/>
    <col min="1797" max="1797" width="13.1640625" style="11" customWidth="1"/>
    <col min="1798" max="1798" width="3.83203125" style="11" customWidth="1"/>
    <col min="1799" max="1799" width="15" style="11" customWidth="1"/>
    <col min="1800" max="1800" width="3.6640625" style="11" customWidth="1"/>
    <col min="1801" max="1802" width="13" style="11" customWidth="1"/>
    <col min="1803" max="1803" width="0" style="11" hidden="1" customWidth="1"/>
    <col min="1804" max="1805" width="9.33203125" style="11"/>
    <col min="1806" max="1806" width="15.83203125" style="11" customWidth="1"/>
    <col min="1807" max="2045" width="9.33203125" style="11"/>
    <col min="2046" max="2046" width="5" style="11" customWidth="1"/>
    <col min="2047" max="2047" width="9.33203125" style="11"/>
    <col min="2048" max="2048" width="21.6640625" style="11" customWidth="1"/>
    <col min="2049" max="2049" width="13.5" style="11" customWidth="1"/>
    <col min="2050" max="2050" width="10.5" style="11" customWidth="1"/>
    <col min="2051" max="2051" width="15.1640625" style="11" customWidth="1"/>
    <col min="2052" max="2052" width="3.6640625" style="11" customWidth="1"/>
    <col min="2053" max="2053" width="13.1640625" style="11" customWidth="1"/>
    <col min="2054" max="2054" width="3.83203125" style="11" customWidth="1"/>
    <col min="2055" max="2055" width="15" style="11" customWidth="1"/>
    <col min="2056" max="2056" width="3.6640625" style="11" customWidth="1"/>
    <col min="2057" max="2058" width="13" style="11" customWidth="1"/>
    <col min="2059" max="2059" width="0" style="11" hidden="1" customWidth="1"/>
    <col min="2060" max="2061" width="9.33203125" style="11"/>
    <col min="2062" max="2062" width="15.83203125" style="11" customWidth="1"/>
    <col min="2063" max="2301" width="9.33203125" style="11"/>
    <col min="2302" max="2302" width="5" style="11" customWidth="1"/>
    <col min="2303" max="2303" width="9.33203125" style="11"/>
    <col min="2304" max="2304" width="21.6640625" style="11" customWidth="1"/>
    <col min="2305" max="2305" width="13.5" style="11" customWidth="1"/>
    <col min="2306" max="2306" width="10.5" style="11" customWidth="1"/>
    <col min="2307" max="2307" width="15.1640625" style="11" customWidth="1"/>
    <col min="2308" max="2308" width="3.6640625" style="11" customWidth="1"/>
    <col min="2309" max="2309" width="13.1640625" style="11" customWidth="1"/>
    <col min="2310" max="2310" width="3.83203125" style="11" customWidth="1"/>
    <col min="2311" max="2311" width="15" style="11" customWidth="1"/>
    <col min="2312" max="2312" width="3.6640625" style="11" customWidth="1"/>
    <col min="2313" max="2314" width="13" style="11" customWidth="1"/>
    <col min="2315" max="2315" width="0" style="11" hidden="1" customWidth="1"/>
    <col min="2316" max="2317" width="9.33203125" style="11"/>
    <col min="2318" max="2318" width="15.83203125" style="11" customWidth="1"/>
    <col min="2319" max="2557" width="9.33203125" style="11"/>
    <col min="2558" max="2558" width="5" style="11" customWidth="1"/>
    <col min="2559" max="2559" width="9.33203125" style="11"/>
    <col min="2560" max="2560" width="21.6640625" style="11" customWidth="1"/>
    <col min="2561" max="2561" width="13.5" style="11" customWidth="1"/>
    <col min="2562" max="2562" width="10.5" style="11" customWidth="1"/>
    <col min="2563" max="2563" width="15.1640625" style="11" customWidth="1"/>
    <col min="2564" max="2564" width="3.6640625" style="11" customWidth="1"/>
    <col min="2565" max="2565" width="13.1640625" style="11" customWidth="1"/>
    <col min="2566" max="2566" width="3.83203125" style="11" customWidth="1"/>
    <col min="2567" max="2567" width="15" style="11" customWidth="1"/>
    <col min="2568" max="2568" width="3.6640625" style="11" customWidth="1"/>
    <col min="2569" max="2570" width="13" style="11" customWidth="1"/>
    <col min="2571" max="2571" width="0" style="11" hidden="1" customWidth="1"/>
    <col min="2572" max="2573" width="9.33203125" style="11"/>
    <col min="2574" max="2574" width="15.83203125" style="11" customWidth="1"/>
    <col min="2575" max="2813" width="9.33203125" style="11"/>
    <col min="2814" max="2814" width="5" style="11" customWidth="1"/>
    <col min="2815" max="2815" width="9.33203125" style="11"/>
    <col min="2816" max="2816" width="21.6640625" style="11" customWidth="1"/>
    <col min="2817" max="2817" width="13.5" style="11" customWidth="1"/>
    <col min="2818" max="2818" width="10.5" style="11" customWidth="1"/>
    <col min="2819" max="2819" width="15.1640625" style="11" customWidth="1"/>
    <col min="2820" max="2820" width="3.6640625" style="11" customWidth="1"/>
    <col min="2821" max="2821" width="13.1640625" style="11" customWidth="1"/>
    <col min="2822" max="2822" width="3.83203125" style="11" customWidth="1"/>
    <col min="2823" max="2823" width="15" style="11" customWidth="1"/>
    <col min="2824" max="2824" width="3.6640625" style="11" customWidth="1"/>
    <col min="2825" max="2826" width="13" style="11" customWidth="1"/>
    <col min="2827" max="2827" width="0" style="11" hidden="1" customWidth="1"/>
    <col min="2828" max="2829" width="9.33203125" style="11"/>
    <col min="2830" max="2830" width="15.83203125" style="11" customWidth="1"/>
    <col min="2831" max="3069" width="9.33203125" style="11"/>
    <col min="3070" max="3070" width="5" style="11" customWidth="1"/>
    <col min="3071" max="3071" width="9.33203125" style="11"/>
    <col min="3072" max="3072" width="21.6640625" style="11" customWidth="1"/>
    <col min="3073" max="3073" width="13.5" style="11" customWidth="1"/>
    <col min="3074" max="3074" width="10.5" style="11" customWidth="1"/>
    <col min="3075" max="3075" width="15.1640625" style="11" customWidth="1"/>
    <col min="3076" max="3076" width="3.6640625" style="11" customWidth="1"/>
    <col min="3077" max="3077" width="13.1640625" style="11" customWidth="1"/>
    <col min="3078" max="3078" width="3.83203125" style="11" customWidth="1"/>
    <col min="3079" max="3079" width="15" style="11" customWidth="1"/>
    <col min="3080" max="3080" width="3.6640625" style="11" customWidth="1"/>
    <col min="3081" max="3082" width="13" style="11" customWidth="1"/>
    <col min="3083" max="3083" width="0" style="11" hidden="1" customWidth="1"/>
    <col min="3084" max="3085" width="9.33203125" style="11"/>
    <col min="3086" max="3086" width="15.83203125" style="11" customWidth="1"/>
    <col min="3087" max="3325" width="9.33203125" style="11"/>
    <col min="3326" max="3326" width="5" style="11" customWidth="1"/>
    <col min="3327" max="3327" width="9.33203125" style="11"/>
    <col min="3328" max="3328" width="21.6640625" style="11" customWidth="1"/>
    <col min="3329" max="3329" width="13.5" style="11" customWidth="1"/>
    <col min="3330" max="3330" width="10.5" style="11" customWidth="1"/>
    <col min="3331" max="3331" width="15.1640625" style="11" customWidth="1"/>
    <col min="3332" max="3332" width="3.6640625" style="11" customWidth="1"/>
    <col min="3333" max="3333" width="13.1640625" style="11" customWidth="1"/>
    <col min="3334" max="3334" width="3.83203125" style="11" customWidth="1"/>
    <col min="3335" max="3335" width="15" style="11" customWidth="1"/>
    <col min="3336" max="3336" width="3.6640625" style="11" customWidth="1"/>
    <col min="3337" max="3338" width="13" style="11" customWidth="1"/>
    <col min="3339" max="3339" width="0" style="11" hidden="1" customWidth="1"/>
    <col min="3340" max="3341" width="9.33203125" style="11"/>
    <col min="3342" max="3342" width="15.83203125" style="11" customWidth="1"/>
    <col min="3343" max="3581" width="9.33203125" style="11"/>
    <col min="3582" max="3582" width="5" style="11" customWidth="1"/>
    <col min="3583" max="3583" width="9.33203125" style="11"/>
    <col min="3584" max="3584" width="21.6640625" style="11" customWidth="1"/>
    <col min="3585" max="3585" width="13.5" style="11" customWidth="1"/>
    <col min="3586" max="3586" width="10.5" style="11" customWidth="1"/>
    <col min="3587" max="3587" width="15.1640625" style="11" customWidth="1"/>
    <col min="3588" max="3588" width="3.6640625" style="11" customWidth="1"/>
    <col min="3589" max="3589" width="13.1640625" style="11" customWidth="1"/>
    <col min="3590" max="3590" width="3.83203125" style="11" customWidth="1"/>
    <col min="3591" max="3591" width="15" style="11" customWidth="1"/>
    <col min="3592" max="3592" width="3.6640625" style="11" customWidth="1"/>
    <col min="3593" max="3594" width="13" style="11" customWidth="1"/>
    <col min="3595" max="3595" width="0" style="11" hidden="1" customWidth="1"/>
    <col min="3596" max="3597" width="9.33203125" style="11"/>
    <col min="3598" max="3598" width="15.83203125" style="11" customWidth="1"/>
    <col min="3599" max="3837" width="9.33203125" style="11"/>
    <col min="3838" max="3838" width="5" style="11" customWidth="1"/>
    <col min="3839" max="3839" width="9.33203125" style="11"/>
    <col min="3840" max="3840" width="21.6640625" style="11" customWidth="1"/>
    <col min="3841" max="3841" width="13.5" style="11" customWidth="1"/>
    <col min="3842" max="3842" width="10.5" style="11" customWidth="1"/>
    <col min="3843" max="3843" width="15.1640625" style="11" customWidth="1"/>
    <col min="3844" max="3844" width="3.6640625" style="11" customWidth="1"/>
    <col min="3845" max="3845" width="13.1640625" style="11" customWidth="1"/>
    <col min="3846" max="3846" width="3.83203125" style="11" customWidth="1"/>
    <col min="3847" max="3847" width="15" style="11" customWidth="1"/>
    <col min="3848" max="3848" width="3.6640625" style="11" customWidth="1"/>
    <col min="3849" max="3850" width="13" style="11" customWidth="1"/>
    <col min="3851" max="3851" width="0" style="11" hidden="1" customWidth="1"/>
    <col min="3852" max="3853" width="9.33203125" style="11"/>
    <col min="3854" max="3854" width="15.83203125" style="11" customWidth="1"/>
    <col min="3855" max="4093" width="9.33203125" style="11"/>
    <col min="4094" max="4094" width="5" style="11" customWidth="1"/>
    <col min="4095" max="4095" width="9.33203125" style="11"/>
    <col min="4096" max="4096" width="21.6640625" style="11" customWidth="1"/>
    <col min="4097" max="4097" width="13.5" style="11" customWidth="1"/>
    <col min="4098" max="4098" width="10.5" style="11" customWidth="1"/>
    <col min="4099" max="4099" width="15.1640625" style="11" customWidth="1"/>
    <col min="4100" max="4100" width="3.6640625" style="11" customWidth="1"/>
    <col min="4101" max="4101" width="13.1640625" style="11" customWidth="1"/>
    <col min="4102" max="4102" width="3.83203125" style="11" customWidth="1"/>
    <col min="4103" max="4103" width="15" style="11" customWidth="1"/>
    <col min="4104" max="4104" width="3.6640625" style="11" customWidth="1"/>
    <col min="4105" max="4106" width="13" style="11" customWidth="1"/>
    <col min="4107" max="4107" width="0" style="11" hidden="1" customWidth="1"/>
    <col min="4108" max="4109" width="9.33203125" style="11"/>
    <col min="4110" max="4110" width="15.83203125" style="11" customWidth="1"/>
    <col min="4111" max="4349" width="9.33203125" style="11"/>
    <col min="4350" max="4350" width="5" style="11" customWidth="1"/>
    <col min="4351" max="4351" width="9.33203125" style="11"/>
    <col min="4352" max="4352" width="21.6640625" style="11" customWidth="1"/>
    <col min="4353" max="4353" width="13.5" style="11" customWidth="1"/>
    <col min="4354" max="4354" width="10.5" style="11" customWidth="1"/>
    <col min="4355" max="4355" width="15.1640625" style="11" customWidth="1"/>
    <col min="4356" max="4356" width="3.6640625" style="11" customWidth="1"/>
    <col min="4357" max="4357" width="13.1640625" style="11" customWidth="1"/>
    <col min="4358" max="4358" width="3.83203125" style="11" customWidth="1"/>
    <col min="4359" max="4359" width="15" style="11" customWidth="1"/>
    <col min="4360" max="4360" width="3.6640625" style="11" customWidth="1"/>
    <col min="4361" max="4362" width="13" style="11" customWidth="1"/>
    <col min="4363" max="4363" width="0" style="11" hidden="1" customWidth="1"/>
    <col min="4364" max="4365" width="9.33203125" style="11"/>
    <col min="4366" max="4366" width="15.83203125" style="11" customWidth="1"/>
    <col min="4367" max="4605" width="9.33203125" style="11"/>
    <col min="4606" max="4606" width="5" style="11" customWidth="1"/>
    <col min="4607" max="4607" width="9.33203125" style="11"/>
    <col min="4608" max="4608" width="21.6640625" style="11" customWidth="1"/>
    <col min="4609" max="4609" width="13.5" style="11" customWidth="1"/>
    <col min="4610" max="4610" width="10.5" style="11" customWidth="1"/>
    <col min="4611" max="4611" width="15.1640625" style="11" customWidth="1"/>
    <col min="4612" max="4612" width="3.6640625" style="11" customWidth="1"/>
    <col min="4613" max="4613" width="13.1640625" style="11" customWidth="1"/>
    <col min="4614" max="4614" width="3.83203125" style="11" customWidth="1"/>
    <col min="4615" max="4615" width="15" style="11" customWidth="1"/>
    <col min="4616" max="4616" width="3.6640625" style="11" customWidth="1"/>
    <col min="4617" max="4618" width="13" style="11" customWidth="1"/>
    <col min="4619" max="4619" width="0" style="11" hidden="1" customWidth="1"/>
    <col min="4620" max="4621" width="9.33203125" style="11"/>
    <col min="4622" max="4622" width="15.83203125" style="11" customWidth="1"/>
    <col min="4623" max="4861" width="9.33203125" style="11"/>
    <col min="4862" max="4862" width="5" style="11" customWidth="1"/>
    <col min="4863" max="4863" width="9.33203125" style="11"/>
    <col min="4864" max="4864" width="21.6640625" style="11" customWidth="1"/>
    <col min="4865" max="4865" width="13.5" style="11" customWidth="1"/>
    <col min="4866" max="4866" width="10.5" style="11" customWidth="1"/>
    <col min="4867" max="4867" width="15.1640625" style="11" customWidth="1"/>
    <col min="4868" max="4868" width="3.6640625" style="11" customWidth="1"/>
    <col min="4869" max="4869" width="13.1640625" style="11" customWidth="1"/>
    <col min="4870" max="4870" width="3.83203125" style="11" customWidth="1"/>
    <col min="4871" max="4871" width="15" style="11" customWidth="1"/>
    <col min="4872" max="4872" width="3.6640625" style="11" customWidth="1"/>
    <col min="4873" max="4874" width="13" style="11" customWidth="1"/>
    <col min="4875" max="4875" width="0" style="11" hidden="1" customWidth="1"/>
    <col min="4876" max="4877" width="9.33203125" style="11"/>
    <col min="4878" max="4878" width="15.83203125" style="11" customWidth="1"/>
    <col min="4879" max="5117" width="9.33203125" style="11"/>
    <col min="5118" max="5118" width="5" style="11" customWidth="1"/>
    <col min="5119" max="5119" width="9.33203125" style="11"/>
    <col min="5120" max="5120" width="21.6640625" style="11" customWidth="1"/>
    <col min="5121" max="5121" width="13.5" style="11" customWidth="1"/>
    <col min="5122" max="5122" width="10.5" style="11" customWidth="1"/>
    <col min="5123" max="5123" width="15.1640625" style="11" customWidth="1"/>
    <col min="5124" max="5124" width="3.6640625" style="11" customWidth="1"/>
    <col min="5125" max="5125" width="13.1640625" style="11" customWidth="1"/>
    <col min="5126" max="5126" width="3.83203125" style="11" customWidth="1"/>
    <col min="5127" max="5127" width="15" style="11" customWidth="1"/>
    <col min="5128" max="5128" width="3.6640625" style="11" customWidth="1"/>
    <col min="5129" max="5130" width="13" style="11" customWidth="1"/>
    <col min="5131" max="5131" width="0" style="11" hidden="1" customWidth="1"/>
    <col min="5132" max="5133" width="9.33203125" style="11"/>
    <col min="5134" max="5134" width="15.83203125" style="11" customWidth="1"/>
    <col min="5135" max="5373" width="9.33203125" style="11"/>
    <col min="5374" max="5374" width="5" style="11" customWidth="1"/>
    <col min="5375" max="5375" width="9.33203125" style="11"/>
    <col min="5376" max="5376" width="21.6640625" style="11" customWidth="1"/>
    <col min="5377" max="5377" width="13.5" style="11" customWidth="1"/>
    <col min="5378" max="5378" width="10.5" style="11" customWidth="1"/>
    <col min="5379" max="5379" width="15.1640625" style="11" customWidth="1"/>
    <col min="5380" max="5380" width="3.6640625" style="11" customWidth="1"/>
    <col min="5381" max="5381" width="13.1640625" style="11" customWidth="1"/>
    <col min="5382" max="5382" width="3.83203125" style="11" customWidth="1"/>
    <col min="5383" max="5383" width="15" style="11" customWidth="1"/>
    <col min="5384" max="5384" width="3.6640625" style="11" customWidth="1"/>
    <col min="5385" max="5386" width="13" style="11" customWidth="1"/>
    <col min="5387" max="5387" width="0" style="11" hidden="1" customWidth="1"/>
    <col min="5388" max="5389" width="9.33203125" style="11"/>
    <col min="5390" max="5390" width="15.83203125" style="11" customWidth="1"/>
    <col min="5391" max="5629" width="9.33203125" style="11"/>
    <col min="5630" max="5630" width="5" style="11" customWidth="1"/>
    <col min="5631" max="5631" width="9.33203125" style="11"/>
    <col min="5632" max="5632" width="21.6640625" style="11" customWidth="1"/>
    <col min="5633" max="5633" width="13.5" style="11" customWidth="1"/>
    <col min="5634" max="5634" width="10.5" style="11" customWidth="1"/>
    <col min="5635" max="5635" width="15.1640625" style="11" customWidth="1"/>
    <col min="5636" max="5636" width="3.6640625" style="11" customWidth="1"/>
    <col min="5637" max="5637" width="13.1640625" style="11" customWidth="1"/>
    <col min="5638" max="5638" width="3.83203125" style="11" customWidth="1"/>
    <col min="5639" max="5639" width="15" style="11" customWidth="1"/>
    <col min="5640" max="5640" width="3.6640625" style="11" customWidth="1"/>
    <col min="5641" max="5642" width="13" style="11" customWidth="1"/>
    <col min="5643" max="5643" width="0" style="11" hidden="1" customWidth="1"/>
    <col min="5644" max="5645" width="9.33203125" style="11"/>
    <col min="5646" max="5646" width="15.83203125" style="11" customWidth="1"/>
    <col min="5647" max="5885" width="9.33203125" style="11"/>
    <col min="5886" max="5886" width="5" style="11" customWidth="1"/>
    <col min="5887" max="5887" width="9.33203125" style="11"/>
    <col min="5888" max="5888" width="21.6640625" style="11" customWidth="1"/>
    <col min="5889" max="5889" width="13.5" style="11" customWidth="1"/>
    <col min="5890" max="5890" width="10.5" style="11" customWidth="1"/>
    <col min="5891" max="5891" width="15.1640625" style="11" customWidth="1"/>
    <col min="5892" max="5892" width="3.6640625" style="11" customWidth="1"/>
    <col min="5893" max="5893" width="13.1640625" style="11" customWidth="1"/>
    <col min="5894" max="5894" width="3.83203125" style="11" customWidth="1"/>
    <col min="5895" max="5895" width="15" style="11" customWidth="1"/>
    <col min="5896" max="5896" width="3.6640625" style="11" customWidth="1"/>
    <col min="5897" max="5898" width="13" style="11" customWidth="1"/>
    <col min="5899" max="5899" width="0" style="11" hidden="1" customWidth="1"/>
    <col min="5900" max="5901" width="9.33203125" style="11"/>
    <col min="5902" max="5902" width="15.83203125" style="11" customWidth="1"/>
    <col min="5903" max="6141" width="9.33203125" style="11"/>
    <col min="6142" max="6142" width="5" style="11" customWidth="1"/>
    <col min="6143" max="6143" width="9.33203125" style="11"/>
    <col min="6144" max="6144" width="21.6640625" style="11" customWidth="1"/>
    <col min="6145" max="6145" width="13.5" style="11" customWidth="1"/>
    <col min="6146" max="6146" width="10.5" style="11" customWidth="1"/>
    <col min="6147" max="6147" width="15.1640625" style="11" customWidth="1"/>
    <col min="6148" max="6148" width="3.6640625" style="11" customWidth="1"/>
    <col min="6149" max="6149" width="13.1640625" style="11" customWidth="1"/>
    <col min="6150" max="6150" width="3.83203125" style="11" customWidth="1"/>
    <col min="6151" max="6151" width="15" style="11" customWidth="1"/>
    <col min="6152" max="6152" width="3.6640625" style="11" customWidth="1"/>
    <col min="6153" max="6154" width="13" style="11" customWidth="1"/>
    <col min="6155" max="6155" width="0" style="11" hidden="1" customWidth="1"/>
    <col min="6156" max="6157" width="9.33203125" style="11"/>
    <col min="6158" max="6158" width="15.83203125" style="11" customWidth="1"/>
    <col min="6159" max="6397" width="9.33203125" style="11"/>
    <col min="6398" max="6398" width="5" style="11" customWidth="1"/>
    <col min="6399" max="6399" width="9.33203125" style="11"/>
    <col min="6400" max="6400" width="21.6640625" style="11" customWidth="1"/>
    <col min="6401" max="6401" width="13.5" style="11" customWidth="1"/>
    <col min="6402" max="6402" width="10.5" style="11" customWidth="1"/>
    <col min="6403" max="6403" width="15.1640625" style="11" customWidth="1"/>
    <col min="6404" max="6404" width="3.6640625" style="11" customWidth="1"/>
    <col min="6405" max="6405" width="13.1640625" style="11" customWidth="1"/>
    <col min="6406" max="6406" width="3.83203125" style="11" customWidth="1"/>
    <col min="6407" max="6407" width="15" style="11" customWidth="1"/>
    <col min="6408" max="6408" width="3.6640625" style="11" customWidth="1"/>
    <col min="6409" max="6410" width="13" style="11" customWidth="1"/>
    <col min="6411" max="6411" width="0" style="11" hidden="1" customWidth="1"/>
    <col min="6412" max="6413" width="9.33203125" style="11"/>
    <col min="6414" max="6414" width="15.83203125" style="11" customWidth="1"/>
    <col min="6415" max="6653" width="9.33203125" style="11"/>
    <col min="6654" max="6654" width="5" style="11" customWidth="1"/>
    <col min="6655" max="6655" width="9.33203125" style="11"/>
    <col min="6656" max="6656" width="21.6640625" style="11" customWidth="1"/>
    <col min="6657" max="6657" width="13.5" style="11" customWidth="1"/>
    <col min="6658" max="6658" width="10.5" style="11" customWidth="1"/>
    <col min="6659" max="6659" width="15.1640625" style="11" customWidth="1"/>
    <col min="6660" max="6660" width="3.6640625" style="11" customWidth="1"/>
    <col min="6661" max="6661" width="13.1640625" style="11" customWidth="1"/>
    <col min="6662" max="6662" width="3.83203125" style="11" customWidth="1"/>
    <col min="6663" max="6663" width="15" style="11" customWidth="1"/>
    <col min="6664" max="6664" width="3.6640625" style="11" customWidth="1"/>
    <col min="6665" max="6666" width="13" style="11" customWidth="1"/>
    <col min="6667" max="6667" width="0" style="11" hidden="1" customWidth="1"/>
    <col min="6668" max="6669" width="9.33203125" style="11"/>
    <col min="6670" max="6670" width="15.83203125" style="11" customWidth="1"/>
    <col min="6671" max="6909" width="9.33203125" style="11"/>
    <col min="6910" max="6910" width="5" style="11" customWidth="1"/>
    <col min="6911" max="6911" width="9.33203125" style="11"/>
    <col min="6912" max="6912" width="21.6640625" style="11" customWidth="1"/>
    <col min="6913" max="6913" width="13.5" style="11" customWidth="1"/>
    <col min="6914" max="6914" width="10.5" style="11" customWidth="1"/>
    <col min="6915" max="6915" width="15.1640625" style="11" customWidth="1"/>
    <col min="6916" max="6916" width="3.6640625" style="11" customWidth="1"/>
    <col min="6917" max="6917" width="13.1640625" style="11" customWidth="1"/>
    <col min="6918" max="6918" width="3.83203125" style="11" customWidth="1"/>
    <col min="6919" max="6919" width="15" style="11" customWidth="1"/>
    <col min="6920" max="6920" width="3.6640625" style="11" customWidth="1"/>
    <col min="6921" max="6922" width="13" style="11" customWidth="1"/>
    <col min="6923" max="6923" width="0" style="11" hidden="1" customWidth="1"/>
    <col min="6924" max="6925" width="9.33203125" style="11"/>
    <col min="6926" max="6926" width="15.83203125" style="11" customWidth="1"/>
    <col min="6927" max="7165" width="9.33203125" style="11"/>
    <col min="7166" max="7166" width="5" style="11" customWidth="1"/>
    <col min="7167" max="7167" width="9.33203125" style="11"/>
    <col min="7168" max="7168" width="21.6640625" style="11" customWidth="1"/>
    <col min="7169" max="7169" width="13.5" style="11" customWidth="1"/>
    <col min="7170" max="7170" width="10.5" style="11" customWidth="1"/>
    <col min="7171" max="7171" width="15.1640625" style="11" customWidth="1"/>
    <col min="7172" max="7172" width="3.6640625" style="11" customWidth="1"/>
    <col min="7173" max="7173" width="13.1640625" style="11" customWidth="1"/>
    <col min="7174" max="7174" width="3.83203125" style="11" customWidth="1"/>
    <col min="7175" max="7175" width="15" style="11" customWidth="1"/>
    <col min="7176" max="7176" width="3.6640625" style="11" customWidth="1"/>
    <col min="7177" max="7178" width="13" style="11" customWidth="1"/>
    <col min="7179" max="7179" width="0" style="11" hidden="1" customWidth="1"/>
    <col min="7180" max="7181" width="9.33203125" style="11"/>
    <col min="7182" max="7182" width="15.83203125" style="11" customWidth="1"/>
    <col min="7183" max="7421" width="9.33203125" style="11"/>
    <col min="7422" max="7422" width="5" style="11" customWidth="1"/>
    <col min="7423" max="7423" width="9.33203125" style="11"/>
    <col min="7424" max="7424" width="21.6640625" style="11" customWidth="1"/>
    <col min="7425" max="7425" width="13.5" style="11" customWidth="1"/>
    <col min="7426" max="7426" width="10.5" style="11" customWidth="1"/>
    <col min="7427" max="7427" width="15.1640625" style="11" customWidth="1"/>
    <col min="7428" max="7428" width="3.6640625" style="11" customWidth="1"/>
    <col min="7429" max="7429" width="13.1640625" style="11" customWidth="1"/>
    <col min="7430" max="7430" width="3.83203125" style="11" customWidth="1"/>
    <col min="7431" max="7431" width="15" style="11" customWidth="1"/>
    <col min="7432" max="7432" width="3.6640625" style="11" customWidth="1"/>
    <col min="7433" max="7434" width="13" style="11" customWidth="1"/>
    <col min="7435" max="7435" width="0" style="11" hidden="1" customWidth="1"/>
    <col min="7436" max="7437" width="9.33203125" style="11"/>
    <col min="7438" max="7438" width="15.83203125" style="11" customWidth="1"/>
    <col min="7439" max="7677" width="9.33203125" style="11"/>
    <col min="7678" max="7678" width="5" style="11" customWidth="1"/>
    <col min="7679" max="7679" width="9.33203125" style="11"/>
    <col min="7680" max="7680" width="21.6640625" style="11" customWidth="1"/>
    <col min="7681" max="7681" width="13.5" style="11" customWidth="1"/>
    <col min="7682" max="7682" width="10.5" style="11" customWidth="1"/>
    <col min="7683" max="7683" width="15.1640625" style="11" customWidth="1"/>
    <col min="7684" max="7684" width="3.6640625" style="11" customWidth="1"/>
    <col min="7685" max="7685" width="13.1640625" style="11" customWidth="1"/>
    <col min="7686" max="7686" width="3.83203125" style="11" customWidth="1"/>
    <col min="7687" max="7687" width="15" style="11" customWidth="1"/>
    <col min="7688" max="7688" width="3.6640625" style="11" customWidth="1"/>
    <col min="7689" max="7690" width="13" style="11" customWidth="1"/>
    <col min="7691" max="7691" width="0" style="11" hidden="1" customWidth="1"/>
    <col min="7692" max="7693" width="9.33203125" style="11"/>
    <col min="7694" max="7694" width="15.83203125" style="11" customWidth="1"/>
    <col min="7695" max="7933" width="9.33203125" style="11"/>
    <col min="7934" max="7934" width="5" style="11" customWidth="1"/>
    <col min="7935" max="7935" width="9.33203125" style="11"/>
    <col min="7936" max="7936" width="21.6640625" style="11" customWidth="1"/>
    <col min="7937" max="7937" width="13.5" style="11" customWidth="1"/>
    <col min="7938" max="7938" width="10.5" style="11" customWidth="1"/>
    <col min="7939" max="7939" width="15.1640625" style="11" customWidth="1"/>
    <col min="7940" max="7940" width="3.6640625" style="11" customWidth="1"/>
    <col min="7941" max="7941" width="13.1640625" style="11" customWidth="1"/>
    <col min="7942" max="7942" width="3.83203125" style="11" customWidth="1"/>
    <col min="7943" max="7943" width="15" style="11" customWidth="1"/>
    <col min="7944" max="7944" width="3.6640625" style="11" customWidth="1"/>
    <col min="7945" max="7946" width="13" style="11" customWidth="1"/>
    <col min="7947" max="7947" width="0" style="11" hidden="1" customWidth="1"/>
    <col min="7948" max="7949" width="9.33203125" style="11"/>
    <col min="7950" max="7950" width="15.83203125" style="11" customWidth="1"/>
    <col min="7951" max="8189" width="9.33203125" style="11"/>
    <col min="8190" max="8190" width="5" style="11" customWidth="1"/>
    <col min="8191" max="8191" width="9.33203125" style="11"/>
    <col min="8192" max="8192" width="21.6640625" style="11" customWidth="1"/>
    <col min="8193" max="8193" width="13.5" style="11" customWidth="1"/>
    <col min="8194" max="8194" width="10.5" style="11" customWidth="1"/>
    <col min="8195" max="8195" width="15.1640625" style="11" customWidth="1"/>
    <col min="8196" max="8196" width="3.6640625" style="11" customWidth="1"/>
    <col min="8197" max="8197" width="13.1640625" style="11" customWidth="1"/>
    <col min="8198" max="8198" width="3.83203125" style="11" customWidth="1"/>
    <col min="8199" max="8199" width="15" style="11" customWidth="1"/>
    <col min="8200" max="8200" width="3.6640625" style="11" customWidth="1"/>
    <col min="8201" max="8202" width="13" style="11" customWidth="1"/>
    <col min="8203" max="8203" width="0" style="11" hidden="1" customWidth="1"/>
    <col min="8204" max="8205" width="9.33203125" style="11"/>
    <col min="8206" max="8206" width="15.83203125" style="11" customWidth="1"/>
    <col min="8207" max="8445" width="9.33203125" style="11"/>
    <col min="8446" max="8446" width="5" style="11" customWidth="1"/>
    <col min="8447" max="8447" width="9.33203125" style="11"/>
    <col min="8448" max="8448" width="21.6640625" style="11" customWidth="1"/>
    <col min="8449" max="8449" width="13.5" style="11" customWidth="1"/>
    <col min="8450" max="8450" width="10.5" style="11" customWidth="1"/>
    <col min="8451" max="8451" width="15.1640625" style="11" customWidth="1"/>
    <col min="8452" max="8452" width="3.6640625" style="11" customWidth="1"/>
    <col min="8453" max="8453" width="13.1640625" style="11" customWidth="1"/>
    <col min="8454" max="8454" width="3.83203125" style="11" customWidth="1"/>
    <col min="8455" max="8455" width="15" style="11" customWidth="1"/>
    <col min="8456" max="8456" width="3.6640625" style="11" customWidth="1"/>
    <col min="8457" max="8458" width="13" style="11" customWidth="1"/>
    <col min="8459" max="8459" width="0" style="11" hidden="1" customWidth="1"/>
    <col min="8460" max="8461" width="9.33203125" style="11"/>
    <col min="8462" max="8462" width="15.83203125" style="11" customWidth="1"/>
    <col min="8463" max="8701" width="9.33203125" style="11"/>
    <col min="8702" max="8702" width="5" style="11" customWidth="1"/>
    <col min="8703" max="8703" width="9.33203125" style="11"/>
    <col min="8704" max="8704" width="21.6640625" style="11" customWidth="1"/>
    <col min="8705" max="8705" width="13.5" style="11" customWidth="1"/>
    <col min="8706" max="8706" width="10.5" style="11" customWidth="1"/>
    <col min="8707" max="8707" width="15.1640625" style="11" customWidth="1"/>
    <col min="8708" max="8708" width="3.6640625" style="11" customWidth="1"/>
    <col min="8709" max="8709" width="13.1640625" style="11" customWidth="1"/>
    <col min="8710" max="8710" width="3.83203125" style="11" customWidth="1"/>
    <col min="8711" max="8711" width="15" style="11" customWidth="1"/>
    <col min="8712" max="8712" width="3.6640625" style="11" customWidth="1"/>
    <col min="8713" max="8714" width="13" style="11" customWidth="1"/>
    <col min="8715" max="8715" width="0" style="11" hidden="1" customWidth="1"/>
    <col min="8716" max="8717" width="9.33203125" style="11"/>
    <col min="8718" max="8718" width="15.83203125" style="11" customWidth="1"/>
    <col min="8719" max="8957" width="9.33203125" style="11"/>
    <col min="8958" max="8958" width="5" style="11" customWidth="1"/>
    <col min="8959" max="8959" width="9.33203125" style="11"/>
    <col min="8960" max="8960" width="21.6640625" style="11" customWidth="1"/>
    <col min="8961" max="8961" width="13.5" style="11" customWidth="1"/>
    <col min="8962" max="8962" width="10.5" style="11" customWidth="1"/>
    <col min="8963" max="8963" width="15.1640625" style="11" customWidth="1"/>
    <col min="8964" max="8964" width="3.6640625" style="11" customWidth="1"/>
    <col min="8965" max="8965" width="13.1640625" style="11" customWidth="1"/>
    <col min="8966" max="8966" width="3.83203125" style="11" customWidth="1"/>
    <col min="8967" max="8967" width="15" style="11" customWidth="1"/>
    <col min="8968" max="8968" width="3.6640625" style="11" customWidth="1"/>
    <col min="8969" max="8970" width="13" style="11" customWidth="1"/>
    <col min="8971" max="8971" width="0" style="11" hidden="1" customWidth="1"/>
    <col min="8972" max="8973" width="9.33203125" style="11"/>
    <col min="8974" max="8974" width="15.83203125" style="11" customWidth="1"/>
    <col min="8975" max="9213" width="9.33203125" style="11"/>
    <col min="9214" max="9214" width="5" style="11" customWidth="1"/>
    <col min="9215" max="9215" width="9.33203125" style="11"/>
    <col min="9216" max="9216" width="21.6640625" style="11" customWidth="1"/>
    <col min="9217" max="9217" width="13.5" style="11" customWidth="1"/>
    <col min="9218" max="9218" width="10.5" style="11" customWidth="1"/>
    <col min="9219" max="9219" width="15.1640625" style="11" customWidth="1"/>
    <col min="9220" max="9220" width="3.6640625" style="11" customWidth="1"/>
    <col min="9221" max="9221" width="13.1640625" style="11" customWidth="1"/>
    <col min="9222" max="9222" width="3.83203125" style="11" customWidth="1"/>
    <col min="9223" max="9223" width="15" style="11" customWidth="1"/>
    <col min="9224" max="9224" width="3.6640625" style="11" customWidth="1"/>
    <col min="9225" max="9226" width="13" style="11" customWidth="1"/>
    <col min="9227" max="9227" width="0" style="11" hidden="1" customWidth="1"/>
    <col min="9228" max="9229" width="9.33203125" style="11"/>
    <col min="9230" max="9230" width="15.83203125" style="11" customWidth="1"/>
    <col min="9231" max="9469" width="9.33203125" style="11"/>
    <col min="9470" max="9470" width="5" style="11" customWidth="1"/>
    <col min="9471" max="9471" width="9.33203125" style="11"/>
    <col min="9472" max="9472" width="21.6640625" style="11" customWidth="1"/>
    <col min="9473" max="9473" width="13.5" style="11" customWidth="1"/>
    <col min="9474" max="9474" width="10.5" style="11" customWidth="1"/>
    <col min="9475" max="9475" width="15.1640625" style="11" customWidth="1"/>
    <col min="9476" max="9476" width="3.6640625" style="11" customWidth="1"/>
    <col min="9477" max="9477" width="13.1640625" style="11" customWidth="1"/>
    <col min="9478" max="9478" width="3.83203125" style="11" customWidth="1"/>
    <col min="9479" max="9479" width="15" style="11" customWidth="1"/>
    <col min="9480" max="9480" width="3.6640625" style="11" customWidth="1"/>
    <col min="9481" max="9482" width="13" style="11" customWidth="1"/>
    <col min="9483" max="9483" width="0" style="11" hidden="1" customWidth="1"/>
    <col min="9484" max="9485" width="9.33203125" style="11"/>
    <col min="9486" max="9486" width="15.83203125" style="11" customWidth="1"/>
    <col min="9487" max="9725" width="9.33203125" style="11"/>
    <col min="9726" max="9726" width="5" style="11" customWidth="1"/>
    <col min="9727" max="9727" width="9.33203125" style="11"/>
    <col min="9728" max="9728" width="21.6640625" style="11" customWidth="1"/>
    <col min="9729" max="9729" width="13.5" style="11" customWidth="1"/>
    <col min="9730" max="9730" width="10.5" style="11" customWidth="1"/>
    <col min="9731" max="9731" width="15.1640625" style="11" customWidth="1"/>
    <col min="9732" max="9732" width="3.6640625" style="11" customWidth="1"/>
    <col min="9733" max="9733" width="13.1640625" style="11" customWidth="1"/>
    <col min="9734" max="9734" width="3.83203125" style="11" customWidth="1"/>
    <col min="9735" max="9735" width="15" style="11" customWidth="1"/>
    <col min="9736" max="9736" width="3.6640625" style="11" customWidth="1"/>
    <col min="9737" max="9738" width="13" style="11" customWidth="1"/>
    <col min="9739" max="9739" width="0" style="11" hidden="1" customWidth="1"/>
    <col min="9740" max="9741" width="9.33203125" style="11"/>
    <col min="9742" max="9742" width="15.83203125" style="11" customWidth="1"/>
    <col min="9743" max="9981" width="9.33203125" style="11"/>
    <col min="9982" max="9982" width="5" style="11" customWidth="1"/>
    <col min="9983" max="9983" width="9.33203125" style="11"/>
    <col min="9984" max="9984" width="21.6640625" style="11" customWidth="1"/>
    <col min="9985" max="9985" width="13.5" style="11" customWidth="1"/>
    <col min="9986" max="9986" width="10.5" style="11" customWidth="1"/>
    <col min="9987" max="9987" width="15.1640625" style="11" customWidth="1"/>
    <col min="9988" max="9988" width="3.6640625" style="11" customWidth="1"/>
    <col min="9989" max="9989" width="13.1640625" style="11" customWidth="1"/>
    <col min="9990" max="9990" width="3.83203125" style="11" customWidth="1"/>
    <col min="9991" max="9991" width="15" style="11" customWidth="1"/>
    <col min="9992" max="9992" width="3.6640625" style="11" customWidth="1"/>
    <col min="9993" max="9994" width="13" style="11" customWidth="1"/>
    <col min="9995" max="9995" width="0" style="11" hidden="1" customWidth="1"/>
    <col min="9996" max="9997" width="9.33203125" style="11"/>
    <col min="9998" max="9998" width="15.83203125" style="11" customWidth="1"/>
    <col min="9999" max="10237" width="9.33203125" style="11"/>
    <col min="10238" max="10238" width="5" style="11" customWidth="1"/>
    <col min="10239" max="10239" width="9.33203125" style="11"/>
    <col min="10240" max="10240" width="21.6640625" style="11" customWidth="1"/>
    <col min="10241" max="10241" width="13.5" style="11" customWidth="1"/>
    <col min="10242" max="10242" width="10.5" style="11" customWidth="1"/>
    <col min="10243" max="10243" width="15.1640625" style="11" customWidth="1"/>
    <col min="10244" max="10244" width="3.6640625" style="11" customWidth="1"/>
    <col min="10245" max="10245" width="13.1640625" style="11" customWidth="1"/>
    <col min="10246" max="10246" width="3.83203125" style="11" customWidth="1"/>
    <col min="10247" max="10247" width="15" style="11" customWidth="1"/>
    <col min="10248" max="10248" width="3.6640625" style="11" customWidth="1"/>
    <col min="10249" max="10250" width="13" style="11" customWidth="1"/>
    <col min="10251" max="10251" width="0" style="11" hidden="1" customWidth="1"/>
    <col min="10252" max="10253" width="9.33203125" style="11"/>
    <col min="10254" max="10254" width="15.83203125" style="11" customWidth="1"/>
    <col min="10255" max="10493" width="9.33203125" style="11"/>
    <col min="10494" max="10494" width="5" style="11" customWidth="1"/>
    <col min="10495" max="10495" width="9.33203125" style="11"/>
    <col min="10496" max="10496" width="21.6640625" style="11" customWidth="1"/>
    <col min="10497" max="10497" width="13.5" style="11" customWidth="1"/>
    <col min="10498" max="10498" width="10.5" style="11" customWidth="1"/>
    <col min="10499" max="10499" width="15.1640625" style="11" customWidth="1"/>
    <col min="10500" max="10500" width="3.6640625" style="11" customWidth="1"/>
    <col min="10501" max="10501" width="13.1640625" style="11" customWidth="1"/>
    <col min="10502" max="10502" width="3.83203125" style="11" customWidth="1"/>
    <col min="10503" max="10503" width="15" style="11" customWidth="1"/>
    <col min="10504" max="10504" width="3.6640625" style="11" customWidth="1"/>
    <col min="10505" max="10506" width="13" style="11" customWidth="1"/>
    <col min="10507" max="10507" width="0" style="11" hidden="1" customWidth="1"/>
    <col min="10508" max="10509" width="9.33203125" style="11"/>
    <col min="10510" max="10510" width="15.83203125" style="11" customWidth="1"/>
    <col min="10511" max="10749" width="9.33203125" style="11"/>
    <col min="10750" max="10750" width="5" style="11" customWidth="1"/>
    <col min="10751" max="10751" width="9.33203125" style="11"/>
    <col min="10752" max="10752" width="21.6640625" style="11" customWidth="1"/>
    <col min="10753" max="10753" width="13.5" style="11" customWidth="1"/>
    <col min="10754" max="10754" width="10.5" style="11" customWidth="1"/>
    <col min="10755" max="10755" width="15.1640625" style="11" customWidth="1"/>
    <col min="10756" max="10756" width="3.6640625" style="11" customWidth="1"/>
    <col min="10757" max="10757" width="13.1640625" style="11" customWidth="1"/>
    <col min="10758" max="10758" width="3.83203125" style="11" customWidth="1"/>
    <col min="10759" max="10759" width="15" style="11" customWidth="1"/>
    <col min="10760" max="10760" width="3.6640625" style="11" customWidth="1"/>
    <col min="10761" max="10762" width="13" style="11" customWidth="1"/>
    <col min="10763" max="10763" width="0" style="11" hidden="1" customWidth="1"/>
    <col min="10764" max="10765" width="9.33203125" style="11"/>
    <col min="10766" max="10766" width="15.83203125" style="11" customWidth="1"/>
    <col min="10767" max="11005" width="9.33203125" style="11"/>
    <col min="11006" max="11006" width="5" style="11" customWidth="1"/>
    <col min="11007" max="11007" width="9.33203125" style="11"/>
    <col min="11008" max="11008" width="21.6640625" style="11" customWidth="1"/>
    <col min="11009" max="11009" width="13.5" style="11" customWidth="1"/>
    <col min="11010" max="11010" width="10.5" style="11" customWidth="1"/>
    <col min="11011" max="11011" width="15.1640625" style="11" customWidth="1"/>
    <col min="11012" max="11012" width="3.6640625" style="11" customWidth="1"/>
    <col min="11013" max="11013" width="13.1640625" style="11" customWidth="1"/>
    <col min="11014" max="11014" width="3.83203125" style="11" customWidth="1"/>
    <col min="11015" max="11015" width="15" style="11" customWidth="1"/>
    <col min="11016" max="11016" width="3.6640625" style="11" customWidth="1"/>
    <col min="11017" max="11018" width="13" style="11" customWidth="1"/>
    <col min="11019" max="11019" width="0" style="11" hidden="1" customWidth="1"/>
    <col min="11020" max="11021" width="9.33203125" style="11"/>
    <col min="11022" max="11022" width="15.83203125" style="11" customWidth="1"/>
    <col min="11023" max="11261" width="9.33203125" style="11"/>
    <col min="11262" max="11262" width="5" style="11" customWidth="1"/>
    <col min="11263" max="11263" width="9.33203125" style="11"/>
    <col min="11264" max="11264" width="21.6640625" style="11" customWidth="1"/>
    <col min="11265" max="11265" width="13.5" style="11" customWidth="1"/>
    <col min="11266" max="11266" width="10.5" style="11" customWidth="1"/>
    <col min="11267" max="11267" width="15.1640625" style="11" customWidth="1"/>
    <col min="11268" max="11268" width="3.6640625" style="11" customWidth="1"/>
    <col min="11269" max="11269" width="13.1640625" style="11" customWidth="1"/>
    <col min="11270" max="11270" width="3.83203125" style="11" customWidth="1"/>
    <col min="11271" max="11271" width="15" style="11" customWidth="1"/>
    <col min="11272" max="11272" width="3.6640625" style="11" customWidth="1"/>
    <col min="11273" max="11274" width="13" style="11" customWidth="1"/>
    <col min="11275" max="11275" width="0" style="11" hidden="1" customWidth="1"/>
    <col min="11276" max="11277" width="9.33203125" style="11"/>
    <col min="11278" max="11278" width="15.83203125" style="11" customWidth="1"/>
    <col min="11279" max="11517" width="9.33203125" style="11"/>
    <col min="11518" max="11518" width="5" style="11" customWidth="1"/>
    <col min="11519" max="11519" width="9.33203125" style="11"/>
    <col min="11520" max="11520" width="21.6640625" style="11" customWidth="1"/>
    <col min="11521" max="11521" width="13.5" style="11" customWidth="1"/>
    <col min="11522" max="11522" width="10.5" style="11" customWidth="1"/>
    <col min="11523" max="11523" width="15.1640625" style="11" customWidth="1"/>
    <col min="11524" max="11524" width="3.6640625" style="11" customWidth="1"/>
    <col min="11525" max="11525" width="13.1640625" style="11" customWidth="1"/>
    <col min="11526" max="11526" width="3.83203125" style="11" customWidth="1"/>
    <col min="11527" max="11527" width="15" style="11" customWidth="1"/>
    <col min="11528" max="11528" width="3.6640625" style="11" customWidth="1"/>
    <col min="11529" max="11530" width="13" style="11" customWidth="1"/>
    <col min="11531" max="11531" width="0" style="11" hidden="1" customWidth="1"/>
    <col min="11532" max="11533" width="9.33203125" style="11"/>
    <col min="11534" max="11534" width="15.83203125" style="11" customWidth="1"/>
    <col min="11535" max="11773" width="9.33203125" style="11"/>
    <col min="11774" max="11774" width="5" style="11" customWidth="1"/>
    <col min="11775" max="11775" width="9.33203125" style="11"/>
    <col min="11776" max="11776" width="21.6640625" style="11" customWidth="1"/>
    <col min="11777" max="11777" width="13.5" style="11" customWidth="1"/>
    <col min="11778" max="11778" width="10.5" style="11" customWidth="1"/>
    <col min="11779" max="11779" width="15.1640625" style="11" customWidth="1"/>
    <col min="11780" max="11780" width="3.6640625" style="11" customWidth="1"/>
    <col min="11781" max="11781" width="13.1640625" style="11" customWidth="1"/>
    <col min="11782" max="11782" width="3.83203125" style="11" customWidth="1"/>
    <col min="11783" max="11783" width="15" style="11" customWidth="1"/>
    <col min="11784" max="11784" width="3.6640625" style="11" customWidth="1"/>
    <col min="11785" max="11786" width="13" style="11" customWidth="1"/>
    <col min="11787" max="11787" width="0" style="11" hidden="1" customWidth="1"/>
    <col min="11788" max="11789" width="9.33203125" style="11"/>
    <col min="11790" max="11790" width="15.83203125" style="11" customWidth="1"/>
    <col min="11791" max="12029" width="9.33203125" style="11"/>
    <col min="12030" max="12030" width="5" style="11" customWidth="1"/>
    <col min="12031" max="12031" width="9.33203125" style="11"/>
    <col min="12032" max="12032" width="21.6640625" style="11" customWidth="1"/>
    <col min="12033" max="12033" width="13.5" style="11" customWidth="1"/>
    <col min="12034" max="12034" width="10.5" style="11" customWidth="1"/>
    <col min="12035" max="12035" width="15.1640625" style="11" customWidth="1"/>
    <col min="12036" max="12036" width="3.6640625" style="11" customWidth="1"/>
    <col min="12037" max="12037" width="13.1640625" style="11" customWidth="1"/>
    <col min="12038" max="12038" width="3.83203125" style="11" customWidth="1"/>
    <col min="12039" max="12039" width="15" style="11" customWidth="1"/>
    <col min="12040" max="12040" width="3.6640625" style="11" customWidth="1"/>
    <col min="12041" max="12042" width="13" style="11" customWidth="1"/>
    <col min="12043" max="12043" width="0" style="11" hidden="1" customWidth="1"/>
    <col min="12044" max="12045" width="9.33203125" style="11"/>
    <col min="12046" max="12046" width="15.83203125" style="11" customWidth="1"/>
    <col min="12047" max="12285" width="9.33203125" style="11"/>
    <col min="12286" max="12286" width="5" style="11" customWidth="1"/>
    <col min="12287" max="12287" width="9.33203125" style="11"/>
    <col min="12288" max="12288" width="21.6640625" style="11" customWidth="1"/>
    <col min="12289" max="12289" width="13.5" style="11" customWidth="1"/>
    <col min="12290" max="12290" width="10.5" style="11" customWidth="1"/>
    <col min="12291" max="12291" width="15.1640625" style="11" customWidth="1"/>
    <col min="12292" max="12292" width="3.6640625" style="11" customWidth="1"/>
    <col min="12293" max="12293" width="13.1640625" style="11" customWidth="1"/>
    <col min="12294" max="12294" width="3.83203125" style="11" customWidth="1"/>
    <col min="12295" max="12295" width="15" style="11" customWidth="1"/>
    <col min="12296" max="12296" width="3.6640625" style="11" customWidth="1"/>
    <col min="12297" max="12298" width="13" style="11" customWidth="1"/>
    <col min="12299" max="12299" width="0" style="11" hidden="1" customWidth="1"/>
    <col min="12300" max="12301" width="9.33203125" style="11"/>
    <col min="12302" max="12302" width="15.83203125" style="11" customWidth="1"/>
    <col min="12303" max="12541" width="9.33203125" style="11"/>
    <col min="12542" max="12542" width="5" style="11" customWidth="1"/>
    <col min="12543" max="12543" width="9.33203125" style="11"/>
    <col min="12544" max="12544" width="21.6640625" style="11" customWidth="1"/>
    <col min="12545" max="12545" width="13.5" style="11" customWidth="1"/>
    <col min="12546" max="12546" width="10.5" style="11" customWidth="1"/>
    <col min="12547" max="12547" width="15.1640625" style="11" customWidth="1"/>
    <col min="12548" max="12548" width="3.6640625" style="11" customWidth="1"/>
    <col min="12549" max="12549" width="13.1640625" style="11" customWidth="1"/>
    <col min="12550" max="12550" width="3.83203125" style="11" customWidth="1"/>
    <col min="12551" max="12551" width="15" style="11" customWidth="1"/>
    <col min="12552" max="12552" width="3.6640625" style="11" customWidth="1"/>
    <col min="12553" max="12554" width="13" style="11" customWidth="1"/>
    <col min="12555" max="12555" width="0" style="11" hidden="1" customWidth="1"/>
    <col min="12556" max="12557" width="9.33203125" style="11"/>
    <col min="12558" max="12558" width="15.83203125" style="11" customWidth="1"/>
    <col min="12559" max="12797" width="9.33203125" style="11"/>
    <col min="12798" max="12798" width="5" style="11" customWidth="1"/>
    <col min="12799" max="12799" width="9.33203125" style="11"/>
    <col min="12800" max="12800" width="21.6640625" style="11" customWidth="1"/>
    <col min="12801" max="12801" width="13.5" style="11" customWidth="1"/>
    <col min="12802" max="12802" width="10.5" style="11" customWidth="1"/>
    <col min="12803" max="12803" width="15.1640625" style="11" customWidth="1"/>
    <col min="12804" max="12804" width="3.6640625" style="11" customWidth="1"/>
    <col min="12805" max="12805" width="13.1640625" style="11" customWidth="1"/>
    <col min="12806" max="12806" width="3.83203125" style="11" customWidth="1"/>
    <col min="12807" max="12807" width="15" style="11" customWidth="1"/>
    <col min="12808" max="12808" width="3.6640625" style="11" customWidth="1"/>
    <col min="12809" max="12810" width="13" style="11" customWidth="1"/>
    <col min="12811" max="12811" width="0" style="11" hidden="1" customWidth="1"/>
    <col min="12812" max="12813" width="9.33203125" style="11"/>
    <col min="12814" max="12814" width="15.83203125" style="11" customWidth="1"/>
    <col min="12815" max="13053" width="9.33203125" style="11"/>
    <col min="13054" max="13054" width="5" style="11" customWidth="1"/>
    <col min="13055" max="13055" width="9.33203125" style="11"/>
    <col min="13056" max="13056" width="21.6640625" style="11" customWidth="1"/>
    <col min="13057" max="13057" width="13.5" style="11" customWidth="1"/>
    <col min="13058" max="13058" width="10.5" style="11" customWidth="1"/>
    <col min="13059" max="13059" width="15.1640625" style="11" customWidth="1"/>
    <col min="13060" max="13060" width="3.6640625" style="11" customWidth="1"/>
    <col min="13061" max="13061" width="13.1640625" style="11" customWidth="1"/>
    <col min="13062" max="13062" width="3.83203125" style="11" customWidth="1"/>
    <col min="13063" max="13063" width="15" style="11" customWidth="1"/>
    <col min="13064" max="13064" width="3.6640625" style="11" customWidth="1"/>
    <col min="13065" max="13066" width="13" style="11" customWidth="1"/>
    <col min="13067" max="13067" width="0" style="11" hidden="1" customWidth="1"/>
    <col min="13068" max="13069" width="9.33203125" style="11"/>
    <col min="13070" max="13070" width="15.83203125" style="11" customWidth="1"/>
    <col min="13071" max="13309" width="9.33203125" style="11"/>
    <col min="13310" max="13310" width="5" style="11" customWidth="1"/>
    <col min="13311" max="13311" width="9.33203125" style="11"/>
    <col min="13312" max="13312" width="21.6640625" style="11" customWidth="1"/>
    <col min="13313" max="13313" width="13.5" style="11" customWidth="1"/>
    <col min="13314" max="13314" width="10.5" style="11" customWidth="1"/>
    <col min="13315" max="13315" width="15.1640625" style="11" customWidth="1"/>
    <col min="13316" max="13316" width="3.6640625" style="11" customWidth="1"/>
    <col min="13317" max="13317" width="13.1640625" style="11" customWidth="1"/>
    <col min="13318" max="13318" width="3.83203125" style="11" customWidth="1"/>
    <col min="13319" max="13319" width="15" style="11" customWidth="1"/>
    <col min="13320" max="13320" width="3.6640625" style="11" customWidth="1"/>
    <col min="13321" max="13322" width="13" style="11" customWidth="1"/>
    <col min="13323" max="13323" width="0" style="11" hidden="1" customWidth="1"/>
    <col min="13324" max="13325" width="9.33203125" style="11"/>
    <col min="13326" max="13326" width="15.83203125" style="11" customWidth="1"/>
    <col min="13327" max="13565" width="9.33203125" style="11"/>
    <col min="13566" max="13566" width="5" style="11" customWidth="1"/>
    <col min="13567" max="13567" width="9.33203125" style="11"/>
    <col min="13568" max="13568" width="21.6640625" style="11" customWidth="1"/>
    <col min="13569" max="13569" width="13.5" style="11" customWidth="1"/>
    <col min="13570" max="13570" width="10.5" style="11" customWidth="1"/>
    <col min="13571" max="13571" width="15.1640625" style="11" customWidth="1"/>
    <col min="13572" max="13572" width="3.6640625" style="11" customWidth="1"/>
    <col min="13573" max="13573" width="13.1640625" style="11" customWidth="1"/>
    <col min="13574" max="13574" width="3.83203125" style="11" customWidth="1"/>
    <col min="13575" max="13575" width="15" style="11" customWidth="1"/>
    <col min="13576" max="13576" width="3.6640625" style="11" customWidth="1"/>
    <col min="13577" max="13578" width="13" style="11" customWidth="1"/>
    <col min="13579" max="13579" width="0" style="11" hidden="1" customWidth="1"/>
    <col min="13580" max="13581" width="9.33203125" style="11"/>
    <col min="13582" max="13582" width="15.83203125" style="11" customWidth="1"/>
    <col min="13583" max="13821" width="9.33203125" style="11"/>
    <col min="13822" max="13822" width="5" style="11" customWidth="1"/>
    <col min="13823" max="13823" width="9.33203125" style="11"/>
    <col min="13824" max="13824" width="21.6640625" style="11" customWidth="1"/>
    <col min="13825" max="13825" width="13.5" style="11" customWidth="1"/>
    <col min="13826" max="13826" width="10.5" style="11" customWidth="1"/>
    <col min="13827" max="13827" width="15.1640625" style="11" customWidth="1"/>
    <col min="13828" max="13828" width="3.6640625" style="11" customWidth="1"/>
    <col min="13829" max="13829" width="13.1640625" style="11" customWidth="1"/>
    <col min="13830" max="13830" width="3.83203125" style="11" customWidth="1"/>
    <col min="13831" max="13831" width="15" style="11" customWidth="1"/>
    <col min="13832" max="13832" width="3.6640625" style="11" customWidth="1"/>
    <col min="13833" max="13834" width="13" style="11" customWidth="1"/>
    <col min="13835" max="13835" width="0" style="11" hidden="1" customWidth="1"/>
    <col min="13836" max="13837" width="9.33203125" style="11"/>
    <col min="13838" max="13838" width="15.83203125" style="11" customWidth="1"/>
    <col min="13839" max="14077" width="9.33203125" style="11"/>
    <col min="14078" max="14078" width="5" style="11" customWidth="1"/>
    <col min="14079" max="14079" width="9.33203125" style="11"/>
    <col min="14080" max="14080" width="21.6640625" style="11" customWidth="1"/>
    <col min="14081" max="14081" width="13.5" style="11" customWidth="1"/>
    <col min="14082" max="14082" width="10.5" style="11" customWidth="1"/>
    <col min="14083" max="14083" width="15.1640625" style="11" customWidth="1"/>
    <col min="14084" max="14084" width="3.6640625" style="11" customWidth="1"/>
    <col min="14085" max="14085" width="13.1640625" style="11" customWidth="1"/>
    <col min="14086" max="14086" width="3.83203125" style="11" customWidth="1"/>
    <col min="14087" max="14087" width="15" style="11" customWidth="1"/>
    <col min="14088" max="14088" width="3.6640625" style="11" customWidth="1"/>
    <col min="14089" max="14090" width="13" style="11" customWidth="1"/>
    <col min="14091" max="14091" width="0" style="11" hidden="1" customWidth="1"/>
    <col min="14092" max="14093" width="9.33203125" style="11"/>
    <col min="14094" max="14094" width="15.83203125" style="11" customWidth="1"/>
    <col min="14095" max="14333" width="9.33203125" style="11"/>
    <col min="14334" max="14334" width="5" style="11" customWidth="1"/>
    <col min="14335" max="14335" width="9.33203125" style="11"/>
    <col min="14336" max="14336" width="21.6640625" style="11" customWidth="1"/>
    <col min="14337" max="14337" width="13.5" style="11" customWidth="1"/>
    <col min="14338" max="14338" width="10.5" style="11" customWidth="1"/>
    <col min="14339" max="14339" width="15.1640625" style="11" customWidth="1"/>
    <col min="14340" max="14340" width="3.6640625" style="11" customWidth="1"/>
    <col min="14341" max="14341" width="13.1640625" style="11" customWidth="1"/>
    <col min="14342" max="14342" width="3.83203125" style="11" customWidth="1"/>
    <col min="14343" max="14343" width="15" style="11" customWidth="1"/>
    <col min="14344" max="14344" width="3.6640625" style="11" customWidth="1"/>
    <col min="14345" max="14346" width="13" style="11" customWidth="1"/>
    <col min="14347" max="14347" width="0" style="11" hidden="1" customWidth="1"/>
    <col min="14348" max="14349" width="9.33203125" style="11"/>
    <col min="14350" max="14350" width="15.83203125" style="11" customWidth="1"/>
    <col min="14351" max="14589" width="9.33203125" style="11"/>
    <col min="14590" max="14590" width="5" style="11" customWidth="1"/>
    <col min="14591" max="14591" width="9.33203125" style="11"/>
    <col min="14592" max="14592" width="21.6640625" style="11" customWidth="1"/>
    <col min="14593" max="14593" width="13.5" style="11" customWidth="1"/>
    <col min="14594" max="14594" width="10.5" style="11" customWidth="1"/>
    <col min="14595" max="14595" width="15.1640625" style="11" customWidth="1"/>
    <col min="14596" max="14596" width="3.6640625" style="11" customWidth="1"/>
    <col min="14597" max="14597" width="13.1640625" style="11" customWidth="1"/>
    <col min="14598" max="14598" width="3.83203125" style="11" customWidth="1"/>
    <col min="14599" max="14599" width="15" style="11" customWidth="1"/>
    <col min="14600" max="14600" width="3.6640625" style="11" customWidth="1"/>
    <col min="14601" max="14602" width="13" style="11" customWidth="1"/>
    <col min="14603" max="14603" width="0" style="11" hidden="1" customWidth="1"/>
    <col min="14604" max="14605" width="9.33203125" style="11"/>
    <col min="14606" max="14606" width="15.83203125" style="11" customWidth="1"/>
    <col min="14607" max="14845" width="9.33203125" style="11"/>
    <col min="14846" max="14846" width="5" style="11" customWidth="1"/>
    <col min="14847" max="14847" width="9.33203125" style="11"/>
    <col min="14848" max="14848" width="21.6640625" style="11" customWidth="1"/>
    <col min="14849" max="14849" width="13.5" style="11" customWidth="1"/>
    <col min="14850" max="14850" width="10.5" style="11" customWidth="1"/>
    <col min="14851" max="14851" width="15.1640625" style="11" customWidth="1"/>
    <col min="14852" max="14852" width="3.6640625" style="11" customWidth="1"/>
    <col min="14853" max="14853" width="13.1640625" style="11" customWidth="1"/>
    <col min="14854" max="14854" width="3.83203125" style="11" customWidth="1"/>
    <col min="14855" max="14855" width="15" style="11" customWidth="1"/>
    <col min="14856" max="14856" width="3.6640625" style="11" customWidth="1"/>
    <col min="14857" max="14858" width="13" style="11" customWidth="1"/>
    <col min="14859" max="14859" width="0" style="11" hidden="1" customWidth="1"/>
    <col min="14860" max="14861" width="9.33203125" style="11"/>
    <col min="14862" max="14862" width="15.83203125" style="11" customWidth="1"/>
    <col min="14863" max="15101" width="9.33203125" style="11"/>
    <col min="15102" max="15102" width="5" style="11" customWidth="1"/>
    <col min="15103" max="15103" width="9.33203125" style="11"/>
    <col min="15104" max="15104" width="21.6640625" style="11" customWidth="1"/>
    <col min="15105" max="15105" width="13.5" style="11" customWidth="1"/>
    <col min="15106" max="15106" width="10.5" style="11" customWidth="1"/>
    <col min="15107" max="15107" width="15.1640625" style="11" customWidth="1"/>
    <col min="15108" max="15108" width="3.6640625" style="11" customWidth="1"/>
    <col min="15109" max="15109" width="13.1640625" style="11" customWidth="1"/>
    <col min="15110" max="15110" width="3.83203125" style="11" customWidth="1"/>
    <col min="15111" max="15111" width="15" style="11" customWidth="1"/>
    <col min="15112" max="15112" width="3.6640625" style="11" customWidth="1"/>
    <col min="15113" max="15114" width="13" style="11" customWidth="1"/>
    <col min="15115" max="15115" width="0" style="11" hidden="1" customWidth="1"/>
    <col min="15116" max="15117" width="9.33203125" style="11"/>
    <col min="15118" max="15118" width="15.83203125" style="11" customWidth="1"/>
    <col min="15119" max="15357" width="9.33203125" style="11"/>
    <col min="15358" max="15358" width="5" style="11" customWidth="1"/>
    <col min="15359" max="15359" width="9.33203125" style="11"/>
    <col min="15360" max="15360" width="21.6640625" style="11" customWidth="1"/>
    <col min="15361" max="15361" width="13.5" style="11" customWidth="1"/>
    <col min="15362" max="15362" width="10.5" style="11" customWidth="1"/>
    <col min="15363" max="15363" width="15.1640625" style="11" customWidth="1"/>
    <col min="15364" max="15364" width="3.6640625" style="11" customWidth="1"/>
    <col min="15365" max="15365" width="13.1640625" style="11" customWidth="1"/>
    <col min="15366" max="15366" width="3.83203125" style="11" customWidth="1"/>
    <col min="15367" max="15367" width="15" style="11" customWidth="1"/>
    <col min="15368" max="15368" width="3.6640625" style="11" customWidth="1"/>
    <col min="15369" max="15370" width="13" style="11" customWidth="1"/>
    <col min="15371" max="15371" width="0" style="11" hidden="1" customWidth="1"/>
    <col min="15372" max="15373" width="9.33203125" style="11"/>
    <col min="15374" max="15374" width="15.83203125" style="11" customWidth="1"/>
    <col min="15375" max="15613" width="9.33203125" style="11"/>
    <col min="15614" max="15614" width="5" style="11" customWidth="1"/>
    <col min="15615" max="15615" width="9.33203125" style="11"/>
    <col min="15616" max="15616" width="21.6640625" style="11" customWidth="1"/>
    <col min="15617" max="15617" width="13.5" style="11" customWidth="1"/>
    <col min="15618" max="15618" width="10.5" style="11" customWidth="1"/>
    <col min="15619" max="15619" width="15.1640625" style="11" customWidth="1"/>
    <col min="15620" max="15620" width="3.6640625" style="11" customWidth="1"/>
    <col min="15621" max="15621" width="13.1640625" style="11" customWidth="1"/>
    <col min="15622" max="15622" width="3.83203125" style="11" customWidth="1"/>
    <col min="15623" max="15623" width="15" style="11" customWidth="1"/>
    <col min="15624" max="15624" width="3.6640625" style="11" customWidth="1"/>
    <col min="15625" max="15626" width="13" style="11" customWidth="1"/>
    <col min="15627" max="15627" width="0" style="11" hidden="1" customWidth="1"/>
    <col min="15628" max="15629" width="9.33203125" style="11"/>
    <col min="15630" max="15630" width="15.83203125" style="11" customWidth="1"/>
    <col min="15631" max="15869" width="9.33203125" style="11"/>
    <col min="15870" max="15870" width="5" style="11" customWidth="1"/>
    <col min="15871" max="15871" width="9.33203125" style="11"/>
    <col min="15872" max="15872" width="21.6640625" style="11" customWidth="1"/>
    <col min="15873" max="15873" width="13.5" style="11" customWidth="1"/>
    <col min="15874" max="15874" width="10.5" style="11" customWidth="1"/>
    <col min="15875" max="15875" width="15.1640625" style="11" customWidth="1"/>
    <col min="15876" max="15876" width="3.6640625" style="11" customWidth="1"/>
    <col min="15877" max="15877" width="13.1640625" style="11" customWidth="1"/>
    <col min="15878" max="15878" width="3.83203125" style="11" customWidth="1"/>
    <col min="15879" max="15879" width="15" style="11" customWidth="1"/>
    <col min="15880" max="15880" width="3.6640625" style="11" customWidth="1"/>
    <col min="15881" max="15882" width="13" style="11" customWidth="1"/>
    <col min="15883" max="15883" width="0" style="11" hidden="1" customWidth="1"/>
    <col min="15884" max="15885" width="9.33203125" style="11"/>
    <col min="15886" max="15886" width="15.83203125" style="11" customWidth="1"/>
    <col min="15887" max="16125" width="9.33203125" style="11"/>
    <col min="16126" max="16126" width="5" style="11" customWidth="1"/>
    <col min="16127" max="16127" width="9.33203125" style="11"/>
    <col min="16128" max="16128" width="21.6640625" style="11" customWidth="1"/>
    <col min="16129" max="16129" width="13.5" style="11" customWidth="1"/>
    <col min="16130" max="16130" width="10.5" style="11" customWidth="1"/>
    <col min="16131" max="16131" width="15.1640625" style="11" customWidth="1"/>
    <col min="16132" max="16132" width="3.6640625" style="11" customWidth="1"/>
    <col min="16133" max="16133" width="13.1640625" style="11" customWidth="1"/>
    <col min="16134" max="16134" width="3.83203125" style="11" customWidth="1"/>
    <col min="16135" max="16135" width="15" style="11" customWidth="1"/>
    <col min="16136" max="16136" width="3.6640625" style="11" customWidth="1"/>
    <col min="16137" max="16138" width="13" style="11" customWidth="1"/>
    <col min="16139" max="16139" width="0" style="11" hidden="1" customWidth="1"/>
    <col min="16140" max="16141" width="9.33203125" style="11"/>
    <col min="16142" max="16142" width="15.83203125" style="11" customWidth="1"/>
    <col min="16143" max="16384" width="9.33203125" style="11"/>
  </cols>
  <sheetData>
    <row r="1" spans="1:12" x14ac:dyDescent="0.25">
      <c r="B1" s="73"/>
      <c r="H1" s="74"/>
      <c r="J1" s="11" t="str">
        <f>+'Unprotected Cost Allocation'!K2</f>
        <v>W24-09-04</v>
      </c>
    </row>
    <row r="2" spans="1:12" x14ac:dyDescent="0.25">
      <c r="A2" s="73"/>
      <c r="H2" s="74"/>
      <c r="J2" s="74" t="s">
        <v>10</v>
      </c>
    </row>
    <row r="3" spans="1:12" x14ac:dyDescent="0.25">
      <c r="A3" s="73"/>
      <c r="H3" s="74"/>
      <c r="J3" s="74" t="s">
        <v>26</v>
      </c>
    </row>
    <row r="4" spans="1:12" x14ac:dyDescent="0.25">
      <c r="C4" s="75" t="s">
        <v>27</v>
      </c>
      <c r="D4" s="76"/>
      <c r="E4" s="76"/>
      <c r="F4" s="76"/>
      <c r="G4" s="76"/>
      <c r="H4" s="76"/>
      <c r="I4" s="76"/>
      <c r="J4" s="77"/>
      <c r="K4" s="76"/>
    </row>
    <row r="5" spans="1:12" x14ac:dyDescent="0.25">
      <c r="C5" s="78" t="s">
        <v>28</v>
      </c>
      <c r="D5" s="76"/>
      <c r="E5" s="76"/>
      <c r="F5" s="76"/>
      <c r="G5" s="76"/>
      <c r="H5" s="76"/>
      <c r="I5" s="76"/>
      <c r="J5" s="77"/>
      <c r="K5" s="76"/>
    </row>
    <row r="6" spans="1:12" x14ac:dyDescent="0.25">
      <c r="C6" s="299" t="s">
        <v>29</v>
      </c>
      <c r="D6" s="300"/>
      <c r="E6" s="300"/>
      <c r="F6" s="300"/>
      <c r="G6" s="300"/>
      <c r="H6" s="300"/>
      <c r="I6" s="300"/>
      <c r="J6" s="300"/>
      <c r="K6" s="300"/>
    </row>
    <row r="7" spans="1:12" x14ac:dyDescent="0.25">
      <c r="C7" s="75" t="s">
        <v>30</v>
      </c>
      <c r="D7" s="76"/>
      <c r="E7" s="76"/>
      <c r="F7" s="76"/>
      <c r="G7" s="76"/>
      <c r="H7" s="76"/>
      <c r="I7" s="76"/>
      <c r="J7" s="77"/>
      <c r="K7" s="76"/>
    </row>
    <row r="9" spans="1:12" x14ac:dyDescent="0.25">
      <c r="A9" s="21"/>
      <c r="B9" s="22"/>
      <c r="C9" s="20"/>
      <c r="D9" s="20"/>
      <c r="E9" s="79"/>
      <c r="F9" s="79"/>
      <c r="G9" s="21"/>
      <c r="H9" s="80"/>
      <c r="I9" s="20"/>
      <c r="J9" s="81" t="s">
        <v>31</v>
      </c>
      <c r="K9" s="20"/>
      <c r="L9" s="21"/>
    </row>
    <row r="10" spans="1:12" x14ac:dyDescent="0.25">
      <c r="A10" s="82" t="s">
        <v>32</v>
      </c>
      <c r="C10" s="83"/>
      <c r="D10" s="84" t="s">
        <v>33</v>
      </c>
      <c r="E10" s="84" t="s">
        <v>34</v>
      </c>
      <c r="F10" s="84" t="s">
        <v>35</v>
      </c>
      <c r="G10" s="45"/>
      <c r="H10" s="85" t="s">
        <v>36</v>
      </c>
      <c r="I10" s="24"/>
      <c r="J10" s="86" t="s">
        <v>37</v>
      </c>
      <c r="K10" s="87" t="s">
        <v>38</v>
      </c>
      <c r="L10" s="85" t="s">
        <v>39</v>
      </c>
    </row>
    <row r="11" spans="1:12" x14ac:dyDescent="0.25">
      <c r="A11" s="82" t="s">
        <v>40</v>
      </c>
      <c r="B11" s="76" t="s">
        <v>3</v>
      </c>
      <c r="C11" s="87"/>
      <c r="D11" s="84" t="s">
        <v>41</v>
      </c>
      <c r="E11" s="84" t="s">
        <v>42</v>
      </c>
      <c r="F11" s="84" t="s">
        <v>43</v>
      </c>
      <c r="G11" s="45"/>
      <c r="H11" s="85" t="s">
        <v>44</v>
      </c>
      <c r="I11" s="24"/>
      <c r="J11" s="86" t="s">
        <v>45</v>
      </c>
      <c r="K11" s="87" t="s">
        <v>45</v>
      </c>
      <c r="L11" s="85" t="s">
        <v>45</v>
      </c>
    </row>
    <row r="12" spans="1:12" x14ac:dyDescent="0.25">
      <c r="A12" s="45"/>
      <c r="B12" s="76" t="s">
        <v>46</v>
      </c>
      <c r="C12" s="87"/>
      <c r="D12" s="84" t="s">
        <v>47</v>
      </c>
      <c r="E12" s="84" t="s">
        <v>48</v>
      </c>
      <c r="F12" s="84" t="s">
        <v>49</v>
      </c>
      <c r="G12" s="45"/>
      <c r="H12" s="85" t="s">
        <v>50</v>
      </c>
      <c r="I12" s="24"/>
      <c r="J12" s="88" t="s">
        <v>51</v>
      </c>
      <c r="K12" s="84" t="s">
        <v>52</v>
      </c>
      <c r="L12" s="89" t="s">
        <v>53</v>
      </c>
    </row>
    <row r="13" spans="1:12" x14ac:dyDescent="0.25">
      <c r="A13" s="38"/>
      <c r="B13" s="90" t="s">
        <v>54</v>
      </c>
      <c r="C13" s="17"/>
      <c r="D13" s="17"/>
      <c r="E13" s="17"/>
      <c r="F13" s="39"/>
      <c r="G13" s="91"/>
      <c r="H13" s="92"/>
      <c r="I13" s="17"/>
      <c r="J13" s="93"/>
      <c r="K13" s="91"/>
      <c r="L13" s="91"/>
    </row>
    <row r="14" spans="1:12" x14ac:dyDescent="0.25">
      <c r="A14" s="45"/>
      <c r="B14" s="74"/>
      <c r="C14" s="24"/>
      <c r="D14" s="24"/>
      <c r="E14" s="24"/>
      <c r="F14" s="24"/>
      <c r="G14" s="45"/>
      <c r="H14" s="45"/>
      <c r="I14" s="24"/>
      <c r="J14" s="94"/>
      <c r="K14" s="24"/>
      <c r="L14" s="21"/>
    </row>
    <row r="15" spans="1:12" x14ac:dyDescent="0.25">
      <c r="A15" s="45"/>
      <c r="B15" s="74"/>
      <c r="C15" s="95"/>
      <c r="D15" s="84"/>
      <c r="E15" s="96"/>
      <c r="F15" s="96"/>
      <c r="G15" s="97"/>
      <c r="H15" s="30"/>
      <c r="I15" s="24"/>
      <c r="J15" s="98"/>
      <c r="K15" s="96"/>
      <c r="L15" s="45"/>
    </row>
    <row r="16" spans="1:12" x14ac:dyDescent="0.25">
      <c r="A16" s="85">
        <v>1</v>
      </c>
      <c r="B16" s="74" t="s">
        <v>55</v>
      </c>
      <c r="C16" s="95"/>
      <c r="D16" s="84" t="s">
        <v>17</v>
      </c>
      <c r="E16" s="96">
        <f>+'Bills-Therms-Revs'!F12</f>
        <v>204189</v>
      </c>
      <c r="F16" s="96">
        <f>+'Test Period Volumes'!C35</f>
        <v>140216275.3119559</v>
      </c>
      <c r="G16" s="97"/>
      <c r="H16" s="30">
        <f>+'Bills-Therms-Revs'!I16</f>
        <v>184270124.75999999</v>
      </c>
      <c r="I16" s="24"/>
      <c r="J16" s="98">
        <f>+'Unprotected Cost Allocation'!D24</f>
        <v>1.3039327867084223E-4</v>
      </c>
      <c r="K16" s="99">
        <f>F16*J16</f>
        <v>18283.259860939401</v>
      </c>
      <c r="L16" s="100">
        <f t="shared" ref="L16:L21" si="0">+K16/H16</f>
        <v>9.921988105642286E-5</v>
      </c>
    </row>
    <row r="17" spans="1:15" x14ac:dyDescent="0.25">
      <c r="A17" s="85">
        <v>2</v>
      </c>
      <c r="B17" s="74" t="s">
        <v>56</v>
      </c>
      <c r="C17" s="24"/>
      <c r="D17" s="84" t="s">
        <v>18</v>
      </c>
      <c r="E17" s="96">
        <f>+'Bills-Therms-Revs'!F18</f>
        <v>27579</v>
      </c>
      <c r="F17" s="96">
        <f>+'Test Period Volumes'!D35</f>
        <v>103631783.38918559</v>
      </c>
      <c r="G17" s="45"/>
      <c r="H17" s="30">
        <f>+'Bills-Therms-Revs'!I18+'Bills-Therms-Revs'!I21+'Bills-Therms-Revs'!I22</f>
        <v>124333137.98999999</v>
      </c>
      <c r="I17" s="24"/>
      <c r="J17" s="98">
        <f>+'Unprotected Cost Allocation'!F24</f>
        <v>9.9498703933499817E-5</v>
      </c>
      <c r="K17" s="99">
        <f>ROUND(F17*J17,0)</f>
        <v>10311</v>
      </c>
      <c r="L17" s="100">
        <f t="shared" si="0"/>
        <v>8.293042520031389E-5</v>
      </c>
    </row>
    <row r="18" spans="1:15" x14ac:dyDescent="0.25">
      <c r="A18" s="85">
        <v>3</v>
      </c>
      <c r="B18" s="74" t="s">
        <v>57</v>
      </c>
      <c r="C18" s="95"/>
      <c r="D18" s="84" t="s">
        <v>58</v>
      </c>
      <c r="E18" s="96">
        <f>+'Bills-Therms-Revs'!F28</f>
        <v>495</v>
      </c>
      <c r="F18" s="96">
        <f>+'Test Period Volumes'!E35</f>
        <v>13457822.341199517</v>
      </c>
      <c r="G18" s="45"/>
      <c r="H18" s="30">
        <f>+'Bills-Therms-Revs'!I28+'Bills-Therms-Revs'!I30+'Bills-Therms-Revs'!I31</f>
        <v>14347313.25</v>
      </c>
      <c r="I18" s="24"/>
      <c r="J18" s="98">
        <f>+'Unprotected Cost Allocation'!H24</f>
        <v>6.3152145418979329E-5</v>
      </c>
      <c r="K18" s="99">
        <f>F18*J18</f>
        <v>849.89035351422081</v>
      </c>
      <c r="L18" s="100">
        <f t="shared" si="0"/>
        <v>5.9236899529897753E-5</v>
      </c>
    </row>
    <row r="19" spans="1:15" x14ac:dyDescent="0.25">
      <c r="A19" s="85">
        <v>4</v>
      </c>
      <c r="B19" s="74" t="s">
        <v>59</v>
      </c>
      <c r="C19" s="24"/>
      <c r="D19" s="84" t="s">
        <v>60</v>
      </c>
      <c r="E19" s="96">
        <f>+'Bills-Therms-Revs'!F19+'Bills-Therms-Revs'!F29</f>
        <v>99</v>
      </c>
      <c r="F19" s="96">
        <f>+'Test Period Volumes'!F35</f>
        <v>16601133.000301499</v>
      </c>
      <c r="G19" s="97"/>
      <c r="H19" s="30">
        <f>+'Bills-Therms-Revs'!I19+'Bills-Therms-Revs'!I23+'Bills-Therms-Revs'!I24+'Bills-Therms-Revs'!I29</f>
        <v>17512226.16</v>
      </c>
      <c r="I19" s="96"/>
      <c r="J19" s="98">
        <f>+'Unprotected Cost Allocation'!I24</f>
        <v>5.2248177864623188E-5</v>
      </c>
      <c r="K19" s="99">
        <f>F19*J19</f>
        <v>867.37894975401832</v>
      </c>
      <c r="L19" s="100">
        <f t="shared" si="0"/>
        <v>4.9529907952834383E-5</v>
      </c>
    </row>
    <row r="20" spans="1:15" x14ac:dyDescent="0.25">
      <c r="A20" s="85">
        <v>5</v>
      </c>
      <c r="B20" s="74" t="s">
        <v>61</v>
      </c>
      <c r="C20" s="24"/>
      <c r="D20" s="84" t="s">
        <v>62</v>
      </c>
      <c r="E20" s="96">
        <f>+'Bills-Therms-Revs'!F34</f>
        <v>7</v>
      </c>
      <c r="F20" s="96">
        <f>+'Test Period Volumes'!G35</f>
        <v>2353804.9573574951</v>
      </c>
      <c r="G20" s="97"/>
      <c r="H20" s="30">
        <f>+'Bills-Therms-Revs'!I34+'Bills-Therms-Revs'!I35+'Bills-Therms-Revs'!I36</f>
        <v>2109806.16</v>
      </c>
      <c r="I20" s="24"/>
      <c r="J20" s="98">
        <f>+'Unprotected Cost Allocation'!J24</f>
        <v>1.9081943220123252E-5</v>
      </c>
      <c r="K20" s="99">
        <f>F20*J20</f>
        <v>44.915172547540351</v>
      </c>
      <c r="L20" s="100">
        <f t="shared" si="0"/>
        <v>2.128876737545422E-5</v>
      </c>
    </row>
    <row r="21" spans="1:15" x14ac:dyDescent="0.25">
      <c r="A21" s="89">
        <v>6</v>
      </c>
      <c r="B21" s="101" t="s">
        <v>63</v>
      </c>
      <c r="C21" s="39"/>
      <c r="D21" s="39"/>
      <c r="E21" s="102">
        <f>SUM(E16:E20)</f>
        <v>232369</v>
      </c>
      <c r="F21" s="103">
        <f>SUM(F16:F20)</f>
        <v>276260818.99999994</v>
      </c>
      <c r="G21" s="92"/>
      <c r="H21" s="103">
        <f>SUM(H16:H20)</f>
        <v>342572608.32000005</v>
      </c>
      <c r="I21" s="102"/>
      <c r="J21" s="93"/>
      <c r="K21" s="92">
        <f>SUM(K16:K20)</f>
        <v>30356.444336755179</v>
      </c>
      <c r="L21" s="104">
        <f t="shared" si="0"/>
        <v>8.8613168710788924E-5</v>
      </c>
    </row>
    <row r="22" spans="1:15" x14ac:dyDescent="0.25">
      <c r="A22" s="105"/>
      <c r="B22" s="106" t="s">
        <v>64</v>
      </c>
      <c r="C22" s="35"/>
      <c r="D22" s="35"/>
      <c r="E22" s="107"/>
      <c r="F22" s="107"/>
      <c r="G22" s="108"/>
      <c r="H22" s="109"/>
      <c r="J22" s="110"/>
      <c r="K22" s="111"/>
      <c r="L22" s="112"/>
    </row>
    <row r="23" spans="1:15" x14ac:dyDescent="0.25">
      <c r="A23" s="113">
        <v>7</v>
      </c>
      <c r="B23" s="114" t="s">
        <v>65</v>
      </c>
      <c r="C23" s="22"/>
      <c r="D23" s="80">
        <v>663</v>
      </c>
      <c r="E23" s="115">
        <f>+'Bills-Therms-Revs'!F44</f>
        <v>192</v>
      </c>
      <c r="F23" s="116">
        <f>+'Test Period Volumes'!H35</f>
        <v>940213064</v>
      </c>
      <c r="G23" s="21"/>
      <c r="H23" s="117">
        <f>+'Bills-Therms-Revs'!I44</f>
        <v>30374009</v>
      </c>
      <c r="J23" s="118">
        <f>+'Unprotected Cost Allocation'!K24</f>
        <v>1.0903967554356144E-5</v>
      </c>
      <c r="K23" s="119">
        <f>+F23*J23</f>
        <v>10252.052744037777</v>
      </c>
      <c r="L23" s="104">
        <f>+K23/H23</f>
        <v>3.3752715171835821E-4</v>
      </c>
    </row>
    <row r="24" spans="1:15" x14ac:dyDescent="0.25">
      <c r="A24" s="43">
        <v>8</v>
      </c>
      <c r="B24" s="120" t="s">
        <v>66</v>
      </c>
      <c r="C24" s="121"/>
      <c r="D24" s="122"/>
      <c r="E24" s="123">
        <f>SUM(E23:E23)</f>
        <v>192</v>
      </c>
      <c r="F24" s="124">
        <f>SUM(F23:F23)</f>
        <v>940213064</v>
      </c>
      <c r="G24" s="125"/>
      <c r="H24" s="126">
        <f>SUM(H23:H23)</f>
        <v>30374009</v>
      </c>
      <c r="I24" s="1"/>
      <c r="J24" s="127"/>
      <c r="K24" s="128">
        <f>+K23</f>
        <v>10252.052744037777</v>
      </c>
      <c r="L24" s="104"/>
    </row>
    <row r="25" spans="1:15" x14ac:dyDescent="0.25">
      <c r="A25" s="113"/>
      <c r="B25" s="129"/>
      <c r="C25" s="1"/>
      <c r="D25" s="1"/>
      <c r="E25" s="130"/>
      <c r="F25" s="131"/>
      <c r="G25" s="125"/>
      <c r="H25" s="130"/>
      <c r="I25" s="1"/>
      <c r="J25" s="132"/>
      <c r="K25" s="133"/>
      <c r="L25" s="112"/>
    </row>
    <row r="26" spans="1:15" x14ac:dyDescent="0.25">
      <c r="A26" s="134">
        <v>9</v>
      </c>
      <c r="B26" s="120" t="s">
        <v>67</v>
      </c>
      <c r="C26" s="121"/>
      <c r="D26" s="121"/>
      <c r="E26" s="135">
        <f>+E24+E21</f>
        <v>232561</v>
      </c>
      <c r="F26" s="136">
        <f>+F24+F21</f>
        <v>1216473883</v>
      </c>
      <c r="G26" s="135"/>
      <c r="H26" s="137">
        <f>+H24+H21</f>
        <v>372946617.32000005</v>
      </c>
      <c r="I26" s="138"/>
      <c r="J26" s="127"/>
      <c r="K26" s="139">
        <f>+K24+K21</f>
        <v>40608.497080792957</v>
      </c>
      <c r="L26" s="104">
        <f>+K26/H26</f>
        <v>1.0888554874852123E-4</v>
      </c>
    </row>
    <row r="28" spans="1:15" x14ac:dyDescent="0.25">
      <c r="N28" s="141"/>
      <c r="O28" s="142"/>
    </row>
  </sheetData>
  <mergeCells count="1">
    <mergeCell ref="C6:K6"/>
  </mergeCells>
  <printOptions horizontalCentered="1"/>
  <pageMargins left="0.5" right="0.5" top="1" bottom="1" header="0.5" footer="0.5"/>
  <pageSetup scale="67" orientation="portrait" r:id="rId1"/>
  <headerFooter scaleWithDoc="0" alignWithMargins="0">
    <oddFooter>&amp;LTab Name: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30AF9-2625-4302-B0F5-A814DD37FB6B}">
  <dimension ref="A1:N42"/>
  <sheetViews>
    <sheetView tabSelected="1" view="pageBreakPreview" topLeftCell="A8" zoomScaleNormal="100" zoomScaleSheetLayoutView="100" workbookViewId="0">
      <selection activeCell="A12" sqref="A12:G12 J39"/>
    </sheetView>
  </sheetViews>
  <sheetFormatPr defaultColWidth="12" defaultRowHeight="15.75" x14ac:dyDescent="0.25"/>
  <cols>
    <col min="1" max="1" width="7" style="143" customWidth="1"/>
    <col min="2" max="2" width="2.33203125" style="143" customWidth="1"/>
    <col min="3" max="3" width="40.33203125" style="143" bestFit="1" customWidth="1"/>
    <col min="4" max="4" width="13.83203125" style="143" bestFit="1" customWidth="1"/>
    <col min="5" max="5" width="16.83203125" style="143" bestFit="1" customWidth="1"/>
    <col min="6" max="6" width="18" style="143" bestFit="1" customWidth="1"/>
    <col min="7" max="7" width="17.33203125" style="143" bestFit="1" customWidth="1"/>
    <col min="8" max="8" width="17.6640625" style="143" bestFit="1" customWidth="1"/>
    <col min="9" max="9" width="17.1640625" style="143" customWidth="1"/>
    <col min="10" max="10" width="15.6640625" style="143" bestFit="1" customWidth="1"/>
    <col min="11" max="11" width="21.5" style="143" bestFit="1" customWidth="1"/>
    <col min="12" max="12" width="17.1640625" style="143" customWidth="1"/>
    <col min="13" max="13" width="4.1640625" style="143" customWidth="1"/>
    <col min="14" max="255" width="12" style="143"/>
    <col min="256" max="256" width="7" style="143" customWidth="1"/>
    <col min="257" max="257" width="2.33203125" style="143" customWidth="1"/>
    <col min="258" max="259" width="12" style="143"/>
    <col min="260" max="260" width="6.5" style="143" customWidth="1"/>
    <col min="261" max="261" width="5.1640625" style="143" customWidth="1"/>
    <col min="262" max="262" width="12" style="143"/>
    <col min="263" max="263" width="5.1640625" style="143" customWidth="1"/>
    <col min="264" max="264" width="17.1640625" style="143" customWidth="1"/>
    <col min="265" max="265" width="4.5" style="143" customWidth="1"/>
    <col min="266" max="266" width="16.1640625" style="143" customWidth="1"/>
    <col min="267" max="267" width="4.83203125" style="143" customWidth="1"/>
    <col min="268" max="268" width="17.1640625" style="143" customWidth="1"/>
    <col min="269" max="269" width="4.1640625" style="143" customWidth="1"/>
    <col min="270" max="511" width="12" style="143"/>
    <col min="512" max="512" width="7" style="143" customWidth="1"/>
    <col min="513" max="513" width="2.33203125" style="143" customWidth="1"/>
    <col min="514" max="515" width="12" style="143"/>
    <col min="516" max="516" width="6.5" style="143" customWidth="1"/>
    <col min="517" max="517" width="5.1640625" style="143" customWidth="1"/>
    <col min="518" max="518" width="12" style="143"/>
    <col min="519" max="519" width="5.1640625" style="143" customWidth="1"/>
    <col min="520" max="520" width="17.1640625" style="143" customWidth="1"/>
    <col min="521" max="521" width="4.5" style="143" customWidth="1"/>
    <col min="522" max="522" width="16.1640625" style="143" customWidth="1"/>
    <col min="523" max="523" width="4.83203125" style="143" customWidth="1"/>
    <col min="524" max="524" width="17.1640625" style="143" customWidth="1"/>
    <col min="525" max="525" width="4.1640625" style="143" customWidth="1"/>
    <col min="526" max="767" width="12" style="143"/>
    <col min="768" max="768" width="7" style="143" customWidth="1"/>
    <col min="769" max="769" width="2.33203125" style="143" customWidth="1"/>
    <col min="770" max="771" width="12" style="143"/>
    <col min="772" max="772" width="6.5" style="143" customWidth="1"/>
    <col min="773" max="773" width="5.1640625" style="143" customWidth="1"/>
    <col min="774" max="774" width="12" style="143"/>
    <col min="775" max="775" width="5.1640625" style="143" customWidth="1"/>
    <col min="776" max="776" width="17.1640625" style="143" customWidth="1"/>
    <col min="777" max="777" width="4.5" style="143" customWidth="1"/>
    <col min="778" max="778" width="16.1640625" style="143" customWidth="1"/>
    <col min="779" max="779" width="4.83203125" style="143" customWidth="1"/>
    <col min="780" max="780" width="17.1640625" style="143" customWidth="1"/>
    <col min="781" max="781" width="4.1640625" style="143" customWidth="1"/>
    <col min="782" max="1023" width="12" style="143"/>
    <col min="1024" max="1024" width="7" style="143" customWidth="1"/>
    <col min="1025" max="1025" width="2.33203125" style="143" customWidth="1"/>
    <col min="1026" max="1027" width="12" style="143"/>
    <col min="1028" max="1028" width="6.5" style="143" customWidth="1"/>
    <col min="1029" max="1029" width="5.1640625" style="143" customWidth="1"/>
    <col min="1030" max="1030" width="12" style="143"/>
    <col min="1031" max="1031" width="5.1640625" style="143" customWidth="1"/>
    <col min="1032" max="1032" width="17.1640625" style="143" customWidth="1"/>
    <col min="1033" max="1033" width="4.5" style="143" customWidth="1"/>
    <col min="1034" max="1034" width="16.1640625" style="143" customWidth="1"/>
    <col min="1035" max="1035" width="4.83203125" style="143" customWidth="1"/>
    <col min="1036" max="1036" width="17.1640625" style="143" customWidth="1"/>
    <col min="1037" max="1037" width="4.1640625" style="143" customWidth="1"/>
    <col min="1038" max="1279" width="12" style="143"/>
    <col min="1280" max="1280" width="7" style="143" customWidth="1"/>
    <col min="1281" max="1281" width="2.33203125" style="143" customWidth="1"/>
    <col min="1282" max="1283" width="12" style="143"/>
    <col min="1284" max="1284" width="6.5" style="143" customWidth="1"/>
    <col min="1285" max="1285" width="5.1640625" style="143" customWidth="1"/>
    <col min="1286" max="1286" width="12" style="143"/>
    <col min="1287" max="1287" width="5.1640625" style="143" customWidth="1"/>
    <col min="1288" max="1288" width="17.1640625" style="143" customWidth="1"/>
    <col min="1289" max="1289" width="4.5" style="143" customWidth="1"/>
    <col min="1290" max="1290" width="16.1640625" style="143" customWidth="1"/>
    <col min="1291" max="1291" width="4.83203125" style="143" customWidth="1"/>
    <col min="1292" max="1292" width="17.1640625" style="143" customWidth="1"/>
    <col min="1293" max="1293" width="4.1640625" style="143" customWidth="1"/>
    <col min="1294" max="1535" width="12" style="143"/>
    <col min="1536" max="1536" width="7" style="143" customWidth="1"/>
    <col min="1537" max="1537" width="2.33203125" style="143" customWidth="1"/>
    <col min="1538" max="1539" width="12" style="143"/>
    <col min="1540" max="1540" width="6.5" style="143" customWidth="1"/>
    <col min="1541" max="1541" width="5.1640625" style="143" customWidth="1"/>
    <col min="1542" max="1542" width="12" style="143"/>
    <col min="1543" max="1543" width="5.1640625" style="143" customWidth="1"/>
    <col min="1544" max="1544" width="17.1640625" style="143" customWidth="1"/>
    <col min="1545" max="1545" width="4.5" style="143" customWidth="1"/>
    <col min="1546" max="1546" width="16.1640625" style="143" customWidth="1"/>
    <col min="1547" max="1547" width="4.83203125" style="143" customWidth="1"/>
    <col min="1548" max="1548" width="17.1640625" style="143" customWidth="1"/>
    <col min="1549" max="1549" width="4.1640625" style="143" customWidth="1"/>
    <col min="1550" max="1791" width="12" style="143"/>
    <col min="1792" max="1792" width="7" style="143" customWidth="1"/>
    <col min="1793" max="1793" width="2.33203125" style="143" customWidth="1"/>
    <col min="1794" max="1795" width="12" style="143"/>
    <col min="1796" max="1796" width="6.5" style="143" customWidth="1"/>
    <col min="1797" max="1797" width="5.1640625" style="143" customWidth="1"/>
    <col min="1798" max="1798" width="12" style="143"/>
    <col min="1799" max="1799" width="5.1640625" style="143" customWidth="1"/>
    <col min="1800" max="1800" width="17.1640625" style="143" customWidth="1"/>
    <col min="1801" max="1801" width="4.5" style="143" customWidth="1"/>
    <col min="1802" max="1802" width="16.1640625" style="143" customWidth="1"/>
    <col min="1803" max="1803" width="4.83203125" style="143" customWidth="1"/>
    <col min="1804" max="1804" width="17.1640625" style="143" customWidth="1"/>
    <col min="1805" max="1805" width="4.1640625" style="143" customWidth="1"/>
    <col min="1806" max="2047" width="12" style="143"/>
    <col min="2048" max="2048" width="7" style="143" customWidth="1"/>
    <col min="2049" max="2049" width="2.33203125" style="143" customWidth="1"/>
    <col min="2050" max="2051" width="12" style="143"/>
    <col min="2052" max="2052" width="6.5" style="143" customWidth="1"/>
    <col min="2053" max="2053" width="5.1640625" style="143" customWidth="1"/>
    <col min="2054" max="2054" width="12" style="143"/>
    <col min="2055" max="2055" width="5.1640625" style="143" customWidth="1"/>
    <col min="2056" max="2056" width="17.1640625" style="143" customWidth="1"/>
    <col min="2057" max="2057" width="4.5" style="143" customWidth="1"/>
    <col min="2058" max="2058" width="16.1640625" style="143" customWidth="1"/>
    <col min="2059" max="2059" width="4.83203125" style="143" customWidth="1"/>
    <col min="2060" max="2060" width="17.1640625" style="143" customWidth="1"/>
    <col min="2061" max="2061" width="4.1640625" style="143" customWidth="1"/>
    <col min="2062" max="2303" width="12" style="143"/>
    <col min="2304" max="2304" width="7" style="143" customWidth="1"/>
    <col min="2305" max="2305" width="2.33203125" style="143" customWidth="1"/>
    <col min="2306" max="2307" width="12" style="143"/>
    <col min="2308" max="2308" width="6.5" style="143" customWidth="1"/>
    <col min="2309" max="2309" width="5.1640625" style="143" customWidth="1"/>
    <col min="2310" max="2310" width="12" style="143"/>
    <col min="2311" max="2311" width="5.1640625" style="143" customWidth="1"/>
    <col min="2312" max="2312" width="17.1640625" style="143" customWidth="1"/>
    <col min="2313" max="2313" width="4.5" style="143" customWidth="1"/>
    <col min="2314" max="2314" width="16.1640625" style="143" customWidth="1"/>
    <col min="2315" max="2315" width="4.83203125" style="143" customWidth="1"/>
    <col min="2316" max="2316" width="17.1640625" style="143" customWidth="1"/>
    <col min="2317" max="2317" width="4.1640625" style="143" customWidth="1"/>
    <col min="2318" max="2559" width="12" style="143"/>
    <col min="2560" max="2560" width="7" style="143" customWidth="1"/>
    <col min="2561" max="2561" width="2.33203125" style="143" customWidth="1"/>
    <col min="2562" max="2563" width="12" style="143"/>
    <col min="2564" max="2564" width="6.5" style="143" customWidth="1"/>
    <col min="2565" max="2565" width="5.1640625" style="143" customWidth="1"/>
    <col min="2566" max="2566" width="12" style="143"/>
    <col min="2567" max="2567" width="5.1640625" style="143" customWidth="1"/>
    <col min="2568" max="2568" width="17.1640625" style="143" customWidth="1"/>
    <col min="2569" max="2569" width="4.5" style="143" customWidth="1"/>
    <col min="2570" max="2570" width="16.1640625" style="143" customWidth="1"/>
    <col min="2571" max="2571" width="4.83203125" style="143" customWidth="1"/>
    <col min="2572" max="2572" width="17.1640625" style="143" customWidth="1"/>
    <col min="2573" max="2573" width="4.1640625" style="143" customWidth="1"/>
    <col min="2574" max="2815" width="12" style="143"/>
    <col min="2816" max="2816" width="7" style="143" customWidth="1"/>
    <col min="2817" max="2817" width="2.33203125" style="143" customWidth="1"/>
    <col min="2818" max="2819" width="12" style="143"/>
    <col min="2820" max="2820" width="6.5" style="143" customWidth="1"/>
    <col min="2821" max="2821" width="5.1640625" style="143" customWidth="1"/>
    <col min="2822" max="2822" width="12" style="143"/>
    <col min="2823" max="2823" width="5.1640625" style="143" customWidth="1"/>
    <col min="2824" max="2824" width="17.1640625" style="143" customWidth="1"/>
    <col min="2825" max="2825" width="4.5" style="143" customWidth="1"/>
    <col min="2826" max="2826" width="16.1640625" style="143" customWidth="1"/>
    <col min="2827" max="2827" width="4.83203125" style="143" customWidth="1"/>
    <col min="2828" max="2828" width="17.1640625" style="143" customWidth="1"/>
    <col min="2829" max="2829" width="4.1640625" style="143" customWidth="1"/>
    <col min="2830" max="3071" width="12" style="143"/>
    <col min="3072" max="3072" width="7" style="143" customWidth="1"/>
    <col min="3073" max="3073" width="2.33203125" style="143" customWidth="1"/>
    <col min="3074" max="3075" width="12" style="143"/>
    <col min="3076" max="3076" width="6.5" style="143" customWidth="1"/>
    <col min="3077" max="3077" width="5.1640625" style="143" customWidth="1"/>
    <col min="3078" max="3078" width="12" style="143"/>
    <col min="3079" max="3079" width="5.1640625" style="143" customWidth="1"/>
    <col min="3080" max="3080" width="17.1640625" style="143" customWidth="1"/>
    <col min="3081" max="3081" width="4.5" style="143" customWidth="1"/>
    <col min="3082" max="3082" width="16.1640625" style="143" customWidth="1"/>
    <col min="3083" max="3083" width="4.83203125" style="143" customWidth="1"/>
    <col min="3084" max="3084" width="17.1640625" style="143" customWidth="1"/>
    <col min="3085" max="3085" width="4.1640625" style="143" customWidth="1"/>
    <col min="3086" max="3327" width="12" style="143"/>
    <col min="3328" max="3328" width="7" style="143" customWidth="1"/>
    <col min="3329" max="3329" width="2.33203125" style="143" customWidth="1"/>
    <col min="3330" max="3331" width="12" style="143"/>
    <col min="3332" max="3332" width="6.5" style="143" customWidth="1"/>
    <col min="3333" max="3333" width="5.1640625" style="143" customWidth="1"/>
    <col min="3334" max="3334" width="12" style="143"/>
    <col min="3335" max="3335" width="5.1640625" style="143" customWidth="1"/>
    <col min="3336" max="3336" width="17.1640625" style="143" customWidth="1"/>
    <col min="3337" max="3337" width="4.5" style="143" customWidth="1"/>
    <col min="3338" max="3338" width="16.1640625" style="143" customWidth="1"/>
    <col min="3339" max="3339" width="4.83203125" style="143" customWidth="1"/>
    <col min="3340" max="3340" width="17.1640625" style="143" customWidth="1"/>
    <col min="3341" max="3341" width="4.1640625" style="143" customWidth="1"/>
    <col min="3342" max="3583" width="12" style="143"/>
    <col min="3584" max="3584" width="7" style="143" customWidth="1"/>
    <col min="3585" max="3585" width="2.33203125" style="143" customWidth="1"/>
    <col min="3586" max="3587" width="12" style="143"/>
    <col min="3588" max="3588" width="6.5" style="143" customWidth="1"/>
    <col min="3589" max="3589" width="5.1640625" style="143" customWidth="1"/>
    <col min="3590" max="3590" width="12" style="143"/>
    <col min="3591" max="3591" width="5.1640625" style="143" customWidth="1"/>
    <col min="3592" max="3592" width="17.1640625" style="143" customWidth="1"/>
    <col min="3593" max="3593" width="4.5" style="143" customWidth="1"/>
    <col min="3594" max="3594" width="16.1640625" style="143" customWidth="1"/>
    <col min="3595" max="3595" width="4.83203125" style="143" customWidth="1"/>
    <col min="3596" max="3596" width="17.1640625" style="143" customWidth="1"/>
    <col min="3597" max="3597" width="4.1640625" style="143" customWidth="1"/>
    <col min="3598" max="3839" width="12" style="143"/>
    <col min="3840" max="3840" width="7" style="143" customWidth="1"/>
    <col min="3841" max="3841" width="2.33203125" style="143" customWidth="1"/>
    <col min="3842" max="3843" width="12" style="143"/>
    <col min="3844" max="3844" width="6.5" style="143" customWidth="1"/>
    <col min="3845" max="3845" width="5.1640625" style="143" customWidth="1"/>
    <col min="3846" max="3846" width="12" style="143"/>
    <col min="3847" max="3847" width="5.1640625" style="143" customWidth="1"/>
    <col min="3848" max="3848" width="17.1640625" style="143" customWidth="1"/>
    <col min="3849" max="3849" width="4.5" style="143" customWidth="1"/>
    <col min="3850" max="3850" width="16.1640625" style="143" customWidth="1"/>
    <col min="3851" max="3851" width="4.83203125" style="143" customWidth="1"/>
    <col min="3852" max="3852" width="17.1640625" style="143" customWidth="1"/>
    <col min="3853" max="3853" width="4.1640625" style="143" customWidth="1"/>
    <col min="3854" max="4095" width="12" style="143"/>
    <col min="4096" max="4096" width="7" style="143" customWidth="1"/>
    <col min="4097" max="4097" width="2.33203125" style="143" customWidth="1"/>
    <col min="4098" max="4099" width="12" style="143"/>
    <col min="4100" max="4100" width="6.5" style="143" customWidth="1"/>
    <col min="4101" max="4101" width="5.1640625" style="143" customWidth="1"/>
    <col min="4102" max="4102" width="12" style="143"/>
    <col min="4103" max="4103" width="5.1640625" style="143" customWidth="1"/>
    <col min="4104" max="4104" width="17.1640625" style="143" customWidth="1"/>
    <col min="4105" max="4105" width="4.5" style="143" customWidth="1"/>
    <col min="4106" max="4106" width="16.1640625" style="143" customWidth="1"/>
    <col min="4107" max="4107" width="4.83203125" style="143" customWidth="1"/>
    <col min="4108" max="4108" width="17.1640625" style="143" customWidth="1"/>
    <col min="4109" max="4109" width="4.1640625" style="143" customWidth="1"/>
    <col min="4110" max="4351" width="12" style="143"/>
    <col min="4352" max="4352" width="7" style="143" customWidth="1"/>
    <col min="4353" max="4353" width="2.33203125" style="143" customWidth="1"/>
    <col min="4354" max="4355" width="12" style="143"/>
    <col min="4356" max="4356" width="6.5" style="143" customWidth="1"/>
    <col min="4357" max="4357" width="5.1640625" style="143" customWidth="1"/>
    <col min="4358" max="4358" width="12" style="143"/>
    <col min="4359" max="4359" width="5.1640625" style="143" customWidth="1"/>
    <col min="4360" max="4360" width="17.1640625" style="143" customWidth="1"/>
    <col min="4361" max="4361" width="4.5" style="143" customWidth="1"/>
    <col min="4362" max="4362" width="16.1640625" style="143" customWidth="1"/>
    <col min="4363" max="4363" width="4.83203125" style="143" customWidth="1"/>
    <col min="4364" max="4364" width="17.1640625" style="143" customWidth="1"/>
    <col min="4365" max="4365" width="4.1640625" style="143" customWidth="1"/>
    <col min="4366" max="4607" width="12" style="143"/>
    <col min="4608" max="4608" width="7" style="143" customWidth="1"/>
    <col min="4609" max="4609" width="2.33203125" style="143" customWidth="1"/>
    <col min="4610" max="4611" width="12" style="143"/>
    <col min="4612" max="4612" width="6.5" style="143" customWidth="1"/>
    <col min="4613" max="4613" width="5.1640625" style="143" customWidth="1"/>
    <col min="4614" max="4614" width="12" style="143"/>
    <col min="4615" max="4615" width="5.1640625" style="143" customWidth="1"/>
    <col min="4616" max="4616" width="17.1640625" style="143" customWidth="1"/>
    <col min="4617" max="4617" width="4.5" style="143" customWidth="1"/>
    <col min="4618" max="4618" width="16.1640625" style="143" customWidth="1"/>
    <col min="4619" max="4619" width="4.83203125" style="143" customWidth="1"/>
    <col min="4620" max="4620" width="17.1640625" style="143" customWidth="1"/>
    <col min="4621" max="4621" width="4.1640625" style="143" customWidth="1"/>
    <col min="4622" max="4863" width="12" style="143"/>
    <col min="4864" max="4864" width="7" style="143" customWidth="1"/>
    <col min="4865" max="4865" width="2.33203125" style="143" customWidth="1"/>
    <col min="4866" max="4867" width="12" style="143"/>
    <col min="4868" max="4868" width="6.5" style="143" customWidth="1"/>
    <col min="4869" max="4869" width="5.1640625" style="143" customWidth="1"/>
    <col min="4870" max="4870" width="12" style="143"/>
    <col min="4871" max="4871" width="5.1640625" style="143" customWidth="1"/>
    <col min="4872" max="4872" width="17.1640625" style="143" customWidth="1"/>
    <col min="4873" max="4873" width="4.5" style="143" customWidth="1"/>
    <col min="4874" max="4874" width="16.1640625" style="143" customWidth="1"/>
    <col min="4875" max="4875" width="4.83203125" style="143" customWidth="1"/>
    <col min="4876" max="4876" width="17.1640625" style="143" customWidth="1"/>
    <col min="4877" max="4877" width="4.1640625" style="143" customWidth="1"/>
    <col min="4878" max="5119" width="12" style="143"/>
    <col min="5120" max="5120" width="7" style="143" customWidth="1"/>
    <col min="5121" max="5121" width="2.33203125" style="143" customWidth="1"/>
    <col min="5122" max="5123" width="12" style="143"/>
    <col min="5124" max="5124" width="6.5" style="143" customWidth="1"/>
    <col min="5125" max="5125" width="5.1640625" style="143" customWidth="1"/>
    <col min="5126" max="5126" width="12" style="143"/>
    <col min="5127" max="5127" width="5.1640625" style="143" customWidth="1"/>
    <col min="5128" max="5128" width="17.1640625" style="143" customWidth="1"/>
    <col min="5129" max="5129" width="4.5" style="143" customWidth="1"/>
    <col min="5130" max="5130" width="16.1640625" style="143" customWidth="1"/>
    <col min="5131" max="5131" width="4.83203125" style="143" customWidth="1"/>
    <col min="5132" max="5132" width="17.1640625" style="143" customWidth="1"/>
    <col min="5133" max="5133" width="4.1640625" style="143" customWidth="1"/>
    <col min="5134" max="5375" width="12" style="143"/>
    <col min="5376" max="5376" width="7" style="143" customWidth="1"/>
    <col min="5377" max="5377" width="2.33203125" style="143" customWidth="1"/>
    <col min="5378" max="5379" width="12" style="143"/>
    <col min="5380" max="5380" width="6.5" style="143" customWidth="1"/>
    <col min="5381" max="5381" width="5.1640625" style="143" customWidth="1"/>
    <col min="5382" max="5382" width="12" style="143"/>
    <col min="5383" max="5383" width="5.1640625" style="143" customWidth="1"/>
    <col min="5384" max="5384" width="17.1640625" style="143" customWidth="1"/>
    <col min="5385" max="5385" width="4.5" style="143" customWidth="1"/>
    <col min="5386" max="5386" width="16.1640625" style="143" customWidth="1"/>
    <col min="5387" max="5387" width="4.83203125" style="143" customWidth="1"/>
    <col min="5388" max="5388" width="17.1640625" style="143" customWidth="1"/>
    <col min="5389" max="5389" width="4.1640625" style="143" customWidth="1"/>
    <col min="5390" max="5631" width="12" style="143"/>
    <col min="5632" max="5632" width="7" style="143" customWidth="1"/>
    <col min="5633" max="5633" width="2.33203125" style="143" customWidth="1"/>
    <col min="5634" max="5635" width="12" style="143"/>
    <col min="5636" max="5636" width="6.5" style="143" customWidth="1"/>
    <col min="5637" max="5637" width="5.1640625" style="143" customWidth="1"/>
    <col min="5638" max="5638" width="12" style="143"/>
    <col min="5639" max="5639" width="5.1640625" style="143" customWidth="1"/>
    <col min="5640" max="5640" width="17.1640625" style="143" customWidth="1"/>
    <col min="5641" max="5641" width="4.5" style="143" customWidth="1"/>
    <col min="5642" max="5642" width="16.1640625" style="143" customWidth="1"/>
    <col min="5643" max="5643" width="4.83203125" style="143" customWidth="1"/>
    <col min="5644" max="5644" width="17.1640625" style="143" customWidth="1"/>
    <col min="5645" max="5645" width="4.1640625" style="143" customWidth="1"/>
    <col min="5646" max="5887" width="12" style="143"/>
    <col min="5888" max="5888" width="7" style="143" customWidth="1"/>
    <col min="5889" max="5889" width="2.33203125" style="143" customWidth="1"/>
    <col min="5890" max="5891" width="12" style="143"/>
    <col min="5892" max="5892" width="6.5" style="143" customWidth="1"/>
    <col min="5893" max="5893" width="5.1640625" style="143" customWidth="1"/>
    <col min="5894" max="5894" width="12" style="143"/>
    <col min="5895" max="5895" width="5.1640625" style="143" customWidth="1"/>
    <col min="5896" max="5896" width="17.1640625" style="143" customWidth="1"/>
    <col min="5897" max="5897" width="4.5" style="143" customWidth="1"/>
    <col min="5898" max="5898" width="16.1640625" style="143" customWidth="1"/>
    <col min="5899" max="5899" width="4.83203125" style="143" customWidth="1"/>
    <col min="5900" max="5900" width="17.1640625" style="143" customWidth="1"/>
    <col min="5901" max="5901" width="4.1640625" style="143" customWidth="1"/>
    <col min="5902" max="6143" width="12" style="143"/>
    <col min="6144" max="6144" width="7" style="143" customWidth="1"/>
    <col min="6145" max="6145" width="2.33203125" style="143" customWidth="1"/>
    <col min="6146" max="6147" width="12" style="143"/>
    <col min="6148" max="6148" width="6.5" style="143" customWidth="1"/>
    <col min="6149" max="6149" width="5.1640625" style="143" customWidth="1"/>
    <col min="6150" max="6150" width="12" style="143"/>
    <col min="6151" max="6151" width="5.1640625" style="143" customWidth="1"/>
    <col min="6152" max="6152" width="17.1640625" style="143" customWidth="1"/>
    <col min="6153" max="6153" width="4.5" style="143" customWidth="1"/>
    <col min="6154" max="6154" width="16.1640625" style="143" customWidth="1"/>
    <col min="6155" max="6155" width="4.83203125" style="143" customWidth="1"/>
    <col min="6156" max="6156" width="17.1640625" style="143" customWidth="1"/>
    <col min="6157" max="6157" width="4.1640625" style="143" customWidth="1"/>
    <col min="6158" max="6399" width="12" style="143"/>
    <col min="6400" max="6400" width="7" style="143" customWidth="1"/>
    <col min="6401" max="6401" width="2.33203125" style="143" customWidth="1"/>
    <col min="6402" max="6403" width="12" style="143"/>
    <col min="6404" max="6404" width="6.5" style="143" customWidth="1"/>
    <col min="6405" max="6405" width="5.1640625" style="143" customWidth="1"/>
    <col min="6406" max="6406" width="12" style="143"/>
    <col min="6407" max="6407" width="5.1640625" style="143" customWidth="1"/>
    <col min="6408" max="6408" width="17.1640625" style="143" customWidth="1"/>
    <col min="6409" max="6409" width="4.5" style="143" customWidth="1"/>
    <col min="6410" max="6410" width="16.1640625" style="143" customWidth="1"/>
    <col min="6411" max="6411" width="4.83203125" style="143" customWidth="1"/>
    <col min="6412" max="6412" width="17.1640625" style="143" customWidth="1"/>
    <col min="6413" max="6413" width="4.1640625" style="143" customWidth="1"/>
    <col min="6414" max="6655" width="12" style="143"/>
    <col min="6656" max="6656" width="7" style="143" customWidth="1"/>
    <col min="6657" max="6657" width="2.33203125" style="143" customWidth="1"/>
    <col min="6658" max="6659" width="12" style="143"/>
    <col min="6660" max="6660" width="6.5" style="143" customWidth="1"/>
    <col min="6661" max="6661" width="5.1640625" style="143" customWidth="1"/>
    <col min="6662" max="6662" width="12" style="143"/>
    <col min="6663" max="6663" width="5.1640625" style="143" customWidth="1"/>
    <col min="6664" max="6664" width="17.1640625" style="143" customWidth="1"/>
    <col min="6665" max="6665" width="4.5" style="143" customWidth="1"/>
    <col min="6666" max="6666" width="16.1640625" style="143" customWidth="1"/>
    <col min="6667" max="6667" width="4.83203125" style="143" customWidth="1"/>
    <col min="6668" max="6668" width="17.1640625" style="143" customWidth="1"/>
    <col min="6669" max="6669" width="4.1640625" style="143" customWidth="1"/>
    <col min="6670" max="6911" width="12" style="143"/>
    <col min="6912" max="6912" width="7" style="143" customWidth="1"/>
    <col min="6913" max="6913" width="2.33203125" style="143" customWidth="1"/>
    <col min="6914" max="6915" width="12" style="143"/>
    <col min="6916" max="6916" width="6.5" style="143" customWidth="1"/>
    <col min="6917" max="6917" width="5.1640625" style="143" customWidth="1"/>
    <col min="6918" max="6918" width="12" style="143"/>
    <col min="6919" max="6919" width="5.1640625" style="143" customWidth="1"/>
    <col min="6920" max="6920" width="17.1640625" style="143" customWidth="1"/>
    <col min="6921" max="6921" width="4.5" style="143" customWidth="1"/>
    <col min="6922" max="6922" width="16.1640625" style="143" customWidth="1"/>
    <col min="6923" max="6923" width="4.83203125" style="143" customWidth="1"/>
    <col min="6924" max="6924" width="17.1640625" style="143" customWidth="1"/>
    <col min="6925" max="6925" width="4.1640625" style="143" customWidth="1"/>
    <col min="6926" max="7167" width="12" style="143"/>
    <col min="7168" max="7168" width="7" style="143" customWidth="1"/>
    <col min="7169" max="7169" width="2.33203125" style="143" customWidth="1"/>
    <col min="7170" max="7171" width="12" style="143"/>
    <col min="7172" max="7172" width="6.5" style="143" customWidth="1"/>
    <col min="7173" max="7173" width="5.1640625" style="143" customWidth="1"/>
    <col min="7174" max="7174" width="12" style="143"/>
    <col min="7175" max="7175" width="5.1640625" style="143" customWidth="1"/>
    <col min="7176" max="7176" width="17.1640625" style="143" customWidth="1"/>
    <col min="7177" max="7177" width="4.5" style="143" customWidth="1"/>
    <col min="7178" max="7178" width="16.1640625" style="143" customWidth="1"/>
    <col min="7179" max="7179" width="4.83203125" style="143" customWidth="1"/>
    <col min="7180" max="7180" width="17.1640625" style="143" customWidth="1"/>
    <col min="7181" max="7181" width="4.1640625" style="143" customWidth="1"/>
    <col min="7182" max="7423" width="12" style="143"/>
    <col min="7424" max="7424" width="7" style="143" customWidth="1"/>
    <col min="7425" max="7425" width="2.33203125" style="143" customWidth="1"/>
    <col min="7426" max="7427" width="12" style="143"/>
    <col min="7428" max="7428" width="6.5" style="143" customWidth="1"/>
    <col min="7429" max="7429" width="5.1640625" style="143" customWidth="1"/>
    <col min="7430" max="7430" width="12" style="143"/>
    <col min="7431" max="7431" width="5.1640625" style="143" customWidth="1"/>
    <col min="7432" max="7432" width="17.1640625" style="143" customWidth="1"/>
    <col min="7433" max="7433" width="4.5" style="143" customWidth="1"/>
    <col min="7434" max="7434" width="16.1640625" style="143" customWidth="1"/>
    <col min="7435" max="7435" width="4.83203125" style="143" customWidth="1"/>
    <col min="7436" max="7436" width="17.1640625" style="143" customWidth="1"/>
    <col min="7437" max="7437" width="4.1640625" style="143" customWidth="1"/>
    <col min="7438" max="7679" width="12" style="143"/>
    <col min="7680" max="7680" width="7" style="143" customWidth="1"/>
    <col min="7681" max="7681" width="2.33203125" style="143" customWidth="1"/>
    <col min="7682" max="7683" width="12" style="143"/>
    <col min="7684" max="7684" width="6.5" style="143" customWidth="1"/>
    <col min="7685" max="7685" width="5.1640625" style="143" customWidth="1"/>
    <col min="7686" max="7686" width="12" style="143"/>
    <col min="7687" max="7687" width="5.1640625" style="143" customWidth="1"/>
    <col min="7688" max="7688" width="17.1640625" style="143" customWidth="1"/>
    <col min="7689" max="7689" width="4.5" style="143" customWidth="1"/>
    <col min="7690" max="7690" width="16.1640625" style="143" customWidth="1"/>
    <col min="7691" max="7691" width="4.83203125" style="143" customWidth="1"/>
    <col min="7692" max="7692" width="17.1640625" style="143" customWidth="1"/>
    <col min="7693" max="7693" width="4.1640625" style="143" customWidth="1"/>
    <col min="7694" max="7935" width="12" style="143"/>
    <col min="7936" max="7936" width="7" style="143" customWidth="1"/>
    <col min="7937" max="7937" width="2.33203125" style="143" customWidth="1"/>
    <col min="7938" max="7939" width="12" style="143"/>
    <col min="7940" max="7940" width="6.5" style="143" customWidth="1"/>
    <col min="7941" max="7941" width="5.1640625" style="143" customWidth="1"/>
    <col min="7942" max="7942" width="12" style="143"/>
    <col min="7943" max="7943" width="5.1640625" style="143" customWidth="1"/>
    <col min="7944" max="7944" width="17.1640625" style="143" customWidth="1"/>
    <col min="7945" max="7945" width="4.5" style="143" customWidth="1"/>
    <col min="7946" max="7946" width="16.1640625" style="143" customWidth="1"/>
    <col min="7947" max="7947" width="4.83203125" style="143" customWidth="1"/>
    <col min="7948" max="7948" width="17.1640625" style="143" customWidth="1"/>
    <col min="7949" max="7949" width="4.1640625" style="143" customWidth="1"/>
    <col min="7950" max="8191" width="12" style="143"/>
    <col min="8192" max="8192" width="7" style="143" customWidth="1"/>
    <col min="8193" max="8193" width="2.33203125" style="143" customWidth="1"/>
    <col min="8194" max="8195" width="12" style="143"/>
    <col min="8196" max="8196" width="6.5" style="143" customWidth="1"/>
    <col min="8197" max="8197" width="5.1640625" style="143" customWidth="1"/>
    <col min="8198" max="8198" width="12" style="143"/>
    <col min="8199" max="8199" width="5.1640625" style="143" customWidth="1"/>
    <col min="8200" max="8200" width="17.1640625" style="143" customWidth="1"/>
    <col min="8201" max="8201" width="4.5" style="143" customWidth="1"/>
    <col min="8202" max="8202" width="16.1640625" style="143" customWidth="1"/>
    <col min="8203" max="8203" width="4.83203125" style="143" customWidth="1"/>
    <col min="8204" max="8204" width="17.1640625" style="143" customWidth="1"/>
    <col min="8205" max="8205" width="4.1640625" style="143" customWidth="1"/>
    <col min="8206" max="8447" width="12" style="143"/>
    <col min="8448" max="8448" width="7" style="143" customWidth="1"/>
    <col min="8449" max="8449" width="2.33203125" style="143" customWidth="1"/>
    <col min="8450" max="8451" width="12" style="143"/>
    <col min="8452" max="8452" width="6.5" style="143" customWidth="1"/>
    <col min="8453" max="8453" width="5.1640625" style="143" customWidth="1"/>
    <col min="8454" max="8454" width="12" style="143"/>
    <col min="8455" max="8455" width="5.1640625" style="143" customWidth="1"/>
    <col min="8456" max="8456" width="17.1640625" style="143" customWidth="1"/>
    <col min="8457" max="8457" width="4.5" style="143" customWidth="1"/>
    <col min="8458" max="8458" width="16.1640625" style="143" customWidth="1"/>
    <col min="8459" max="8459" width="4.83203125" style="143" customWidth="1"/>
    <col min="8460" max="8460" width="17.1640625" style="143" customWidth="1"/>
    <col min="8461" max="8461" width="4.1640625" style="143" customWidth="1"/>
    <col min="8462" max="8703" width="12" style="143"/>
    <col min="8704" max="8704" width="7" style="143" customWidth="1"/>
    <col min="8705" max="8705" width="2.33203125" style="143" customWidth="1"/>
    <col min="8706" max="8707" width="12" style="143"/>
    <col min="8708" max="8708" width="6.5" style="143" customWidth="1"/>
    <col min="8709" max="8709" width="5.1640625" style="143" customWidth="1"/>
    <col min="8710" max="8710" width="12" style="143"/>
    <col min="8711" max="8711" width="5.1640625" style="143" customWidth="1"/>
    <col min="8712" max="8712" width="17.1640625" style="143" customWidth="1"/>
    <col min="8713" max="8713" width="4.5" style="143" customWidth="1"/>
    <col min="8714" max="8714" width="16.1640625" style="143" customWidth="1"/>
    <col min="8715" max="8715" width="4.83203125" style="143" customWidth="1"/>
    <col min="8716" max="8716" width="17.1640625" style="143" customWidth="1"/>
    <col min="8717" max="8717" width="4.1640625" style="143" customWidth="1"/>
    <col min="8718" max="8959" width="12" style="143"/>
    <col min="8960" max="8960" width="7" style="143" customWidth="1"/>
    <col min="8961" max="8961" width="2.33203125" style="143" customWidth="1"/>
    <col min="8962" max="8963" width="12" style="143"/>
    <col min="8964" max="8964" width="6.5" style="143" customWidth="1"/>
    <col min="8965" max="8965" width="5.1640625" style="143" customWidth="1"/>
    <col min="8966" max="8966" width="12" style="143"/>
    <col min="8967" max="8967" width="5.1640625" style="143" customWidth="1"/>
    <col min="8968" max="8968" width="17.1640625" style="143" customWidth="1"/>
    <col min="8969" max="8969" width="4.5" style="143" customWidth="1"/>
    <col min="8970" max="8970" width="16.1640625" style="143" customWidth="1"/>
    <col min="8971" max="8971" width="4.83203125" style="143" customWidth="1"/>
    <col min="8972" max="8972" width="17.1640625" style="143" customWidth="1"/>
    <col min="8973" max="8973" width="4.1640625" style="143" customWidth="1"/>
    <col min="8974" max="9215" width="12" style="143"/>
    <col min="9216" max="9216" width="7" style="143" customWidth="1"/>
    <col min="9217" max="9217" width="2.33203125" style="143" customWidth="1"/>
    <col min="9218" max="9219" width="12" style="143"/>
    <col min="9220" max="9220" width="6.5" style="143" customWidth="1"/>
    <col min="9221" max="9221" width="5.1640625" style="143" customWidth="1"/>
    <col min="9222" max="9222" width="12" style="143"/>
    <col min="9223" max="9223" width="5.1640625" style="143" customWidth="1"/>
    <col min="9224" max="9224" width="17.1640625" style="143" customWidth="1"/>
    <col min="9225" max="9225" width="4.5" style="143" customWidth="1"/>
    <col min="9226" max="9226" width="16.1640625" style="143" customWidth="1"/>
    <col min="9227" max="9227" width="4.83203125" style="143" customWidth="1"/>
    <col min="9228" max="9228" width="17.1640625" style="143" customWidth="1"/>
    <col min="9229" max="9229" width="4.1640625" style="143" customWidth="1"/>
    <col min="9230" max="9471" width="12" style="143"/>
    <col min="9472" max="9472" width="7" style="143" customWidth="1"/>
    <col min="9473" max="9473" width="2.33203125" style="143" customWidth="1"/>
    <col min="9474" max="9475" width="12" style="143"/>
    <col min="9476" max="9476" width="6.5" style="143" customWidth="1"/>
    <col min="9477" max="9477" width="5.1640625" style="143" customWidth="1"/>
    <col min="9478" max="9478" width="12" style="143"/>
    <col min="9479" max="9479" width="5.1640625" style="143" customWidth="1"/>
    <col min="9480" max="9480" width="17.1640625" style="143" customWidth="1"/>
    <col min="9481" max="9481" width="4.5" style="143" customWidth="1"/>
    <col min="9482" max="9482" width="16.1640625" style="143" customWidth="1"/>
    <col min="9483" max="9483" width="4.83203125" style="143" customWidth="1"/>
    <col min="9484" max="9484" width="17.1640625" style="143" customWidth="1"/>
    <col min="9485" max="9485" width="4.1640625" style="143" customWidth="1"/>
    <col min="9486" max="9727" width="12" style="143"/>
    <col min="9728" max="9728" width="7" style="143" customWidth="1"/>
    <col min="9729" max="9729" width="2.33203125" style="143" customWidth="1"/>
    <col min="9730" max="9731" width="12" style="143"/>
    <col min="9732" max="9732" width="6.5" style="143" customWidth="1"/>
    <col min="9733" max="9733" width="5.1640625" style="143" customWidth="1"/>
    <col min="9734" max="9734" width="12" style="143"/>
    <col min="9735" max="9735" width="5.1640625" style="143" customWidth="1"/>
    <col min="9736" max="9736" width="17.1640625" style="143" customWidth="1"/>
    <col min="9737" max="9737" width="4.5" style="143" customWidth="1"/>
    <col min="9738" max="9738" width="16.1640625" style="143" customWidth="1"/>
    <col min="9739" max="9739" width="4.83203125" style="143" customWidth="1"/>
    <col min="9740" max="9740" width="17.1640625" style="143" customWidth="1"/>
    <col min="9741" max="9741" width="4.1640625" style="143" customWidth="1"/>
    <col min="9742" max="9983" width="12" style="143"/>
    <col min="9984" max="9984" width="7" style="143" customWidth="1"/>
    <col min="9985" max="9985" width="2.33203125" style="143" customWidth="1"/>
    <col min="9986" max="9987" width="12" style="143"/>
    <col min="9988" max="9988" width="6.5" style="143" customWidth="1"/>
    <col min="9989" max="9989" width="5.1640625" style="143" customWidth="1"/>
    <col min="9990" max="9990" width="12" style="143"/>
    <col min="9991" max="9991" width="5.1640625" style="143" customWidth="1"/>
    <col min="9992" max="9992" width="17.1640625" style="143" customWidth="1"/>
    <col min="9993" max="9993" width="4.5" style="143" customWidth="1"/>
    <col min="9994" max="9994" width="16.1640625" style="143" customWidth="1"/>
    <col min="9995" max="9995" width="4.83203125" style="143" customWidth="1"/>
    <col min="9996" max="9996" width="17.1640625" style="143" customWidth="1"/>
    <col min="9997" max="9997" width="4.1640625" style="143" customWidth="1"/>
    <col min="9998" max="10239" width="12" style="143"/>
    <col min="10240" max="10240" width="7" style="143" customWidth="1"/>
    <col min="10241" max="10241" width="2.33203125" style="143" customWidth="1"/>
    <col min="10242" max="10243" width="12" style="143"/>
    <col min="10244" max="10244" width="6.5" style="143" customWidth="1"/>
    <col min="10245" max="10245" width="5.1640625" style="143" customWidth="1"/>
    <col min="10246" max="10246" width="12" style="143"/>
    <col min="10247" max="10247" width="5.1640625" style="143" customWidth="1"/>
    <col min="10248" max="10248" width="17.1640625" style="143" customWidth="1"/>
    <col min="10249" max="10249" width="4.5" style="143" customWidth="1"/>
    <col min="10250" max="10250" width="16.1640625" style="143" customWidth="1"/>
    <col min="10251" max="10251" width="4.83203125" style="143" customWidth="1"/>
    <col min="10252" max="10252" width="17.1640625" style="143" customWidth="1"/>
    <col min="10253" max="10253" width="4.1640625" style="143" customWidth="1"/>
    <col min="10254" max="10495" width="12" style="143"/>
    <col min="10496" max="10496" width="7" style="143" customWidth="1"/>
    <col min="10497" max="10497" width="2.33203125" style="143" customWidth="1"/>
    <col min="10498" max="10499" width="12" style="143"/>
    <col min="10500" max="10500" width="6.5" style="143" customWidth="1"/>
    <col min="10501" max="10501" width="5.1640625" style="143" customWidth="1"/>
    <col min="10502" max="10502" width="12" style="143"/>
    <col min="10503" max="10503" width="5.1640625" style="143" customWidth="1"/>
    <col min="10504" max="10504" width="17.1640625" style="143" customWidth="1"/>
    <col min="10505" max="10505" width="4.5" style="143" customWidth="1"/>
    <col min="10506" max="10506" width="16.1640625" style="143" customWidth="1"/>
    <col min="10507" max="10507" width="4.83203125" style="143" customWidth="1"/>
    <col min="10508" max="10508" width="17.1640625" style="143" customWidth="1"/>
    <col min="10509" max="10509" width="4.1640625" style="143" customWidth="1"/>
    <col min="10510" max="10751" width="12" style="143"/>
    <col min="10752" max="10752" width="7" style="143" customWidth="1"/>
    <col min="10753" max="10753" width="2.33203125" style="143" customWidth="1"/>
    <col min="10754" max="10755" width="12" style="143"/>
    <col min="10756" max="10756" width="6.5" style="143" customWidth="1"/>
    <col min="10757" max="10757" width="5.1640625" style="143" customWidth="1"/>
    <col min="10758" max="10758" width="12" style="143"/>
    <col min="10759" max="10759" width="5.1640625" style="143" customWidth="1"/>
    <col min="10760" max="10760" width="17.1640625" style="143" customWidth="1"/>
    <col min="10761" max="10761" width="4.5" style="143" customWidth="1"/>
    <col min="10762" max="10762" width="16.1640625" style="143" customWidth="1"/>
    <col min="10763" max="10763" width="4.83203125" style="143" customWidth="1"/>
    <col min="10764" max="10764" width="17.1640625" style="143" customWidth="1"/>
    <col min="10765" max="10765" width="4.1640625" style="143" customWidth="1"/>
    <col min="10766" max="11007" width="12" style="143"/>
    <col min="11008" max="11008" width="7" style="143" customWidth="1"/>
    <col min="11009" max="11009" width="2.33203125" style="143" customWidth="1"/>
    <col min="11010" max="11011" width="12" style="143"/>
    <col min="11012" max="11012" width="6.5" style="143" customWidth="1"/>
    <col min="11013" max="11013" width="5.1640625" style="143" customWidth="1"/>
    <col min="11014" max="11014" width="12" style="143"/>
    <col min="11015" max="11015" width="5.1640625" style="143" customWidth="1"/>
    <col min="11016" max="11016" width="17.1640625" style="143" customWidth="1"/>
    <col min="11017" max="11017" width="4.5" style="143" customWidth="1"/>
    <col min="11018" max="11018" width="16.1640625" style="143" customWidth="1"/>
    <col min="11019" max="11019" width="4.83203125" style="143" customWidth="1"/>
    <col min="11020" max="11020" width="17.1640625" style="143" customWidth="1"/>
    <col min="11021" max="11021" width="4.1640625" style="143" customWidth="1"/>
    <col min="11022" max="11263" width="12" style="143"/>
    <col min="11264" max="11264" width="7" style="143" customWidth="1"/>
    <col min="11265" max="11265" width="2.33203125" style="143" customWidth="1"/>
    <col min="11266" max="11267" width="12" style="143"/>
    <col min="11268" max="11268" width="6.5" style="143" customWidth="1"/>
    <col min="11269" max="11269" width="5.1640625" style="143" customWidth="1"/>
    <col min="11270" max="11270" width="12" style="143"/>
    <col min="11271" max="11271" width="5.1640625" style="143" customWidth="1"/>
    <col min="11272" max="11272" width="17.1640625" style="143" customWidth="1"/>
    <col min="11273" max="11273" width="4.5" style="143" customWidth="1"/>
    <col min="11274" max="11274" width="16.1640625" style="143" customWidth="1"/>
    <col min="11275" max="11275" width="4.83203125" style="143" customWidth="1"/>
    <col min="11276" max="11276" width="17.1640625" style="143" customWidth="1"/>
    <col min="11277" max="11277" width="4.1640625" style="143" customWidth="1"/>
    <col min="11278" max="11519" width="12" style="143"/>
    <col min="11520" max="11520" width="7" style="143" customWidth="1"/>
    <col min="11521" max="11521" width="2.33203125" style="143" customWidth="1"/>
    <col min="11522" max="11523" width="12" style="143"/>
    <col min="11524" max="11524" width="6.5" style="143" customWidth="1"/>
    <col min="11525" max="11525" width="5.1640625" style="143" customWidth="1"/>
    <col min="11526" max="11526" width="12" style="143"/>
    <col min="11527" max="11527" width="5.1640625" style="143" customWidth="1"/>
    <col min="11528" max="11528" width="17.1640625" style="143" customWidth="1"/>
    <col min="11529" max="11529" width="4.5" style="143" customWidth="1"/>
    <col min="11530" max="11530" width="16.1640625" style="143" customWidth="1"/>
    <col min="11531" max="11531" width="4.83203125" style="143" customWidth="1"/>
    <col min="11532" max="11532" width="17.1640625" style="143" customWidth="1"/>
    <col min="11533" max="11533" width="4.1640625" style="143" customWidth="1"/>
    <col min="11534" max="11775" width="12" style="143"/>
    <col min="11776" max="11776" width="7" style="143" customWidth="1"/>
    <col min="11777" max="11777" width="2.33203125" style="143" customWidth="1"/>
    <col min="11778" max="11779" width="12" style="143"/>
    <col min="11780" max="11780" width="6.5" style="143" customWidth="1"/>
    <col min="11781" max="11781" width="5.1640625" style="143" customWidth="1"/>
    <col min="11782" max="11782" width="12" style="143"/>
    <col min="11783" max="11783" width="5.1640625" style="143" customWidth="1"/>
    <col min="11784" max="11784" width="17.1640625" style="143" customWidth="1"/>
    <col min="11785" max="11785" width="4.5" style="143" customWidth="1"/>
    <col min="11786" max="11786" width="16.1640625" style="143" customWidth="1"/>
    <col min="11787" max="11787" width="4.83203125" style="143" customWidth="1"/>
    <col min="11788" max="11788" width="17.1640625" style="143" customWidth="1"/>
    <col min="11789" max="11789" width="4.1640625" style="143" customWidth="1"/>
    <col min="11790" max="12031" width="12" style="143"/>
    <col min="12032" max="12032" width="7" style="143" customWidth="1"/>
    <col min="12033" max="12033" width="2.33203125" style="143" customWidth="1"/>
    <col min="12034" max="12035" width="12" style="143"/>
    <col min="12036" max="12036" width="6.5" style="143" customWidth="1"/>
    <col min="12037" max="12037" width="5.1640625" style="143" customWidth="1"/>
    <col min="12038" max="12038" width="12" style="143"/>
    <col min="12039" max="12039" width="5.1640625" style="143" customWidth="1"/>
    <col min="12040" max="12040" width="17.1640625" style="143" customWidth="1"/>
    <col min="12041" max="12041" width="4.5" style="143" customWidth="1"/>
    <col min="12042" max="12042" width="16.1640625" style="143" customWidth="1"/>
    <col min="12043" max="12043" width="4.83203125" style="143" customWidth="1"/>
    <col min="12044" max="12044" width="17.1640625" style="143" customWidth="1"/>
    <col min="12045" max="12045" width="4.1640625" style="143" customWidth="1"/>
    <col min="12046" max="12287" width="12" style="143"/>
    <col min="12288" max="12288" width="7" style="143" customWidth="1"/>
    <col min="12289" max="12289" width="2.33203125" style="143" customWidth="1"/>
    <col min="12290" max="12291" width="12" style="143"/>
    <col min="12292" max="12292" width="6.5" style="143" customWidth="1"/>
    <col min="12293" max="12293" width="5.1640625" style="143" customWidth="1"/>
    <col min="12294" max="12294" width="12" style="143"/>
    <col min="12295" max="12295" width="5.1640625" style="143" customWidth="1"/>
    <col min="12296" max="12296" width="17.1640625" style="143" customWidth="1"/>
    <col min="12297" max="12297" width="4.5" style="143" customWidth="1"/>
    <col min="12298" max="12298" width="16.1640625" style="143" customWidth="1"/>
    <col min="12299" max="12299" width="4.83203125" style="143" customWidth="1"/>
    <col min="12300" max="12300" width="17.1640625" style="143" customWidth="1"/>
    <col min="12301" max="12301" width="4.1640625" style="143" customWidth="1"/>
    <col min="12302" max="12543" width="12" style="143"/>
    <col min="12544" max="12544" width="7" style="143" customWidth="1"/>
    <col min="12545" max="12545" width="2.33203125" style="143" customWidth="1"/>
    <col min="12546" max="12547" width="12" style="143"/>
    <col min="12548" max="12548" width="6.5" style="143" customWidth="1"/>
    <col min="12549" max="12549" width="5.1640625" style="143" customWidth="1"/>
    <col min="12550" max="12550" width="12" style="143"/>
    <col min="12551" max="12551" width="5.1640625" style="143" customWidth="1"/>
    <col min="12552" max="12552" width="17.1640625" style="143" customWidth="1"/>
    <col min="12553" max="12553" width="4.5" style="143" customWidth="1"/>
    <col min="12554" max="12554" width="16.1640625" style="143" customWidth="1"/>
    <col min="12555" max="12555" width="4.83203125" style="143" customWidth="1"/>
    <col min="12556" max="12556" width="17.1640625" style="143" customWidth="1"/>
    <col min="12557" max="12557" width="4.1640625" style="143" customWidth="1"/>
    <col min="12558" max="12799" width="12" style="143"/>
    <col min="12800" max="12800" width="7" style="143" customWidth="1"/>
    <col min="12801" max="12801" width="2.33203125" style="143" customWidth="1"/>
    <col min="12802" max="12803" width="12" style="143"/>
    <col min="12804" max="12804" width="6.5" style="143" customWidth="1"/>
    <col min="12805" max="12805" width="5.1640625" style="143" customWidth="1"/>
    <col min="12806" max="12806" width="12" style="143"/>
    <col min="12807" max="12807" width="5.1640625" style="143" customWidth="1"/>
    <col min="12808" max="12808" width="17.1640625" style="143" customWidth="1"/>
    <col min="12809" max="12809" width="4.5" style="143" customWidth="1"/>
    <col min="12810" max="12810" width="16.1640625" style="143" customWidth="1"/>
    <col min="12811" max="12811" width="4.83203125" style="143" customWidth="1"/>
    <col min="12812" max="12812" width="17.1640625" style="143" customWidth="1"/>
    <col min="12813" max="12813" width="4.1640625" style="143" customWidth="1"/>
    <col min="12814" max="13055" width="12" style="143"/>
    <col min="13056" max="13056" width="7" style="143" customWidth="1"/>
    <col min="13057" max="13057" width="2.33203125" style="143" customWidth="1"/>
    <col min="13058" max="13059" width="12" style="143"/>
    <col min="13060" max="13060" width="6.5" style="143" customWidth="1"/>
    <col min="13061" max="13061" width="5.1640625" style="143" customWidth="1"/>
    <col min="13062" max="13062" width="12" style="143"/>
    <col min="13063" max="13063" width="5.1640625" style="143" customWidth="1"/>
    <col min="13064" max="13064" width="17.1640625" style="143" customWidth="1"/>
    <col min="13065" max="13065" width="4.5" style="143" customWidth="1"/>
    <col min="13066" max="13066" width="16.1640625" style="143" customWidth="1"/>
    <col min="13067" max="13067" width="4.83203125" style="143" customWidth="1"/>
    <col min="13068" max="13068" width="17.1640625" style="143" customWidth="1"/>
    <col min="13069" max="13069" width="4.1640625" style="143" customWidth="1"/>
    <col min="13070" max="13311" width="12" style="143"/>
    <col min="13312" max="13312" width="7" style="143" customWidth="1"/>
    <col min="13313" max="13313" width="2.33203125" style="143" customWidth="1"/>
    <col min="13314" max="13315" width="12" style="143"/>
    <col min="13316" max="13316" width="6.5" style="143" customWidth="1"/>
    <col min="13317" max="13317" width="5.1640625" style="143" customWidth="1"/>
    <col min="13318" max="13318" width="12" style="143"/>
    <col min="13319" max="13319" width="5.1640625" style="143" customWidth="1"/>
    <col min="13320" max="13320" width="17.1640625" style="143" customWidth="1"/>
    <col min="13321" max="13321" width="4.5" style="143" customWidth="1"/>
    <col min="13322" max="13322" width="16.1640625" style="143" customWidth="1"/>
    <col min="13323" max="13323" width="4.83203125" style="143" customWidth="1"/>
    <col min="13324" max="13324" width="17.1640625" style="143" customWidth="1"/>
    <col min="13325" max="13325" width="4.1640625" style="143" customWidth="1"/>
    <col min="13326" max="13567" width="12" style="143"/>
    <col min="13568" max="13568" width="7" style="143" customWidth="1"/>
    <col min="13569" max="13569" width="2.33203125" style="143" customWidth="1"/>
    <col min="13570" max="13571" width="12" style="143"/>
    <col min="13572" max="13572" width="6.5" style="143" customWidth="1"/>
    <col min="13573" max="13573" width="5.1640625" style="143" customWidth="1"/>
    <col min="13574" max="13574" width="12" style="143"/>
    <col min="13575" max="13575" width="5.1640625" style="143" customWidth="1"/>
    <col min="13576" max="13576" width="17.1640625" style="143" customWidth="1"/>
    <col min="13577" max="13577" width="4.5" style="143" customWidth="1"/>
    <col min="13578" max="13578" width="16.1640625" style="143" customWidth="1"/>
    <col min="13579" max="13579" width="4.83203125" style="143" customWidth="1"/>
    <col min="13580" max="13580" width="17.1640625" style="143" customWidth="1"/>
    <col min="13581" max="13581" width="4.1640625" style="143" customWidth="1"/>
    <col min="13582" max="13823" width="12" style="143"/>
    <col min="13824" max="13824" width="7" style="143" customWidth="1"/>
    <col min="13825" max="13825" width="2.33203125" style="143" customWidth="1"/>
    <col min="13826" max="13827" width="12" style="143"/>
    <col min="13828" max="13828" width="6.5" style="143" customWidth="1"/>
    <col min="13829" max="13829" width="5.1640625" style="143" customWidth="1"/>
    <col min="13830" max="13830" width="12" style="143"/>
    <col min="13831" max="13831" width="5.1640625" style="143" customWidth="1"/>
    <col min="13832" max="13832" width="17.1640625" style="143" customWidth="1"/>
    <col min="13833" max="13833" width="4.5" style="143" customWidth="1"/>
    <col min="13834" max="13834" width="16.1640625" style="143" customWidth="1"/>
    <col min="13835" max="13835" width="4.83203125" style="143" customWidth="1"/>
    <col min="13836" max="13836" width="17.1640625" style="143" customWidth="1"/>
    <col min="13837" max="13837" width="4.1640625" style="143" customWidth="1"/>
    <col min="13838" max="14079" width="12" style="143"/>
    <col min="14080" max="14080" width="7" style="143" customWidth="1"/>
    <col min="14081" max="14081" width="2.33203125" style="143" customWidth="1"/>
    <col min="14082" max="14083" width="12" style="143"/>
    <col min="14084" max="14084" width="6.5" style="143" customWidth="1"/>
    <col min="14085" max="14085" width="5.1640625" style="143" customWidth="1"/>
    <col min="14086" max="14086" width="12" style="143"/>
    <col min="14087" max="14087" width="5.1640625" style="143" customWidth="1"/>
    <col min="14088" max="14088" width="17.1640625" style="143" customWidth="1"/>
    <col min="14089" max="14089" width="4.5" style="143" customWidth="1"/>
    <col min="14090" max="14090" width="16.1640625" style="143" customWidth="1"/>
    <col min="14091" max="14091" width="4.83203125" style="143" customWidth="1"/>
    <col min="14092" max="14092" width="17.1640625" style="143" customWidth="1"/>
    <col min="14093" max="14093" width="4.1640625" style="143" customWidth="1"/>
    <col min="14094" max="14335" width="12" style="143"/>
    <col min="14336" max="14336" width="7" style="143" customWidth="1"/>
    <col min="14337" max="14337" width="2.33203125" style="143" customWidth="1"/>
    <col min="14338" max="14339" width="12" style="143"/>
    <col min="14340" max="14340" width="6.5" style="143" customWidth="1"/>
    <col min="14341" max="14341" width="5.1640625" style="143" customWidth="1"/>
    <col min="14342" max="14342" width="12" style="143"/>
    <col min="14343" max="14343" width="5.1640625" style="143" customWidth="1"/>
    <col min="14344" max="14344" width="17.1640625" style="143" customWidth="1"/>
    <col min="14345" max="14345" width="4.5" style="143" customWidth="1"/>
    <col min="14346" max="14346" width="16.1640625" style="143" customWidth="1"/>
    <col min="14347" max="14347" width="4.83203125" style="143" customWidth="1"/>
    <col min="14348" max="14348" width="17.1640625" style="143" customWidth="1"/>
    <col min="14349" max="14349" width="4.1640625" style="143" customWidth="1"/>
    <col min="14350" max="14591" width="12" style="143"/>
    <col min="14592" max="14592" width="7" style="143" customWidth="1"/>
    <col min="14593" max="14593" width="2.33203125" style="143" customWidth="1"/>
    <col min="14594" max="14595" width="12" style="143"/>
    <col min="14596" max="14596" width="6.5" style="143" customWidth="1"/>
    <col min="14597" max="14597" width="5.1640625" style="143" customWidth="1"/>
    <col min="14598" max="14598" width="12" style="143"/>
    <col min="14599" max="14599" width="5.1640625" style="143" customWidth="1"/>
    <col min="14600" max="14600" width="17.1640625" style="143" customWidth="1"/>
    <col min="14601" max="14601" width="4.5" style="143" customWidth="1"/>
    <col min="14602" max="14602" width="16.1640625" style="143" customWidth="1"/>
    <col min="14603" max="14603" width="4.83203125" style="143" customWidth="1"/>
    <col min="14604" max="14604" width="17.1640625" style="143" customWidth="1"/>
    <col min="14605" max="14605" width="4.1640625" style="143" customWidth="1"/>
    <col min="14606" max="14847" width="12" style="143"/>
    <col min="14848" max="14848" width="7" style="143" customWidth="1"/>
    <col min="14849" max="14849" width="2.33203125" style="143" customWidth="1"/>
    <col min="14850" max="14851" width="12" style="143"/>
    <col min="14852" max="14852" width="6.5" style="143" customWidth="1"/>
    <col min="14853" max="14853" width="5.1640625" style="143" customWidth="1"/>
    <col min="14854" max="14854" width="12" style="143"/>
    <col min="14855" max="14855" width="5.1640625" style="143" customWidth="1"/>
    <col min="14856" max="14856" width="17.1640625" style="143" customWidth="1"/>
    <col min="14857" max="14857" width="4.5" style="143" customWidth="1"/>
    <col min="14858" max="14858" width="16.1640625" style="143" customWidth="1"/>
    <col min="14859" max="14859" width="4.83203125" style="143" customWidth="1"/>
    <col min="14860" max="14860" width="17.1640625" style="143" customWidth="1"/>
    <col min="14861" max="14861" width="4.1640625" style="143" customWidth="1"/>
    <col min="14862" max="15103" width="12" style="143"/>
    <col min="15104" max="15104" width="7" style="143" customWidth="1"/>
    <col min="15105" max="15105" width="2.33203125" style="143" customWidth="1"/>
    <col min="15106" max="15107" width="12" style="143"/>
    <col min="15108" max="15108" width="6.5" style="143" customWidth="1"/>
    <col min="15109" max="15109" width="5.1640625" style="143" customWidth="1"/>
    <col min="15110" max="15110" width="12" style="143"/>
    <col min="15111" max="15111" width="5.1640625" style="143" customWidth="1"/>
    <col min="15112" max="15112" width="17.1640625" style="143" customWidth="1"/>
    <col min="15113" max="15113" width="4.5" style="143" customWidth="1"/>
    <col min="15114" max="15114" width="16.1640625" style="143" customWidth="1"/>
    <col min="15115" max="15115" width="4.83203125" style="143" customWidth="1"/>
    <col min="15116" max="15116" width="17.1640625" style="143" customWidth="1"/>
    <col min="15117" max="15117" width="4.1640625" style="143" customWidth="1"/>
    <col min="15118" max="15359" width="12" style="143"/>
    <col min="15360" max="15360" width="7" style="143" customWidth="1"/>
    <col min="15361" max="15361" width="2.33203125" style="143" customWidth="1"/>
    <col min="15362" max="15363" width="12" style="143"/>
    <col min="15364" max="15364" width="6.5" style="143" customWidth="1"/>
    <col min="15365" max="15365" width="5.1640625" style="143" customWidth="1"/>
    <col min="15366" max="15366" width="12" style="143"/>
    <col min="15367" max="15367" width="5.1640625" style="143" customWidth="1"/>
    <col min="15368" max="15368" width="17.1640625" style="143" customWidth="1"/>
    <col min="15369" max="15369" width="4.5" style="143" customWidth="1"/>
    <col min="15370" max="15370" width="16.1640625" style="143" customWidth="1"/>
    <col min="15371" max="15371" width="4.83203125" style="143" customWidth="1"/>
    <col min="15372" max="15372" width="17.1640625" style="143" customWidth="1"/>
    <col min="15373" max="15373" width="4.1640625" style="143" customWidth="1"/>
    <col min="15374" max="15615" width="12" style="143"/>
    <col min="15616" max="15616" width="7" style="143" customWidth="1"/>
    <col min="15617" max="15617" width="2.33203125" style="143" customWidth="1"/>
    <col min="15618" max="15619" width="12" style="143"/>
    <col min="15620" max="15620" width="6.5" style="143" customWidth="1"/>
    <col min="15621" max="15621" width="5.1640625" style="143" customWidth="1"/>
    <col min="15622" max="15622" width="12" style="143"/>
    <col min="15623" max="15623" width="5.1640625" style="143" customWidth="1"/>
    <col min="15624" max="15624" width="17.1640625" style="143" customWidth="1"/>
    <col min="15625" max="15625" width="4.5" style="143" customWidth="1"/>
    <col min="15626" max="15626" width="16.1640625" style="143" customWidth="1"/>
    <col min="15627" max="15627" width="4.83203125" style="143" customWidth="1"/>
    <col min="15628" max="15628" width="17.1640625" style="143" customWidth="1"/>
    <col min="15629" max="15629" width="4.1640625" style="143" customWidth="1"/>
    <col min="15630" max="15871" width="12" style="143"/>
    <col min="15872" max="15872" width="7" style="143" customWidth="1"/>
    <col min="15873" max="15873" width="2.33203125" style="143" customWidth="1"/>
    <col min="15874" max="15875" width="12" style="143"/>
    <col min="15876" max="15876" width="6.5" style="143" customWidth="1"/>
    <col min="15877" max="15877" width="5.1640625" style="143" customWidth="1"/>
    <col min="15878" max="15878" width="12" style="143"/>
    <col min="15879" max="15879" width="5.1640625" style="143" customWidth="1"/>
    <col min="15880" max="15880" width="17.1640625" style="143" customWidth="1"/>
    <col min="15881" max="15881" width="4.5" style="143" customWidth="1"/>
    <col min="15882" max="15882" width="16.1640625" style="143" customWidth="1"/>
    <col min="15883" max="15883" width="4.83203125" style="143" customWidth="1"/>
    <col min="15884" max="15884" width="17.1640625" style="143" customWidth="1"/>
    <col min="15885" max="15885" width="4.1640625" style="143" customWidth="1"/>
    <col min="15886" max="16127" width="12" style="143"/>
    <col min="16128" max="16128" width="7" style="143" customWidth="1"/>
    <col min="16129" max="16129" width="2.33203125" style="143" customWidth="1"/>
    <col min="16130" max="16131" width="12" style="143"/>
    <col min="16132" max="16132" width="6.5" style="143" customWidth="1"/>
    <col min="16133" max="16133" width="5.1640625" style="143" customWidth="1"/>
    <col min="16134" max="16134" width="12" style="143"/>
    <col min="16135" max="16135" width="5.1640625" style="143" customWidth="1"/>
    <col min="16136" max="16136" width="17.1640625" style="143" customWidth="1"/>
    <col min="16137" max="16137" width="4.5" style="143" customWidth="1"/>
    <col min="16138" max="16138" width="16.1640625" style="143" customWidth="1"/>
    <col min="16139" max="16139" width="4.83203125" style="143" customWidth="1"/>
    <col min="16140" max="16140" width="17.1640625" style="143" customWidth="1"/>
    <col min="16141" max="16141" width="4.1640625" style="143" customWidth="1"/>
    <col min="16142" max="16384" width="12" style="143"/>
  </cols>
  <sheetData>
    <row r="1" spans="1:14" x14ac:dyDescent="0.25">
      <c r="J1" s="11" t="str">
        <f>+'Unpro. Amount Change'!J1</f>
        <v>W24-09-04</v>
      </c>
    </row>
    <row r="2" spans="1:14" x14ac:dyDescent="0.25">
      <c r="J2" s="74" t="str">
        <f>+'Unpro. Amount Change'!J2</f>
        <v>UPT Exhibit A</v>
      </c>
    </row>
    <row r="3" spans="1:14" x14ac:dyDescent="0.25">
      <c r="J3" s="74" t="s">
        <v>68</v>
      </c>
    </row>
    <row r="4" spans="1:14" x14ac:dyDescent="0.25">
      <c r="M4" s="144"/>
    </row>
    <row r="5" spans="1:14" x14ac:dyDescent="0.25">
      <c r="C5" s="145" t="s">
        <v>27</v>
      </c>
      <c r="D5" s="145"/>
      <c r="E5" s="146"/>
      <c r="F5" s="146"/>
      <c r="G5" s="146"/>
      <c r="H5" s="146"/>
      <c r="I5" s="146"/>
      <c r="J5" s="146"/>
      <c r="K5" s="146"/>
      <c r="L5" s="146"/>
      <c r="M5" s="144"/>
    </row>
    <row r="6" spans="1:14" x14ac:dyDescent="0.25">
      <c r="C6" s="301" t="s">
        <v>69</v>
      </c>
      <c r="D6" s="301"/>
      <c r="E6" s="301"/>
      <c r="F6" s="301"/>
      <c r="G6" s="301"/>
      <c r="H6" s="301"/>
      <c r="I6" s="301"/>
      <c r="J6" s="301"/>
      <c r="K6" s="301"/>
      <c r="L6" s="301"/>
      <c r="M6" s="147"/>
    </row>
    <row r="7" spans="1:14" hidden="1" x14ac:dyDescent="0.25">
      <c r="C7" s="145" t="s">
        <v>70</v>
      </c>
      <c r="D7" s="145"/>
      <c r="E7" s="146"/>
      <c r="F7" s="146"/>
      <c r="G7" s="146"/>
      <c r="H7" s="146"/>
      <c r="I7" s="146"/>
      <c r="J7" s="146"/>
      <c r="K7" s="146"/>
      <c r="L7" s="146"/>
      <c r="M7" s="144"/>
    </row>
    <row r="8" spans="1:14" ht="16.5" thickBot="1" x14ac:dyDescent="0.3">
      <c r="C8" s="145" t="s">
        <v>30</v>
      </c>
      <c r="D8" s="145"/>
      <c r="E8" s="146"/>
      <c r="F8" s="146"/>
      <c r="G8" s="146"/>
      <c r="H8" s="146"/>
      <c r="I8" s="146"/>
      <c r="J8" s="146"/>
      <c r="K8" s="146"/>
      <c r="L8" s="146"/>
    </row>
    <row r="9" spans="1:14" x14ac:dyDescent="0.25">
      <c r="D9" s="143" t="str">
        <f>+'[33]Effects of CPA Avg. Bill'!D9</f>
        <v>UG-210755</v>
      </c>
      <c r="I9" s="148" t="s">
        <v>14</v>
      </c>
      <c r="K9" s="149" t="s">
        <v>14</v>
      </c>
    </row>
    <row r="10" spans="1:14" x14ac:dyDescent="0.25">
      <c r="D10" s="148" t="s">
        <v>71</v>
      </c>
      <c r="F10" s="148" t="s">
        <v>13</v>
      </c>
      <c r="G10" s="148" t="s">
        <v>13</v>
      </c>
      <c r="H10" s="148" t="s">
        <v>14</v>
      </c>
      <c r="I10" s="150">
        <f>+H11</f>
        <v>45597</v>
      </c>
      <c r="K10" s="151">
        <f>+H11</f>
        <v>45597</v>
      </c>
    </row>
    <row r="11" spans="1:14" x14ac:dyDescent="0.25">
      <c r="A11" s="152" t="s">
        <v>32</v>
      </c>
      <c r="D11" s="148" t="s">
        <v>72</v>
      </c>
      <c r="E11" s="148" t="s">
        <v>73</v>
      </c>
      <c r="F11" s="150">
        <f>+'[33]Effects of CPA Avg. Bill'!F11</f>
        <v>45444</v>
      </c>
      <c r="G11" s="150">
        <f>+F11</f>
        <v>45444</v>
      </c>
      <c r="H11" s="150">
        <v>45597</v>
      </c>
      <c r="I11" s="148" t="s">
        <v>74</v>
      </c>
      <c r="J11" s="148" t="s">
        <v>75</v>
      </c>
      <c r="K11" s="153" t="s">
        <v>76</v>
      </c>
      <c r="L11" s="148"/>
      <c r="N11" s="146"/>
    </row>
    <row r="12" spans="1:14" x14ac:dyDescent="0.25">
      <c r="A12" s="152" t="s">
        <v>40</v>
      </c>
      <c r="C12" s="154" t="s">
        <v>77</v>
      </c>
      <c r="D12" s="154" t="s">
        <v>78</v>
      </c>
      <c r="E12" s="154" t="s">
        <v>79</v>
      </c>
      <c r="F12" s="154" t="s">
        <v>80</v>
      </c>
      <c r="G12" s="154" t="s">
        <v>81</v>
      </c>
      <c r="H12" s="154" t="s">
        <v>76</v>
      </c>
      <c r="I12" s="154" t="s">
        <v>81</v>
      </c>
      <c r="J12" s="154" t="s">
        <v>82</v>
      </c>
      <c r="K12" s="155" t="s">
        <v>83</v>
      </c>
      <c r="L12" s="148"/>
      <c r="N12" s="146"/>
    </row>
    <row r="13" spans="1:14" x14ac:dyDescent="0.25">
      <c r="A13" s="152"/>
      <c r="C13" s="148"/>
      <c r="D13" s="148"/>
      <c r="E13" s="148"/>
      <c r="F13" s="148"/>
      <c r="G13" s="148" t="s">
        <v>84</v>
      </c>
      <c r="H13" s="148"/>
      <c r="I13" s="148" t="s">
        <v>85</v>
      </c>
      <c r="K13" s="155"/>
      <c r="L13" s="148"/>
      <c r="N13" s="146"/>
    </row>
    <row r="14" spans="1:14" x14ac:dyDescent="0.25">
      <c r="C14" s="148" t="s">
        <v>46</v>
      </c>
      <c r="D14" s="148" t="s">
        <v>47</v>
      </c>
      <c r="E14" s="148" t="s">
        <v>48</v>
      </c>
      <c r="F14" s="148" t="s">
        <v>49</v>
      </c>
      <c r="G14" s="148" t="s">
        <v>86</v>
      </c>
      <c r="H14" s="148" t="s">
        <v>51</v>
      </c>
      <c r="I14" s="148" t="s">
        <v>52</v>
      </c>
      <c r="J14" s="148" t="s">
        <v>53</v>
      </c>
      <c r="K14" s="156" t="s">
        <v>87</v>
      </c>
    </row>
    <row r="15" spans="1:14" x14ac:dyDescent="0.25">
      <c r="K15" s="156"/>
    </row>
    <row r="16" spans="1:14" x14ac:dyDescent="0.25">
      <c r="A16" s="143">
        <v>1</v>
      </c>
      <c r="C16" s="143" t="s">
        <v>88</v>
      </c>
      <c r="D16" s="157">
        <f>+'[33]Effects of CPA Avg. Bill'!D16</f>
        <v>54</v>
      </c>
      <c r="E16" s="158">
        <f>+'[33]Effects of CPA Avg. Bill'!E16</f>
        <v>5</v>
      </c>
      <c r="F16" s="159">
        <f>+'[33]Effects of CPA Avg. Bill'!F16</f>
        <v>1.6048500000000001</v>
      </c>
      <c r="G16" s="160">
        <f>+E16+(D16*F16)</f>
        <v>91.661900000000003</v>
      </c>
      <c r="H16" s="159">
        <f>+F16+'Unpro. Amount Change'!J16</f>
        <v>1.604980393278671</v>
      </c>
      <c r="I16" s="160">
        <f>E16+(D16*H16)</f>
        <v>91.66894123704823</v>
      </c>
      <c r="J16" s="161">
        <f>+I16-G16</f>
        <v>7.0412370482273445E-3</v>
      </c>
      <c r="K16" s="162">
        <f>+J16/G16</f>
        <v>7.6817489581029248E-5</v>
      </c>
      <c r="L16" s="160"/>
      <c r="N16" s="163"/>
    </row>
    <row r="17" spans="1:14" x14ac:dyDescent="0.25">
      <c r="D17" s="157"/>
      <c r="E17" s="158"/>
      <c r="F17" s="159"/>
      <c r="G17" s="160"/>
      <c r="H17" s="159"/>
      <c r="I17" s="160"/>
      <c r="J17" s="161"/>
      <c r="K17" s="162"/>
    </row>
    <row r="18" spans="1:14" x14ac:dyDescent="0.25">
      <c r="A18" s="143">
        <v>2</v>
      </c>
      <c r="C18" s="143" t="s">
        <v>89</v>
      </c>
      <c r="D18" s="157">
        <f>+'[33]Effects of CPA Avg. Bill'!D18</f>
        <v>271</v>
      </c>
      <c r="E18" s="158">
        <f>+'[33]Effects of CPA Avg. Bill'!E18</f>
        <v>13</v>
      </c>
      <c r="F18" s="159">
        <f>+'[33]Effects of CPA Avg. Bill'!F18</f>
        <v>1.5259</v>
      </c>
      <c r="G18" s="160">
        <f>+E18+(D18*F18)</f>
        <v>426.51890000000003</v>
      </c>
      <c r="H18" s="159">
        <f>+F18+'Unpro. Amount Change'!J17</f>
        <v>1.5259994987039336</v>
      </c>
      <c r="I18" s="160">
        <f>E18+(D18*H18)</f>
        <v>426.54586414876599</v>
      </c>
      <c r="J18" s="161">
        <f t="shared" ref="J18:J30" si="0">+I18-G18</f>
        <v>2.6964148765955542E-2</v>
      </c>
      <c r="K18" s="162">
        <f t="shared" ref="K18:K42" si="1">+J18/G18</f>
        <v>6.3219118228888667E-5</v>
      </c>
      <c r="L18" s="160"/>
      <c r="N18" s="163"/>
    </row>
    <row r="19" spans="1:14" x14ac:dyDescent="0.25">
      <c r="D19" s="157"/>
      <c r="E19" s="158"/>
      <c r="F19" s="159"/>
      <c r="G19" s="160"/>
      <c r="H19" s="159"/>
      <c r="J19" s="161"/>
      <c r="K19" s="162"/>
    </row>
    <row r="20" spans="1:14" x14ac:dyDescent="0.25">
      <c r="A20" s="143">
        <v>3</v>
      </c>
      <c r="C20" s="143" t="s">
        <v>90</v>
      </c>
      <c r="D20" s="157"/>
      <c r="E20" s="158">
        <f>+'[33]Effects of CPA Avg. Bill'!E20</f>
        <v>60</v>
      </c>
      <c r="F20" s="159"/>
      <c r="G20" s="160"/>
      <c r="H20" s="159"/>
      <c r="J20" s="161"/>
      <c r="K20" s="162"/>
      <c r="L20" s="164"/>
      <c r="N20" s="163"/>
    </row>
    <row r="21" spans="1:14" x14ac:dyDescent="0.25">
      <c r="A21" s="143">
        <v>4</v>
      </c>
      <c r="C21" s="143" t="s">
        <v>91</v>
      </c>
      <c r="D21" s="157"/>
      <c r="E21" s="158"/>
      <c r="F21" s="159">
        <f>+'[33]Effects of CPA Avg. Bill'!F21</f>
        <v>1.46</v>
      </c>
      <c r="G21" s="160">
        <f>+E20+(500*F21)</f>
        <v>790</v>
      </c>
      <c r="H21" s="159">
        <f>+F21+'Unpro. Amount Change'!J18</f>
        <v>1.460063152145419</v>
      </c>
      <c r="I21" s="160">
        <f>+E20+(500*H21)</f>
        <v>790.03157607270953</v>
      </c>
      <c r="J21" s="161"/>
      <c r="K21" s="162"/>
      <c r="L21" s="164"/>
      <c r="N21" s="163"/>
    </row>
    <row r="22" spans="1:14" x14ac:dyDescent="0.25">
      <c r="A22" s="143">
        <v>5</v>
      </c>
      <c r="C22" s="143" t="s">
        <v>92</v>
      </c>
      <c r="D22" s="157"/>
      <c r="E22" s="158"/>
      <c r="F22" s="159">
        <f>+'[33]Effects of CPA Avg. Bill'!F22</f>
        <v>1.42069</v>
      </c>
      <c r="G22" s="160">
        <f>+(D24-500)*F22</f>
        <v>2119.66948</v>
      </c>
      <c r="H22" s="159">
        <f>+F22+'Unpro. Amount Change'!J18</f>
        <v>1.4207531521454191</v>
      </c>
      <c r="I22" s="160">
        <f>+(D24-500)*H22</f>
        <v>2119.7637030009651</v>
      </c>
      <c r="J22" s="161"/>
      <c r="K22" s="162"/>
      <c r="L22" s="164"/>
      <c r="N22" s="163"/>
    </row>
    <row r="23" spans="1:14" x14ac:dyDescent="0.25">
      <c r="A23" s="143">
        <v>6</v>
      </c>
      <c r="C23" s="143" t="s">
        <v>93</v>
      </c>
      <c r="D23" s="157"/>
      <c r="E23" s="158"/>
      <c r="F23" s="159">
        <f>+'[33]Effects of CPA Avg. Bill'!F23</f>
        <v>1.41475</v>
      </c>
      <c r="G23" s="160"/>
      <c r="H23" s="159">
        <f>+F23+'Unpro. Amount Change'!J18</f>
        <v>1.414813152145419</v>
      </c>
      <c r="J23" s="161"/>
      <c r="K23" s="162"/>
      <c r="L23" s="164"/>
    </row>
    <row r="24" spans="1:14" x14ac:dyDescent="0.25">
      <c r="A24" s="143">
        <v>7</v>
      </c>
      <c r="C24" s="152" t="s">
        <v>94</v>
      </c>
      <c r="D24" s="157">
        <f>+'[33]Effects of CPA Avg. Bill'!D24</f>
        <v>1992</v>
      </c>
      <c r="E24" s="158"/>
      <c r="F24" s="159"/>
      <c r="G24" s="160">
        <f>+SUM((G21:G23))</f>
        <v>2909.66948</v>
      </c>
      <c r="H24" s="160"/>
      <c r="I24" s="160">
        <f>+SUM(I21:I23)</f>
        <v>2909.7952790736745</v>
      </c>
      <c r="J24" s="161">
        <f t="shared" si="0"/>
        <v>0.12579907367444321</v>
      </c>
      <c r="K24" s="162">
        <f t="shared" si="1"/>
        <v>4.3234832869898062E-5</v>
      </c>
      <c r="L24" s="164"/>
      <c r="N24" s="163"/>
    </row>
    <row r="25" spans="1:14" x14ac:dyDescent="0.25">
      <c r="C25" s="144"/>
      <c r="D25" s="157"/>
      <c r="E25" s="158"/>
      <c r="F25" s="159"/>
      <c r="G25" s="160"/>
      <c r="H25" s="159"/>
      <c r="J25" s="161"/>
      <c r="K25" s="162"/>
      <c r="L25" s="164"/>
      <c r="N25" s="163"/>
    </row>
    <row r="26" spans="1:14" x14ac:dyDescent="0.25">
      <c r="A26" s="143">
        <v>8</v>
      </c>
      <c r="C26" s="143" t="s">
        <v>95</v>
      </c>
      <c r="D26" s="157"/>
      <c r="E26" s="158">
        <f>+'[33]Effects of CPA Avg. Bill'!E26</f>
        <v>125</v>
      </c>
      <c r="F26" s="159"/>
      <c r="G26" s="160"/>
      <c r="H26" s="159"/>
      <c r="J26" s="161"/>
      <c r="K26" s="162"/>
      <c r="L26" s="164"/>
      <c r="N26" s="163"/>
    </row>
    <row r="27" spans="1:14" x14ac:dyDescent="0.25">
      <c r="A27" s="143">
        <v>9</v>
      </c>
      <c r="C27" s="143" t="s">
        <v>96</v>
      </c>
      <c r="D27" s="157"/>
      <c r="E27" s="158"/>
      <c r="F27" s="159">
        <f>+'[33]Effects of CPA Avg. Bill'!F27</f>
        <v>1.41357</v>
      </c>
      <c r="G27" s="160">
        <f>+E26+(+F27*D30)</f>
        <v>23645.391230000001</v>
      </c>
      <c r="H27" s="159">
        <f>+F27+'Unpro. Amount Change'!J19</f>
        <v>1.4136222481778646</v>
      </c>
      <c r="I27" s="160">
        <f>+E26+(+H27*D30)</f>
        <v>23646.26058743149</v>
      </c>
      <c r="J27" s="161"/>
      <c r="K27" s="162"/>
    </row>
    <row r="28" spans="1:14" x14ac:dyDescent="0.25">
      <c r="A28" s="143">
        <v>10</v>
      </c>
      <c r="B28" s="144"/>
      <c r="C28" s="143" t="s">
        <v>97</v>
      </c>
      <c r="D28" s="157"/>
      <c r="E28" s="158"/>
      <c r="F28" s="159">
        <f>+'[33]Effects of CPA Avg. Bill'!F28</f>
        <v>1.3748400000000001</v>
      </c>
      <c r="G28" s="160"/>
      <c r="H28" s="159">
        <f>+F28+'Unpro. Amount Change'!J19</f>
        <v>1.3748922481778647</v>
      </c>
      <c r="I28" s="160"/>
      <c r="J28" s="161"/>
      <c r="K28" s="162"/>
    </row>
    <row r="29" spans="1:14" x14ac:dyDescent="0.25">
      <c r="A29" s="143">
        <v>11</v>
      </c>
      <c r="B29" s="144"/>
      <c r="C29" s="143" t="s">
        <v>98</v>
      </c>
      <c r="D29" s="157"/>
      <c r="E29" s="158"/>
      <c r="F29" s="159">
        <f>+'[33]Effects of CPA Avg. Bill'!F29</f>
        <v>1.2790299999999999</v>
      </c>
      <c r="G29" s="160"/>
      <c r="H29" s="159">
        <f>+F29+'Unpro. Amount Change'!J19</f>
        <v>1.2790822481778645</v>
      </c>
      <c r="I29" s="160"/>
      <c r="J29" s="161"/>
      <c r="K29" s="162"/>
    </row>
    <row r="30" spans="1:14" x14ac:dyDescent="0.25">
      <c r="A30" s="143">
        <v>12</v>
      </c>
      <c r="B30" s="144"/>
      <c r="C30" s="152" t="s">
        <v>99</v>
      </c>
      <c r="D30" s="165">
        <f>+'[33]Effects of CPA Avg. Bill'!D30</f>
        <v>16639</v>
      </c>
      <c r="E30" s="158"/>
      <c r="F30" s="159"/>
      <c r="G30" s="160">
        <f>+SUM(G27:G29)</f>
        <v>23645.391230000001</v>
      </c>
      <c r="H30" s="160"/>
      <c r="I30" s="160">
        <f>+SUM(I27:I29)</f>
        <v>23646.26058743149</v>
      </c>
      <c r="J30" s="161">
        <f t="shared" si="0"/>
        <v>0.86935743148933398</v>
      </c>
      <c r="K30" s="162">
        <f t="shared" si="1"/>
        <v>3.6766464256524547E-5</v>
      </c>
    </row>
    <row r="31" spans="1:14" x14ac:dyDescent="0.25">
      <c r="D31" s="165"/>
      <c r="E31" s="158"/>
      <c r="F31" s="159"/>
      <c r="G31" s="160"/>
      <c r="H31" s="159"/>
      <c r="J31" s="161"/>
      <c r="K31" s="162"/>
    </row>
    <row r="32" spans="1:14" x14ac:dyDescent="0.25">
      <c r="A32" s="143">
        <v>13</v>
      </c>
      <c r="C32" s="143" t="s">
        <v>100</v>
      </c>
      <c r="D32" s="165"/>
      <c r="E32" s="158">
        <f>+'[33]Effects of CPA Avg. Bill'!E32</f>
        <v>163</v>
      </c>
      <c r="F32" s="159"/>
      <c r="G32" s="160"/>
      <c r="H32" s="159"/>
      <c r="J32" s="161"/>
      <c r="K32" s="162"/>
    </row>
    <row r="33" spans="1:14" x14ac:dyDescent="0.25">
      <c r="A33" s="143">
        <v>14</v>
      </c>
      <c r="C33" s="143" t="s">
        <v>101</v>
      </c>
      <c r="D33" s="165"/>
      <c r="E33" s="158"/>
      <c r="F33" s="159">
        <f>+'[33]Effects of CPA Avg. Bill'!F33</f>
        <v>1.3115399999999999</v>
      </c>
      <c r="G33" s="160">
        <f>+E32+(D35*F33)</f>
        <v>30634.008819999999</v>
      </c>
      <c r="H33" s="159">
        <f>+F33+'Unpro. Amount Change'!J20</f>
        <v>1.3115590819432201</v>
      </c>
      <c r="I33" s="160">
        <f>+E32+(D35*H33)</f>
        <v>30634.452150786834</v>
      </c>
      <c r="J33" s="161"/>
      <c r="K33" s="162"/>
    </row>
    <row r="34" spans="1:14" x14ac:dyDescent="0.25">
      <c r="A34" s="143">
        <v>15</v>
      </c>
      <c r="C34" s="143" t="s">
        <v>102</v>
      </c>
      <c r="D34" s="165"/>
      <c r="E34" s="158"/>
      <c r="F34" s="159">
        <f>+'[33]Effects of CPA Avg. Bill'!F34</f>
        <v>1.24617</v>
      </c>
      <c r="G34" s="160"/>
      <c r="H34" s="159">
        <f>+F34+'Unpro. Amount Change'!J20</f>
        <v>1.2461890819432202</v>
      </c>
      <c r="J34" s="161"/>
      <c r="K34" s="162"/>
    </row>
    <row r="35" spans="1:14" x14ac:dyDescent="0.25">
      <c r="A35" s="143">
        <v>16</v>
      </c>
      <c r="C35" s="152" t="s">
        <v>103</v>
      </c>
      <c r="D35" s="165">
        <f>+'[33]Effects of CPA Avg. Bill'!D35</f>
        <v>23233</v>
      </c>
      <c r="E35" s="158"/>
      <c r="F35" s="159"/>
      <c r="G35" s="166">
        <f>+G33+G34</f>
        <v>30634.008819999999</v>
      </c>
      <c r="H35" s="160"/>
      <c r="I35" s="160">
        <f>+I33+I34</f>
        <v>30634.452150786834</v>
      </c>
      <c r="J35" s="161">
        <f>+I35-G35</f>
        <v>0.44333078683484928</v>
      </c>
      <c r="K35" s="162">
        <f t="shared" si="1"/>
        <v>1.4471850205429604E-5</v>
      </c>
    </row>
    <row r="36" spans="1:14" x14ac:dyDescent="0.25">
      <c r="E36" s="158"/>
      <c r="F36" s="159"/>
      <c r="K36" s="162"/>
    </row>
    <row r="37" spans="1:14" x14ac:dyDescent="0.25">
      <c r="A37" s="143">
        <v>17</v>
      </c>
      <c r="C37" s="143" t="s">
        <v>104</v>
      </c>
      <c r="E37" s="158">
        <v>625</v>
      </c>
      <c r="F37" s="159"/>
      <c r="J37" s="161"/>
      <c r="K37" s="162"/>
      <c r="N37" s="163"/>
    </row>
    <row r="38" spans="1:14" x14ac:dyDescent="0.25">
      <c r="A38" s="143">
        <v>18</v>
      </c>
      <c r="C38" s="143" t="s">
        <v>105</v>
      </c>
      <c r="E38" s="167"/>
      <c r="F38" s="168">
        <v>0.35907</v>
      </c>
      <c r="G38" s="160">
        <f>+E37+(F38*100000)</f>
        <v>36532</v>
      </c>
      <c r="H38" s="159">
        <f>+F38+'Unpro. Amount Change'!J23</f>
        <v>0.35908090396755438</v>
      </c>
      <c r="I38" s="160">
        <f>+E37+(H38*100000)</f>
        <v>36533.09039675544</v>
      </c>
      <c r="J38" s="161"/>
      <c r="K38" s="162"/>
    </row>
    <row r="39" spans="1:14" x14ac:dyDescent="0.25">
      <c r="A39" s="143">
        <v>19</v>
      </c>
      <c r="C39" s="143" t="s">
        <v>106</v>
      </c>
      <c r="F39" s="168">
        <v>0.31985999999999998</v>
      </c>
      <c r="G39" s="160">
        <f>+(+D42-(100000))*F39</f>
        <v>59455.896659999999</v>
      </c>
      <c r="H39" s="159">
        <f>+F39+'Unpro. Amount Change'!J23</f>
        <v>0.31987090396755435</v>
      </c>
      <c r="I39" s="160">
        <f>+(+D42-(100000))*H39</f>
        <v>59457.923500392972</v>
      </c>
      <c r="J39" s="161"/>
      <c r="K39" s="162"/>
    </row>
    <row r="40" spans="1:14" x14ac:dyDescent="0.25">
      <c r="A40" s="143">
        <v>20</v>
      </c>
      <c r="C40" s="143" t="s">
        <v>106</v>
      </c>
      <c r="F40" s="168">
        <v>0.31102999999999997</v>
      </c>
      <c r="H40" s="159">
        <f>+F40+'Unpro. Amount Change'!J23</f>
        <v>0.31104090396755435</v>
      </c>
      <c r="J40" s="161"/>
      <c r="K40" s="162"/>
    </row>
    <row r="41" spans="1:14" x14ac:dyDescent="0.25">
      <c r="A41" s="143">
        <v>21</v>
      </c>
      <c r="C41" s="143" t="s">
        <v>107</v>
      </c>
      <c r="F41" s="168">
        <v>0.30385000000000001</v>
      </c>
      <c r="H41" s="159">
        <f>+F41+'Unpro. Amount Change'!J23</f>
        <v>0.30386090396755439</v>
      </c>
      <c r="J41" s="161"/>
      <c r="K41" s="162"/>
    </row>
    <row r="42" spans="1:14" ht="16.5" thickBot="1" x14ac:dyDescent="0.3">
      <c r="A42" s="143">
        <v>22</v>
      </c>
      <c r="C42" s="152" t="s">
        <v>108</v>
      </c>
      <c r="D42" s="165">
        <v>285881</v>
      </c>
      <c r="G42" s="169">
        <f>+SUM(G38:G41)</f>
        <v>95987.896659999999</v>
      </c>
      <c r="H42" s="169"/>
      <c r="I42" s="169">
        <f>+SUM(I38:I41)</f>
        <v>95991.013897148412</v>
      </c>
      <c r="J42" s="161">
        <f t="shared" ref="J42" si="2">+I42-G42</f>
        <v>3.117237148413551</v>
      </c>
      <c r="K42" s="170">
        <f t="shared" si="1"/>
        <v>3.2475314668631175E-5</v>
      </c>
    </row>
  </sheetData>
  <mergeCells count="1">
    <mergeCell ref="C6:L6"/>
  </mergeCells>
  <printOptions horizontalCentered="1"/>
  <pageMargins left="0.5" right="0.5" top="1" bottom="1" header="0.5" footer="0.5"/>
  <pageSetup scale="63" orientation="portrait" r:id="rId1"/>
  <headerFooter scaleWithDoc="0" alignWithMargins="0">
    <oddFooter>&amp;LTab Name: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9E84-36BF-4F0C-BA32-E5BDA71EDBC2}">
  <dimension ref="A1:Q39"/>
  <sheetViews>
    <sheetView tabSelected="1" workbookViewId="0">
      <selection activeCell="A12" sqref="A12:G12 J39"/>
    </sheetView>
  </sheetViews>
  <sheetFormatPr defaultRowHeight="10.5" x14ac:dyDescent="0.15"/>
  <cols>
    <col min="1" max="1" width="7.1640625" style="171" customWidth="1"/>
    <col min="2" max="2" width="4.1640625" style="12" customWidth="1"/>
    <col min="3" max="5" width="9.33203125" style="12"/>
    <col min="6" max="6" width="27.6640625" style="12" customWidth="1"/>
    <col min="7" max="7" width="16.5" style="12" bestFit="1" customWidth="1"/>
    <col min="8" max="8" width="16" style="12" customWidth="1"/>
    <col min="9" max="9" width="15.83203125" style="12" customWidth="1"/>
    <col min="10" max="10" width="14.33203125" style="12" bestFit="1" customWidth="1"/>
    <col min="11" max="11" width="15.5" style="12" customWidth="1"/>
    <col min="12" max="12" width="14.33203125" style="12" bestFit="1" customWidth="1"/>
    <col min="13" max="13" width="14.5" style="12" customWidth="1"/>
    <col min="14" max="16" width="9.33203125" style="12"/>
    <col min="17" max="17" width="16.6640625" style="12" customWidth="1"/>
    <col min="18" max="254" width="9.33203125" style="12"/>
    <col min="255" max="255" width="7.1640625" style="12" customWidth="1"/>
    <col min="256" max="256" width="4.1640625" style="12" customWidth="1"/>
    <col min="257" max="260" width="9.33203125" style="12"/>
    <col min="261" max="261" width="14.5" style="12" customWidth="1"/>
    <col min="262" max="262" width="16" style="12" customWidth="1"/>
    <col min="263" max="263" width="15.83203125" style="12" customWidth="1"/>
    <col min="264" max="264" width="4.83203125" style="12" customWidth="1"/>
    <col min="265" max="265" width="18.5" style="12" customWidth="1"/>
    <col min="266" max="266" width="4.83203125" style="12" customWidth="1"/>
    <col min="267" max="267" width="0" style="12" hidden="1" customWidth="1"/>
    <col min="268" max="268" width="6" style="12" customWidth="1"/>
    <col min="269" max="269" width="14.5" style="12" customWidth="1"/>
    <col min="270" max="272" width="9.33203125" style="12"/>
    <col min="273" max="273" width="16.6640625" style="12" customWidth="1"/>
    <col min="274" max="510" width="9.33203125" style="12"/>
    <col min="511" max="511" width="7.1640625" style="12" customWidth="1"/>
    <col min="512" max="512" width="4.1640625" style="12" customWidth="1"/>
    <col min="513" max="516" width="9.33203125" style="12"/>
    <col min="517" max="517" width="14.5" style="12" customWidth="1"/>
    <col min="518" max="518" width="16" style="12" customWidth="1"/>
    <col min="519" max="519" width="15.83203125" style="12" customWidth="1"/>
    <col min="520" max="520" width="4.83203125" style="12" customWidth="1"/>
    <col min="521" max="521" width="18.5" style="12" customWidth="1"/>
    <col min="522" max="522" width="4.83203125" style="12" customWidth="1"/>
    <col min="523" max="523" width="0" style="12" hidden="1" customWidth="1"/>
    <col min="524" max="524" width="6" style="12" customWidth="1"/>
    <col min="525" max="525" width="14.5" style="12" customWidth="1"/>
    <col min="526" max="528" width="9.33203125" style="12"/>
    <col min="529" max="529" width="16.6640625" style="12" customWidth="1"/>
    <col min="530" max="766" width="9.33203125" style="12"/>
    <col min="767" max="767" width="7.1640625" style="12" customWidth="1"/>
    <col min="768" max="768" width="4.1640625" style="12" customWidth="1"/>
    <col min="769" max="772" width="9.33203125" style="12"/>
    <col min="773" max="773" width="14.5" style="12" customWidth="1"/>
    <col min="774" max="774" width="16" style="12" customWidth="1"/>
    <col min="775" max="775" width="15.83203125" style="12" customWidth="1"/>
    <col min="776" max="776" width="4.83203125" style="12" customWidth="1"/>
    <col min="777" max="777" width="18.5" style="12" customWidth="1"/>
    <col min="778" max="778" width="4.83203125" style="12" customWidth="1"/>
    <col min="779" max="779" width="0" style="12" hidden="1" customWidth="1"/>
    <col min="780" max="780" width="6" style="12" customWidth="1"/>
    <col min="781" max="781" width="14.5" style="12" customWidth="1"/>
    <col min="782" max="784" width="9.33203125" style="12"/>
    <col min="785" max="785" width="16.6640625" style="12" customWidth="1"/>
    <col min="786" max="1022" width="9.33203125" style="12"/>
    <col min="1023" max="1023" width="7.1640625" style="12" customWidth="1"/>
    <col min="1024" max="1024" width="4.1640625" style="12" customWidth="1"/>
    <col min="1025" max="1028" width="9.33203125" style="12"/>
    <col min="1029" max="1029" width="14.5" style="12" customWidth="1"/>
    <col min="1030" max="1030" width="16" style="12" customWidth="1"/>
    <col min="1031" max="1031" width="15.83203125" style="12" customWidth="1"/>
    <col min="1032" max="1032" width="4.83203125" style="12" customWidth="1"/>
    <col min="1033" max="1033" width="18.5" style="12" customWidth="1"/>
    <col min="1034" max="1034" width="4.83203125" style="12" customWidth="1"/>
    <col min="1035" max="1035" width="0" style="12" hidden="1" customWidth="1"/>
    <col min="1036" max="1036" width="6" style="12" customWidth="1"/>
    <col min="1037" max="1037" width="14.5" style="12" customWidth="1"/>
    <col min="1038" max="1040" width="9.33203125" style="12"/>
    <col min="1041" max="1041" width="16.6640625" style="12" customWidth="1"/>
    <col min="1042" max="1278" width="9.33203125" style="12"/>
    <col min="1279" max="1279" width="7.1640625" style="12" customWidth="1"/>
    <col min="1280" max="1280" width="4.1640625" style="12" customWidth="1"/>
    <col min="1281" max="1284" width="9.33203125" style="12"/>
    <col min="1285" max="1285" width="14.5" style="12" customWidth="1"/>
    <col min="1286" max="1286" width="16" style="12" customWidth="1"/>
    <col min="1287" max="1287" width="15.83203125" style="12" customWidth="1"/>
    <col min="1288" max="1288" width="4.83203125" style="12" customWidth="1"/>
    <col min="1289" max="1289" width="18.5" style="12" customWidth="1"/>
    <col min="1290" max="1290" width="4.83203125" style="12" customWidth="1"/>
    <col min="1291" max="1291" width="0" style="12" hidden="1" customWidth="1"/>
    <col min="1292" max="1292" width="6" style="12" customWidth="1"/>
    <col min="1293" max="1293" width="14.5" style="12" customWidth="1"/>
    <col min="1294" max="1296" width="9.33203125" style="12"/>
    <col min="1297" max="1297" width="16.6640625" style="12" customWidth="1"/>
    <col min="1298" max="1534" width="9.33203125" style="12"/>
    <col min="1535" max="1535" width="7.1640625" style="12" customWidth="1"/>
    <col min="1536" max="1536" width="4.1640625" style="12" customWidth="1"/>
    <col min="1537" max="1540" width="9.33203125" style="12"/>
    <col min="1541" max="1541" width="14.5" style="12" customWidth="1"/>
    <col min="1542" max="1542" width="16" style="12" customWidth="1"/>
    <col min="1543" max="1543" width="15.83203125" style="12" customWidth="1"/>
    <col min="1544" max="1544" width="4.83203125" style="12" customWidth="1"/>
    <col min="1545" max="1545" width="18.5" style="12" customWidth="1"/>
    <col min="1546" max="1546" width="4.83203125" style="12" customWidth="1"/>
    <col min="1547" max="1547" width="0" style="12" hidden="1" customWidth="1"/>
    <col min="1548" max="1548" width="6" style="12" customWidth="1"/>
    <col min="1549" max="1549" width="14.5" style="12" customWidth="1"/>
    <col min="1550" max="1552" width="9.33203125" style="12"/>
    <col min="1553" max="1553" width="16.6640625" style="12" customWidth="1"/>
    <col min="1554" max="1790" width="9.33203125" style="12"/>
    <col min="1791" max="1791" width="7.1640625" style="12" customWidth="1"/>
    <col min="1792" max="1792" width="4.1640625" style="12" customWidth="1"/>
    <col min="1793" max="1796" width="9.33203125" style="12"/>
    <col min="1797" max="1797" width="14.5" style="12" customWidth="1"/>
    <col min="1798" max="1798" width="16" style="12" customWidth="1"/>
    <col min="1799" max="1799" width="15.83203125" style="12" customWidth="1"/>
    <col min="1800" max="1800" width="4.83203125" style="12" customWidth="1"/>
    <col min="1801" max="1801" width="18.5" style="12" customWidth="1"/>
    <col min="1802" max="1802" width="4.83203125" style="12" customWidth="1"/>
    <col min="1803" max="1803" width="0" style="12" hidden="1" customWidth="1"/>
    <col min="1804" max="1804" width="6" style="12" customWidth="1"/>
    <col min="1805" max="1805" width="14.5" style="12" customWidth="1"/>
    <col min="1806" max="1808" width="9.33203125" style="12"/>
    <col min="1809" max="1809" width="16.6640625" style="12" customWidth="1"/>
    <col min="1810" max="2046" width="9.33203125" style="12"/>
    <col min="2047" max="2047" width="7.1640625" style="12" customWidth="1"/>
    <col min="2048" max="2048" width="4.1640625" style="12" customWidth="1"/>
    <col min="2049" max="2052" width="9.33203125" style="12"/>
    <col min="2053" max="2053" width="14.5" style="12" customWidth="1"/>
    <col min="2054" max="2054" width="16" style="12" customWidth="1"/>
    <col min="2055" max="2055" width="15.83203125" style="12" customWidth="1"/>
    <col min="2056" max="2056" width="4.83203125" style="12" customWidth="1"/>
    <col min="2057" max="2057" width="18.5" style="12" customWidth="1"/>
    <col min="2058" max="2058" width="4.83203125" style="12" customWidth="1"/>
    <col min="2059" max="2059" width="0" style="12" hidden="1" customWidth="1"/>
    <col min="2060" max="2060" width="6" style="12" customWidth="1"/>
    <col min="2061" max="2061" width="14.5" style="12" customWidth="1"/>
    <col min="2062" max="2064" width="9.33203125" style="12"/>
    <col min="2065" max="2065" width="16.6640625" style="12" customWidth="1"/>
    <col min="2066" max="2302" width="9.33203125" style="12"/>
    <col min="2303" max="2303" width="7.1640625" style="12" customWidth="1"/>
    <col min="2304" max="2304" width="4.1640625" style="12" customWidth="1"/>
    <col min="2305" max="2308" width="9.33203125" style="12"/>
    <col min="2309" max="2309" width="14.5" style="12" customWidth="1"/>
    <col min="2310" max="2310" width="16" style="12" customWidth="1"/>
    <col min="2311" max="2311" width="15.83203125" style="12" customWidth="1"/>
    <col min="2312" max="2312" width="4.83203125" style="12" customWidth="1"/>
    <col min="2313" max="2313" width="18.5" style="12" customWidth="1"/>
    <col min="2314" max="2314" width="4.83203125" style="12" customWidth="1"/>
    <col min="2315" max="2315" width="0" style="12" hidden="1" customWidth="1"/>
    <col min="2316" max="2316" width="6" style="12" customWidth="1"/>
    <col min="2317" max="2317" width="14.5" style="12" customWidth="1"/>
    <col min="2318" max="2320" width="9.33203125" style="12"/>
    <col min="2321" max="2321" width="16.6640625" style="12" customWidth="1"/>
    <col min="2322" max="2558" width="9.33203125" style="12"/>
    <col min="2559" max="2559" width="7.1640625" style="12" customWidth="1"/>
    <col min="2560" max="2560" width="4.1640625" style="12" customWidth="1"/>
    <col min="2561" max="2564" width="9.33203125" style="12"/>
    <col min="2565" max="2565" width="14.5" style="12" customWidth="1"/>
    <col min="2566" max="2566" width="16" style="12" customWidth="1"/>
    <col min="2567" max="2567" width="15.83203125" style="12" customWidth="1"/>
    <col min="2568" max="2568" width="4.83203125" style="12" customWidth="1"/>
    <col min="2569" max="2569" width="18.5" style="12" customWidth="1"/>
    <col min="2570" max="2570" width="4.83203125" style="12" customWidth="1"/>
    <col min="2571" max="2571" width="0" style="12" hidden="1" customWidth="1"/>
    <col min="2572" max="2572" width="6" style="12" customWidth="1"/>
    <col min="2573" max="2573" width="14.5" style="12" customWidth="1"/>
    <col min="2574" max="2576" width="9.33203125" style="12"/>
    <col min="2577" max="2577" width="16.6640625" style="12" customWidth="1"/>
    <col min="2578" max="2814" width="9.33203125" style="12"/>
    <col min="2815" max="2815" width="7.1640625" style="12" customWidth="1"/>
    <col min="2816" max="2816" width="4.1640625" style="12" customWidth="1"/>
    <col min="2817" max="2820" width="9.33203125" style="12"/>
    <col min="2821" max="2821" width="14.5" style="12" customWidth="1"/>
    <col min="2822" max="2822" width="16" style="12" customWidth="1"/>
    <col min="2823" max="2823" width="15.83203125" style="12" customWidth="1"/>
    <col min="2824" max="2824" width="4.83203125" style="12" customWidth="1"/>
    <col min="2825" max="2825" width="18.5" style="12" customWidth="1"/>
    <col min="2826" max="2826" width="4.83203125" style="12" customWidth="1"/>
    <col min="2827" max="2827" width="0" style="12" hidden="1" customWidth="1"/>
    <col min="2828" max="2828" width="6" style="12" customWidth="1"/>
    <col min="2829" max="2829" width="14.5" style="12" customWidth="1"/>
    <col min="2830" max="2832" width="9.33203125" style="12"/>
    <col min="2833" max="2833" width="16.6640625" style="12" customWidth="1"/>
    <col min="2834" max="3070" width="9.33203125" style="12"/>
    <col min="3071" max="3071" width="7.1640625" style="12" customWidth="1"/>
    <col min="3072" max="3072" width="4.1640625" style="12" customWidth="1"/>
    <col min="3073" max="3076" width="9.33203125" style="12"/>
    <col min="3077" max="3077" width="14.5" style="12" customWidth="1"/>
    <col min="3078" max="3078" width="16" style="12" customWidth="1"/>
    <col min="3079" max="3079" width="15.83203125" style="12" customWidth="1"/>
    <col min="3080" max="3080" width="4.83203125" style="12" customWidth="1"/>
    <col min="3081" max="3081" width="18.5" style="12" customWidth="1"/>
    <col min="3082" max="3082" width="4.83203125" style="12" customWidth="1"/>
    <col min="3083" max="3083" width="0" style="12" hidden="1" customWidth="1"/>
    <col min="3084" max="3084" width="6" style="12" customWidth="1"/>
    <col min="3085" max="3085" width="14.5" style="12" customWidth="1"/>
    <col min="3086" max="3088" width="9.33203125" style="12"/>
    <col min="3089" max="3089" width="16.6640625" style="12" customWidth="1"/>
    <col min="3090" max="3326" width="9.33203125" style="12"/>
    <col min="3327" max="3327" width="7.1640625" style="12" customWidth="1"/>
    <col min="3328" max="3328" width="4.1640625" style="12" customWidth="1"/>
    <col min="3329" max="3332" width="9.33203125" style="12"/>
    <col min="3333" max="3333" width="14.5" style="12" customWidth="1"/>
    <col min="3334" max="3334" width="16" style="12" customWidth="1"/>
    <col min="3335" max="3335" width="15.83203125" style="12" customWidth="1"/>
    <col min="3336" max="3336" width="4.83203125" style="12" customWidth="1"/>
    <col min="3337" max="3337" width="18.5" style="12" customWidth="1"/>
    <col min="3338" max="3338" width="4.83203125" style="12" customWidth="1"/>
    <col min="3339" max="3339" width="0" style="12" hidden="1" customWidth="1"/>
    <col min="3340" max="3340" width="6" style="12" customWidth="1"/>
    <col min="3341" max="3341" width="14.5" style="12" customWidth="1"/>
    <col min="3342" max="3344" width="9.33203125" style="12"/>
    <col min="3345" max="3345" width="16.6640625" style="12" customWidth="1"/>
    <col min="3346" max="3582" width="9.33203125" style="12"/>
    <col min="3583" max="3583" width="7.1640625" style="12" customWidth="1"/>
    <col min="3584" max="3584" width="4.1640625" style="12" customWidth="1"/>
    <col min="3585" max="3588" width="9.33203125" style="12"/>
    <col min="3589" max="3589" width="14.5" style="12" customWidth="1"/>
    <col min="3590" max="3590" width="16" style="12" customWidth="1"/>
    <col min="3591" max="3591" width="15.83203125" style="12" customWidth="1"/>
    <col min="3592" max="3592" width="4.83203125" style="12" customWidth="1"/>
    <col min="3593" max="3593" width="18.5" style="12" customWidth="1"/>
    <col min="3594" max="3594" width="4.83203125" style="12" customWidth="1"/>
    <col min="3595" max="3595" width="0" style="12" hidden="1" customWidth="1"/>
    <col min="3596" max="3596" width="6" style="12" customWidth="1"/>
    <col min="3597" max="3597" width="14.5" style="12" customWidth="1"/>
    <col min="3598" max="3600" width="9.33203125" style="12"/>
    <col min="3601" max="3601" width="16.6640625" style="12" customWidth="1"/>
    <col min="3602" max="3838" width="9.33203125" style="12"/>
    <col min="3839" max="3839" width="7.1640625" style="12" customWidth="1"/>
    <col min="3840" max="3840" width="4.1640625" style="12" customWidth="1"/>
    <col min="3841" max="3844" width="9.33203125" style="12"/>
    <col min="3845" max="3845" width="14.5" style="12" customWidth="1"/>
    <col min="3846" max="3846" width="16" style="12" customWidth="1"/>
    <col min="3847" max="3847" width="15.83203125" style="12" customWidth="1"/>
    <col min="3848" max="3848" width="4.83203125" style="12" customWidth="1"/>
    <col min="3849" max="3849" width="18.5" style="12" customWidth="1"/>
    <col min="3850" max="3850" width="4.83203125" style="12" customWidth="1"/>
    <col min="3851" max="3851" width="0" style="12" hidden="1" customWidth="1"/>
    <col min="3852" max="3852" width="6" style="12" customWidth="1"/>
    <col min="3853" max="3853" width="14.5" style="12" customWidth="1"/>
    <col min="3854" max="3856" width="9.33203125" style="12"/>
    <col min="3857" max="3857" width="16.6640625" style="12" customWidth="1"/>
    <col min="3858" max="4094" width="9.33203125" style="12"/>
    <col min="4095" max="4095" width="7.1640625" style="12" customWidth="1"/>
    <col min="4096" max="4096" width="4.1640625" style="12" customWidth="1"/>
    <col min="4097" max="4100" width="9.33203125" style="12"/>
    <col min="4101" max="4101" width="14.5" style="12" customWidth="1"/>
    <col min="4102" max="4102" width="16" style="12" customWidth="1"/>
    <col min="4103" max="4103" width="15.83203125" style="12" customWidth="1"/>
    <col min="4104" max="4104" width="4.83203125" style="12" customWidth="1"/>
    <col min="4105" max="4105" width="18.5" style="12" customWidth="1"/>
    <col min="4106" max="4106" width="4.83203125" style="12" customWidth="1"/>
    <col min="4107" max="4107" width="0" style="12" hidden="1" customWidth="1"/>
    <col min="4108" max="4108" width="6" style="12" customWidth="1"/>
    <col min="4109" max="4109" width="14.5" style="12" customWidth="1"/>
    <col min="4110" max="4112" width="9.33203125" style="12"/>
    <col min="4113" max="4113" width="16.6640625" style="12" customWidth="1"/>
    <col min="4114" max="4350" width="9.33203125" style="12"/>
    <col min="4351" max="4351" width="7.1640625" style="12" customWidth="1"/>
    <col min="4352" max="4352" width="4.1640625" style="12" customWidth="1"/>
    <col min="4353" max="4356" width="9.33203125" style="12"/>
    <col min="4357" max="4357" width="14.5" style="12" customWidth="1"/>
    <col min="4358" max="4358" width="16" style="12" customWidth="1"/>
    <col min="4359" max="4359" width="15.83203125" style="12" customWidth="1"/>
    <col min="4360" max="4360" width="4.83203125" style="12" customWidth="1"/>
    <col min="4361" max="4361" width="18.5" style="12" customWidth="1"/>
    <col min="4362" max="4362" width="4.83203125" style="12" customWidth="1"/>
    <col min="4363" max="4363" width="0" style="12" hidden="1" customWidth="1"/>
    <col min="4364" max="4364" width="6" style="12" customWidth="1"/>
    <col min="4365" max="4365" width="14.5" style="12" customWidth="1"/>
    <col min="4366" max="4368" width="9.33203125" style="12"/>
    <col min="4369" max="4369" width="16.6640625" style="12" customWidth="1"/>
    <col min="4370" max="4606" width="9.33203125" style="12"/>
    <col min="4607" max="4607" width="7.1640625" style="12" customWidth="1"/>
    <col min="4608" max="4608" width="4.1640625" style="12" customWidth="1"/>
    <col min="4609" max="4612" width="9.33203125" style="12"/>
    <col min="4613" max="4613" width="14.5" style="12" customWidth="1"/>
    <col min="4614" max="4614" width="16" style="12" customWidth="1"/>
    <col min="4615" max="4615" width="15.83203125" style="12" customWidth="1"/>
    <col min="4616" max="4616" width="4.83203125" style="12" customWidth="1"/>
    <col min="4617" max="4617" width="18.5" style="12" customWidth="1"/>
    <col min="4618" max="4618" width="4.83203125" style="12" customWidth="1"/>
    <col min="4619" max="4619" width="0" style="12" hidden="1" customWidth="1"/>
    <col min="4620" max="4620" width="6" style="12" customWidth="1"/>
    <col min="4621" max="4621" width="14.5" style="12" customWidth="1"/>
    <col min="4622" max="4624" width="9.33203125" style="12"/>
    <col min="4625" max="4625" width="16.6640625" style="12" customWidth="1"/>
    <col min="4626" max="4862" width="9.33203125" style="12"/>
    <col min="4863" max="4863" width="7.1640625" style="12" customWidth="1"/>
    <col min="4864" max="4864" width="4.1640625" style="12" customWidth="1"/>
    <col min="4865" max="4868" width="9.33203125" style="12"/>
    <col min="4869" max="4869" width="14.5" style="12" customWidth="1"/>
    <col min="4870" max="4870" width="16" style="12" customWidth="1"/>
    <col min="4871" max="4871" width="15.83203125" style="12" customWidth="1"/>
    <col min="4872" max="4872" width="4.83203125" style="12" customWidth="1"/>
    <col min="4873" max="4873" width="18.5" style="12" customWidth="1"/>
    <col min="4874" max="4874" width="4.83203125" style="12" customWidth="1"/>
    <col min="4875" max="4875" width="0" style="12" hidden="1" customWidth="1"/>
    <col min="4876" max="4876" width="6" style="12" customWidth="1"/>
    <col min="4877" max="4877" width="14.5" style="12" customWidth="1"/>
    <col min="4878" max="4880" width="9.33203125" style="12"/>
    <col min="4881" max="4881" width="16.6640625" style="12" customWidth="1"/>
    <col min="4882" max="5118" width="9.33203125" style="12"/>
    <col min="5119" max="5119" width="7.1640625" style="12" customWidth="1"/>
    <col min="5120" max="5120" width="4.1640625" style="12" customWidth="1"/>
    <col min="5121" max="5124" width="9.33203125" style="12"/>
    <col min="5125" max="5125" width="14.5" style="12" customWidth="1"/>
    <col min="5126" max="5126" width="16" style="12" customWidth="1"/>
    <col min="5127" max="5127" width="15.83203125" style="12" customWidth="1"/>
    <col min="5128" max="5128" width="4.83203125" style="12" customWidth="1"/>
    <col min="5129" max="5129" width="18.5" style="12" customWidth="1"/>
    <col min="5130" max="5130" width="4.83203125" style="12" customWidth="1"/>
    <col min="5131" max="5131" width="0" style="12" hidden="1" customWidth="1"/>
    <col min="5132" max="5132" width="6" style="12" customWidth="1"/>
    <col min="5133" max="5133" width="14.5" style="12" customWidth="1"/>
    <col min="5134" max="5136" width="9.33203125" style="12"/>
    <col min="5137" max="5137" width="16.6640625" style="12" customWidth="1"/>
    <col min="5138" max="5374" width="9.33203125" style="12"/>
    <col min="5375" max="5375" width="7.1640625" style="12" customWidth="1"/>
    <col min="5376" max="5376" width="4.1640625" style="12" customWidth="1"/>
    <col min="5377" max="5380" width="9.33203125" style="12"/>
    <col min="5381" max="5381" width="14.5" style="12" customWidth="1"/>
    <col min="5382" max="5382" width="16" style="12" customWidth="1"/>
    <col min="5383" max="5383" width="15.83203125" style="12" customWidth="1"/>
    <col min="5384" max="5384" width="4.83203125" style="12" customWidth="1"/>
    <col min="5385" max="5385" width="18.5" style="12" customWidth="1"/>
    <col min="5386" max="5386" width="4.83203125" style="12" customWidth="1"/>
    <col min="5387" max="5387" width="0" style="12" hidden="1" customWidth="1"/>
    <col min="5388" max="5388" width="6" style="12" customWidth="1"/>
    <col min="5389" max="5389" width="14.5" style="12" customWidth="1"/>
    <col min="5390" max="5392" width="9.33203125" style="12"/>
    <col min="5393" max="5393" width="16.6640625" style="12" customWidth="1"/>
    <col min="5394" max="5630" width="9.33203125" style="12"/>
    <col min="5631" max="5631" width="7.1640625" style="12" customWidth="1"/>
    <col min="5632" max="5632" width="4.1640625" style="12" customWidth="1"/>
    <col min="5633" max="5636" width="9.33203125" style="12"/>
    <col min="5637" max="5637" width="14.5" style="12" customWidth="1"/>
    <col min="5638" max="5638" width="16" style="12" customWidth="1"/>
    <col min="5639" max="5639" width="15.83203125" style="12" customWidth="1"/>
    <col min="5640" max="5640" width="4.83203125" style="12" customWidth="1"/>
    <col min="5641" max="5641" width="18.5" style="12" customWidth="1"/>
    <col min="5642" max="5642" width="4.83203125" style="12" customWidth="1"/>
    <col min="5643" max="5643" width="0" style="12" hidden="1" customWidth="1"/>
    <col min="5644" max="5644" width="6" style="12" customWidth="1"/>
    <col min="5645" max="5645" width="14.5" style="12" customWidth="1"/>
    <col min="5646" max="5648" width="9.33203125" style="12"/>
    <col min="5649" max="5649" width="16.6640625" style="12" customWidth="1"/>
    <col min="5650" max="5886" width="9.33203125" style="12"/>
    <col min="5887" max="5887" width="7.1640625" style="12" customWidth="1"/>
    <col min="5888" max="5888" width="4.1640625" style="12" customWidth="1"/>
    <col min="5889" max="5892" width="9.33203125" style="12"/>
    <col min="5893" max="5893" width="14.5" style="12" customWidth="1"/>
    <col min="5894" max="5894" width="16" style="12" customWidth="1"/>
    <col min="5895" max="5895" width="15.83203125" style="12" customWidth="1"/>
    <col min="5896" max="5896" width="4.83203125" style="12" customWidth="1"/>
    <col min="5897" max="5897" width="18.5" style="12" customWidth="1"/>
    <col min="5898" max="5898" width="4.83203125" style="12" customWidth="1"/>
    <col min="5899" max="5899" width="0" style="12" hidden="1" customWidth="1"/>
    <col min="5900" max="5900" width="6" style="12" customWidth="1"/>
    <col min="5901" max="5901" width="14.5" style="12" customWidth="1"/>
    <col min="5902" max="5904" width="9.33203125" style="12"/>
    <col min="5905" max="5905" width="16.6640625" style="12" customWidth="1"/>
    <col min="5906" max="6142" width="9.33203125" style="12"/>
    <col min="6143" max="6143" width="7.1640625" style="12" customWidth="1"/>
    <col min="6144" max="6144" width="4.1640625" style="12" customWidth="1"/>
    <col min="6145" max="6148" width="9.33203125" style="12"/>
    <col min="6149" max="6149" width="14.5" style="12" customWidth="1"/>
    <col min="6150" max="6150" width="16" style="12" customWidth="1"/>
    <col min="6151" max="6151" width="15.83203125" style="12" customWidth="1"/>
    <col min="6152" max="6152" width="4.83203125" style="12" customWidth="1"/>
    <col min="6153" max="6153" width="18.5" style="12" customWidth="1"/>
    <col min="6154" max="6154" width="4.83203125" style="12" customWidth="1"/>
    <col min="6155" max="6155" width="0" style="12" hidden="1" customWidth="1"/>
    <col min="6156" max="6156" width="6" style="12" customWidth="1"/>
    <col min="6157" max="6157" width="14.5" style="12" customWidth="1"/>
    <col min="6158" max="6160" width="9.33203125" style="12"/>
    <col min="6161" max="6161" width="16.6640625" style="12" customWidth="1"/>
    <col min="6162" max="6398" width="9.33203125" style="12"/>
    <col min="6399" max="6399" width="7.1640625" style="12" customWidth="1"/>
    <col min="6400" max="6400" width="4.1640625" style="12" customWidth="1"/>
    <col min="6401" max="6404" width="9.33203125" style="12"/>
    <col min="6405" max="6405" width="14.5" style="12" customWidth="1"/>
    <col min="6406" max="6406" width="16" style="12" customWidth="1"/>
    <col min="6407" max="6407" width="15.83203125" style="12" customWidth="1"/>
    <col min="6408" max="6408" width="4.83203125" style="12" customWidth="1"/>
    <col min="6409" max="6409" width="18.5" style="12" customWidth="1"/>
    <col min="6410" max="6410" width="4.83203125" style="12" customWidth="1"/>
    <col min="6411" max="6411" width="0" style="12" hidden="1" customWidth="1"/>
    <col min="6412" max="6412" width="6" style="12" customWidth="1"/>
    <col min="6413" max="6413" width="14.5" style="12" customWidth="1"/>
    <col min="6414" max="6416" width="9.33203125" style="12"/>
    <col min="6417" max="6417" width="16.6640625" style="12" customWidth="1"/>
    <col min="6418" max="6654" width="9.33203125" style="12"/>
    <col min="6655" max="6655" width="7.1640625" style="12" customWidth="1"/>
    <col min="6656" max="6656" width="4.1640625" style="12" customWidth="1"/>
    <col min="6657" max="6660" width="9.33203125" style="12"/>
    <col min="6661" max="6661" width="14.5" style="12" customWidth="1"/>
    <col min="6662" max="6662" width="16" style="12" customWidth="1"/>
    <col min="6663" max="6663" width="15.83203125" style="12" customWidth="1"/>
    <col min="6664" max="6664" width="4.83203125" style="12" customWidth="1"/>
    <col min="6665" max="6665" width="18.5" style="12" customWidth="1"/>
    <col min="6666" max="6666" width="4.83203125" style="12" customWidth="1"/>
    <col min="6667" max="6667" width="0" style="12" hidden="1" customWidth="1"/>
    <col min="6668" max="6668" width="6" style="12" customWidth="1"/>
    <col min="6669" max="6669" width="14.5" style="12" customWidth="1"/>
    <col min="6670" max="6672" width="9.33203125" style="12"/>
    <col min="6673" max="6673" width="16.6640625" style="12" customWidth="1"/>
    <col min="6674" max="6910" width="9.33203125" style="12"/>
    <col min="6911" max="6911" width="7.1640625" style="12" customWidth="1"/>
    <col min="6912" max="6912" width="4.1640625" style="12" customWidth="1"/>
    <col min="6913" max="6916" width="9.33203125" style="12"/>
    <col min="6917" max="6917" width="14.5" style="12" customWidth="1"/>
    <col min="6918" max="6918" width="16" style="12" customWidth="1"/>
    <col min="6919" max="6919" width="15.83203125" style="12" customWidth="1"/>
    <col min="6920" max="6920" width="4.83203125" style="12" customWidth="1"/>
    <col min="6921" max="6921" width="18.5" style="12" customWidth="1"/>
    <col min="6922" max="6922" width="4.83203125" style="12" customWidth="1"/>
    <col min="6923" max="6923" width="0" style="12" hidden="1" customWidth="1"/>
    <col min="6924" max="6924" width="6" style="12" customWidth="1"/>
    <col min="6925" max="6925" width="14.5" style="12" customWidth="1"/>
    <col min="6926" max="6928" width="9.33203125" style="12"/>
    <col min="6929" max="6929" width="16.6640625" style="12" customWidth="1"/>
    <col min="6930" max="7166" width="9.33203125" style="12"/>
    <col min="7167" max="7167" width="7.1640625" style="12" customWidth="1"/>
    <col min="7168" max="7168" width="4.1640625" style="12" customWidth="1"/>
    <col min="7169" max="7172" width="9.33203125" style="12"/>
    <col min="7173" max="7173" width="14.5" style="12" customWidth="1"/>
    <col min="7174" max="7174" width="16" style="12" customWidth="1"/>
    <col min="7175" max="7175" width="15.83203125" style="12" customWidth="1"/>
    <col min="7176" max="7176" width="4.83203125" style="12" customWidth="1"/>
    <col min="7177" max="7177" width="18.5" style="12" customWidth="1"/>
    <col min="7178" max="7178" width="4.83203125" style="12" customWidth="1"/>
    <col min="7179" max="7179" width="0" style="12" hidden="1" customWidth="1"/>
    <col min="7180" max="7180" width="6" style="12" customWidth="1"/>
    <col min="7181" max="7181" width="14.5" style="12" customWidth="1"/>
    <col min="7182" max="7184" width="9.33203125" style="12"/>
    <col min="7185" max="7185" width="16.6640625" style="12" customWidth="1"/>
    <col min="7186" max="7422" width="9.33203125" style="12"/>
    <col min="7423" max="7423" width="7.1640625" style="12" customWidth="1"/>
    <col min="7424" max="7424" width="4.1640625" style="12" customWidth="1"/>
    <col min="7425" max="7428" width="9.33203125" style="12"/>
    <col min="7429" max="7429" width="14.5" style="12" customWidth="1"/>
    <col min="7430" max="7430" width="16" style="12" customWidth="1"/>
    <col min="7431" max="7431" width="15.83203125" style="12" customWidth="1"/>
    <col min="7432" max="7432" width="4.83203125" style="12" customWidth="1"/>
    <col min="7433" max="7433" width="18.5" style="12" customWidth="1"/>
    <col min="7434" max="7434" width="4.83203125" style="12" customWidth="1"/>
    <col min="7435" max="7435" width="0" style="12" hidden="1" customWidth="1"/>
    <col min="7436" max="7436" width="6" style="12" customWidth="1"/>
    <col min="7437" max="7437" width="14.5" style="12" customWidth="1"/>
    <col min="7438" max="7440" width="9.33203125" style="12"/>
    <col min="7441" max="7441" width="16.6640625" style="12" customWidth="1"/>
    <col min="7442" max="7678" width="9.33203125" style="12"/>
    <col min="7679" max="7679" width="7.1640625" style="12" customWidth="1"/>
    <col min="7680" max="7680" width="4.1640625" style="12" customWidth="1"/>
    <col min="7681" max="7684" width="9.33203125" style="12"/>
    <col min="7685" max="7685" width="14.5" style="12" customWidth="1"/>
    <col min="7686" max="7686" width="16" style="12" customWidth="1"/>
    <col min="7687" max="7687" width="15.83203125" style="12" customWidth="1"/>
    <col min="7688" max="7688" width="4.83203125" style="12" customWidth="1"/>
    <col min="7689" max="7689" width="18.5" style="12" customWidth="1"/>
    <col min="7690" max="7690" width="4.83203125" style="12" customWidth="1"/>
    <col min="7691" max="7691" width="0" style="12" hidden="1" customWidth="1"/>
    <col min="7692" max="7692" width="6" style="12" customWidth="1"/>
    <col min="7693" max="7693" width="14.5" style="12" customWidth="1"/>
    <col min="7694" max="7696" width="9.33203125" style="12"/>
    <col min="7697" max="7697" width="16.6640625" style="12" customWidth="1"/>
    <col min="7698" max="7934" width="9.33203125" style="12"/>
    <col min="7935" max="7935" width="7.1640625" style="12" customWidth="1"/>
    <col min="7936" max="7936" width="4.1640625" style="12" customWidth="1"/>
    <col min="7937" max="7940" width="9.33203125" style="12"/>
    <col min="7941" max="7941" width="14.5" style="12" customWidth="1"/>
    <col min="7942" max="7942" width="16" style="12" customWidth="1"/>
    <col min="7943" max="7943" width="15.83203125" style="12" customWidth="1"/>
    <col min="7944" max="7944" width="4.83203125" style="12" customWidth="1"/>
    <col min="7945" max="7945" width="18.5" style="12" customWidth="1"/>
    <col min="7946" max="7946" width="4.83203125" style="12" customWidth="1"/>
    <col min="7947" max="7947" width="0" style="12" hidden="1" customWidth="1"/>
    <col min="7948" max="7948" width="6" style="12" customWidth="1"/>
    <col min="7949" max="7949" width="14.5" style="12" customWidth="1"/>
    <col min="7950" max="7952" width="9.33203125" style="12"/>
    <col min="7953" max="7953" width="16.6640625" style="12" customWidth="1"/>
    <col min="7954" max="8190" width="9.33203125" style="12"/>
    <col min="8191" max="8191" width="7.1640625" style="12" customWidth="1"/>
    <col min="8192" max="8192" width="4.1640625" style="12" customWidth="1"/>
    <col min="8193" max="8196" width="9.33203125" style="12"/>
    <col min="8197" max="8197" width="14.5" style="12" customWidth="1"/>
    <col min="8198" max="8198" width="16" style="12" customWidth="1"/>
    <col min="8199" max="8199" width="15.83203125" style="12" customWidth="1"/>
    <col min="8200" max="8200" width="4.83203125" style="12" customWidth="1"/>
    <col min="8201" max="8201" width="18.5" style="12" customWidth="1"/>
    <col min="8202" max="8202" width="4.83203125" style="12" customWidth="1"/>
    <col min="8203" max="8203" width="0" style="12" hidden="1" customWidth="1"/>
    <col min="8204" max="8204" width="6" style="12" customWidth="1"/>
    <col min="8205" max="8205" width="14.5" style="12" customWidth="1"/>
    <col min="8206" max="8208" width="9.33203125" style="12"/>
    <col min="8209" max="8209" width="16.6640625" style="12" customWidth="1"/>
    <col min="8210" max="8446" width="9.33203125" style="12"/>
    <col min="8447" max="8447" width="7.1640625" style="12" customWidth="1"/>
    <col min="8448" max="8448" width="4.1640625" style="12" customWidth="1"/>
    <col min="8449" max="8452" width="9.33203125" style="12"/>
    <col min="8453" max="8453" width="14.5" style="12" customWidth="1"/>
    <col min="8454" max="8454" width="16" style="12" customWidth="1"/>
    <col min="8455" max="8455" width="15.83203125" style="12" customWidth="1"/>
    <col min="8456" max="8456" width="4.83203125" style="12" customWidth="1"/>
    <col min="8457" max="8457" width="18.5" style="12" customWidth="1"/>
    <col min="8458" max="8458" width="4.83203125" style="12" customWidth="1"/>
    <col min="8459" max="8459" width="0" style="12" hidden="1" customWidth="1"/>
    <col min="8460" max="8460" width="6" style="12" customWidth="1"/>
    <col min="8461" max="8461" width="14.5" style="12" customWidth="1"/>
    <col min="8462" max="8464" width="9.33203125" style="12"/>
    <col min="8465" max="8465" width="16.6640625" style="12" customWidth="1"/>
    <col min="8466" max="8702" width="9.33203125" style="12"/>
    <col min="8703" max="8703" width="7.1640625" style="12" customWidth="1"/>
    <col min="8704" max="8704" width="4.1640625" style="12" customWidth="1"/>
    <col min="8705" max="8708" width="9.33203125" style="12"/>
    <col min="8709" max="8709" width="14.5" style="12" customWidth="1"/>
    <col min="8710" max="8710" width="16" style="12" customWidth="1"/>
    <col min="8711" max="8711" width="15.83203125" style="12" customWidth="1"/>
    <col min="8712" max="8712" width="4.83203125" style="12" customWidth="1"/>
    <col min="8713" max="8713" width="18.5" style="12" customWidth="1"/>
    <col min="8714" max="8714" width="4.83203125" style="12" customWidth="1"/>
    <col min="8715" max="8715" width="0" style="12" hidden="1" customWidth="1"/>
    <col min="8716" max="8716" width="6" style="12" customWidth="1"/>
    <col min="8717" max="8717" width="14.5" style="12" customWidth="1"/>
    <col min="8718" max="8720" width="9.33203125" style="12"/>
    <col min="8721" max="8721" width="16.6640625" style="12" customWidth="1"/>
    <col min="8722" max="8958" width="9.33203125" style="12"/>
    <col min="8959" max="8959" width="7.1640625" style="12" customWidth="1"/>
    <col min="8960" max="8960" width="4.1640625" style="12" customWidth="1"/>
    <col min="8961" max="8964" width="9.33203125" style="12"/>
    <col min="8965" max="8965" width="14.5" style="12" customWidth="1"/>
    <col min="8966" max="8966" width="16" style="12" customWidth="1"/>
    <col min="8967" max="8967" width="15.83203125" style="12" customWidth="1"/>
    <col min="8968" max="8968" width="4.83203125" style="12" customWidth="1"/>
    <col min="8969" max="8969" width="18.5" style="12" customWidth="1"/>
    <col min="8970" max="8970" width="4.83203125" style="12" customWidth="1"/>
    <col min="8971" max="8971" width="0" style="12" hidden="1" customWidth="1"/>
    <col min="8972" max="8972" width="6" style="12" customWidth="1"/>
    <col min="8973" max="8973" width="14.5" style="12" customWidth="1"/>
    <col min="8974" max="8976" width="9.33203125" style="12"/>
    <col min="8977" max="8977" width="16.6640625" style="12" customWidth="1"/>
    <col min="8978" max="9214" width="9.33203125" style="12"/>
    <col min="9215" max="9215" width="7.1640625" style="12" customWidth="1"/>
    <col min="9216" max="9216" width="4.1640625" style="12" customWidth="1"/>
    <col min="9217" max="9220" width="9.33203125" style="12"/>
    <col min="9221" max="9221" width="14.5" style="12" customWidth="1"/>
    <col min="9222" max="9222" width="16" style="12" customWidth="1"/>
    <col min="9223" max="9223" width="15.83203125" style="12" customWidth="1"/>
    <col min="9224" max="9224" width="4.83203125" style="12" customWidth="1"/>
    <col min="9225" max="9225" width="18.5" style="12" customWidth="1"/>
    <col min="9226" max="9226" width="4.83203125" style="12" customWidth="1"/>
    <col min="9227" max="9227" width="0" style="12" hidden="1" customWidth="1"/>
    <col min="9228" max="9228" width="6" style="12" customWidth="1"/>
    <col min="9229" max="9229" width="14.5" style="12" customWidth="1"/>
    <col min="9230" max="9232" width="9.33203125" style="12"/>
    <col min="9233" max="9233" width="16.6640625" style="12" customWidth="1"/>
    <col min="9234" max="9470" width="9.33203125" style="12"/>
    <col min="9471" max="9471" width="7.1640625" style="12" customWidth="1"/>
    <col min="9472" max="9472" width="4.1640625" style="12" customWidth="1"/>
    <col min="9473" max="9476" width="9.33203125" style="12"/>
    <col min="9477" max="9477" width="14.5" style="12" customWidth="1"/>
    <col min="9478" max="9478" width="16" style="12" customWidth="1"/>
    <col min="9479" max="9479" width="15.83203125" style="12" customWidth="1"/>
    <col min="9480" max="9480" width="4.83203125" style="12" customWidth="1"/>
    <col min="9481" max="9481" width="18.5" style="12" customWidth="1"/>
    <col min="9482" max="9482" width="4.83203125" style="12" customWidth="1"/>
    <col min="9483" max="9483" width="0" style="12" hidden="1" customWidth="1"/>
    <col min="9484" max="9484" width="6" style="12" customWidth="1"/>
    <col min="9485" max="9485" width="14.5" style="12" customWidth="1"/>
    <col min="9486" max="9488" width="9.33203125" style="12"/>
    <col min="9489" max="9489" width="16.6640625" style="12" customWidth="1"/>
    <col min="9490" max="9726" width="9.33203125" style="12"/>
    <col min="9727" max="9727" width="7.1640625" style="12" customWidth="1"/>
    <col min="9728" max="9728" width="4.1640625" style="12" customWidth="1"/>
    <col min="9729" max="9732" width="9.33203125" style="12"/>
    <col min="9733" max="9733" width="14.5" style="12" customWidth="1"/>
    <col min="9734" max="9734" width="16" style="12" customWidth="1"/>
    <col min="9735" max="9735" width="15.83203125" style="12" customWidth="1"/>
    <col min="9736" max="9736" width="4.83203125" style="12" customWidth="1"/>
    <col min="9737" max="9737" width="18.5" style="12" customWidth="1"/>
    <col min="9738" max="9738" width="4.83203125" style="12" customWidth="1"/>
    <col min="9739" max="9739" width="0" style="12" hidden="1" customWidth="1"/>
    <col min="9740" max="9740" width="6" style="12" customWidth="1"/>
    <col min="9741" max="9741" width="14.5" style="12" customWidth="1"/>
    <col min="9742" max="9744" width="9.33203125" style="12"/>
    <col min="9745" max="9745" width="16.6640625" style="12" customWidth="1"/>
    <col min="9746" max="9982" width="9.33203125" style="12"/>
    <col min="9983" max="9983" width="7.1640625" style="12" customWidth="1"/>
    <col min="9984" max="9984" width="4.1640625" style="12" customWidth="1"/>
    <col min="9985" max="9988" width="9.33203125" style="12"/>
    <col min="9989" max="9989" width="14.5" style="12" customWidth="1"/>
    <col min="9990" max="9990" width="16" style="12" customWidth="1"/>
    <col min="9991" max="9991" width="15.83203125" style="12" customWidth="1"/>
    <col min="9992" max="9992" width="4.83203125" style="12" customWidth="1"/>
    <col min="9993" max="9993" width="18.5" style="12" customWidth="1"/>
    <col min="9994" max="9994" width="4.83203125" style="12" customWidth="1"/>
    <col min="9995" max="9995" width="0" style="12" hidden="1" customWidth="1"/>
    <col min="9996" max="9996" width="6" style="12" customWidth="1"/>
    <col min="9997" max="9997" width="14.5" style="12" customWidth="1"/>
    <col min="9998" max="10000" width="9.33203125" style="12"/>
    <col min="10001" max="10001" width="16.6640625" style="12" customWidth="1"/>
    <col min="10002" max="10238" width="9.33203125" style="12"/>
    <col min="10239" max="10239" width="7.1640625" style="12" customWidth="1"/>
    <col min="10240" max="10240" width="4.1640625" style="12" customWidth="1"/>
    <col min="10241" max="10244" width="9.33203125" style="12"/>
    <col min="10245" max="10245" width="14.5" style="12" customWidth="1"/>
    <col min="10246" max="10246" width="16" style="12" customWidth="1"/>
    <col min="10247" max="10247" width="15.83203125" style="12" customWidth="1"/>
    <col min="10248" max="10248" width="4.83203125" style="12" customWidth="1"/>
    <col min="10249" max="10249" width="18.5" style="12" customWidth="1"/>
    <col min="10250" max="10250" width="4.83203125" style="12" customWidth="1"/>
    <col min="10251" max="10251" width="0" style="12" hidden="1" customWidth="1"/>
    <col min="10252" max="10252" width="6" style="12" customWidth="1"/>
    <col min="10253" max="10253" width="14.5" style="12" customWidth="1"/>
    <col min="10254" max="10256" width="9.33203125" style="12"/>
    <col min="10257" max="10257" width="16.6640625" style="12" customWidth="1"/>
    <col min="10258" max="10494" width="9.33203125" style="12"/>
    <col min="10495" max="10495" width="7.1640625" style="12" customWidth="1"/>
    <col min="10496" max="10496" width="4.1640625" style="12" customWidth="1"/>
    <col min="10497" max="10500" width="9.33203125" style="12"/>
    <col min="10501" max="10501" width="14.5" style="12" customWidth="1"/>
    <col min="10502" max="10502" width="16" style="12" customWidth="1"/>
    <col min="10503" max="10503" width="15.83203125" style="12" customWidth="1"/>
    <col min="10504" max="10504" width="4.83203125" style="12" customWidth="1"/>
    <col min="10505" max="10505" width="18.5" style="12" customWidth="1"/>
    <col min="10506" max="10506" width="4.83203125" style="12" customWidth="1"/>
    <col min="10507" max="10507" width="0" style="12" hidden="1" customWidth="1"/>
    <col min="10508" max="10508" width="6" style="12" customWidth="1"/>
    <col min="10509" max="10509" width="14.5" style="12" customWidth="1"/>
    <col min="10510" max="10512" width="9.33203125" style="12"/>
    <col min="10513" max="10513" width="16.6640625" style="12" customWidth="1"/>
    <col min="10514" max="10750" width="9.33203125" style="12"/>
    <col min="10751" max="10751" width="7.1640625" style="12" customWidth="1"/>
    <col min="10752" max="10752" width="4.1640625" style="12" customWidth="1"/>
    <col min="10753" max="10756" width="9.33203125" style="12"/>
    <col min="10757" max="10757" width="14.5" style="12" customWidth="1"/>
    <col min="10758" max="10758" width="16" style="12" customWidth="1"/>
    <col min="10759" max="10759" width="15.83203125" style="12" customWidth="1"/>
    <col min="10760" max="10760" width="4.83203125" style="12" customWidth="1"/>
    <col min="10761" max="10761" width="18.5" style="12" customWidth="1"/>
    <col min="10762" max="10762" width="4.83203125" style="12" customWidth="1"/>
    <col min="10763" max="10763" width="0" style="12" hidden="1" customWidth="1"/>
    <col min="10764" max="10764" width="6" style="12" customWidth="1"/>
    <col min="10765" max="10765" width="14.5" style="12" customWidth="1"/>
    <col min="10766" max="10768" width="9.33203125" style="12"/>
    <col min="10769" max="10769" width="16.6640625" style="12" customWidth="1"/>
    <col min="10770" max="11006" width="9.33203125" style="12"/>
    <col min="11007" max="11007" width="7.1640625" style="12" customWidth="1"/>
    <col min="11008" max="11008" width="4.1640625" style="12" customWidth="1"/>
    <col min="11009" max="11012" width="9.33203125" style="12"/>
    <col min="11013" max="11013" width="14.5" style="12" customWidth="1"/>
    <col min="11014" max="11014" width="16" style="12" customWidth="1"/>
    <col min="11015" max="11015" width="15.83203125" style="12" customWidth="1"/>
    <col min="11016" max="11016" width="4.83203125" style="12" customWidth="1"/>
    <col min="11017" max="11017" width="18.5" style="12" customWidth="1"/>
    <col min="11018" max="11018" width="4.83203125" style="12" customWidth="1"/>
    <col min="11019" max="11019" width="0" style="12" hidden="1" customWidth="1"/>
    <col min="11020" max="11020" width="6" style="12" customWidth="1"/>
    <col min="11021" max="11021" width="14.5" style="12" customWidth="1"/>
    <col min="11022" max="11024" width="9.33203125" style="12"/>
    <col min="11025" max="11025" width="16.6640625" style="12" customWidth="1"/>
    <col min="11026" max="11262" width="9.33203125" style="12"/>
    <col min="11263" max="11263" width="7.1640625" style="12" customWidth="1"/>
    <col min="11264" max="11264" width="4.1640625" style="12" customWidth="1"/>
    <col min="11265" max="11268" width="9.33203125" style="12"/>
    <col min="11269" max="11269" width="14.5" style="12" customWidth="1"/>
    <col min="11270" max="11270" width="16" style="12" customWidth="1"/>
    <col min="11271" max="11271" width="15.83203125" style="12" customWidth="1"/>
    <col min="11272" max="11272" width="4.83203125" style="12" customWidth="1"/>
    <col min="11273" max="11273" width="18.5" style="12" customWidth="1"/>
    <col min="11274" max="11274" width="4.83203125" style="12" customWidth="1"/>
    <col min="11275" max="11275" width="0" style="12" hidden="1" customWidth="1"/>
    <col min="11276" max="11276" width="6" style="12" customWidth="1"/>
    <col min="11277" max="11277" width="14.5" style="12" customWidth="1"/>
    <col min="11278" max="11280" width="9.33203125" style="12"/>
    <col min="11281" max="11281" width="16.6640625" style="12" customWidth="1"/>
    <col min="11282" max="11518" width="9.33203125" style="12"/>
    <col min="11519" max="11519" width="7.1640625" style="12" customWidth="1"/>
    <col min="11520" max="11520" width="4.1640625" style="12" customWidth="1"/>
    <col min="11521" max="11524" width="9.33203125" style="12"/>
    <col min="11525" max="11525" width="14.5" style="12" customWidth="1"/>
    <col min="11526" max="11526" width="16" style="12" customWidth="1"/>
    <col min="11527" max="11527" width="15.83203125" style="12" customWidth="1"/>
    <col min="11528" max="11528" width="4.83203125" style="12" customWidth="1"/>
    <col min="11529" max="11529" width="18.5" style="12" customWidth="1"/>
    <col min="11530" max="11530" width="4.83203125" style="12" customWidth="1"/>
    <col min="11531" max="11531" width="0" style="12" hidden="1" customWidth="1"/>
    <col min="11532" max="11532" width="6" style="12" customWidth="1"/>
    <col min="11533" max="11533" width="14.5" style="12" customWidth="1"/>
    <col min="11534" max="11536" width="9.33203125" style="12"/>
    <col min="11537" max="11537" width="16.6640625" style="12" customWidth="1"/>
    <col min="11538" max="11774" width="9.33203125" style="12"/>
    <col min="11775" max="11775" width="7.1640625" style="12" customWidth="1"/>
    <col min="11776" max="11776" width="4.1640625" style="12" customWidth="1"/>
    <col min="11777" max="11780" width="9.33203125" style="12"/>
    <col min="11781" max="11781" width="14.5" style="12" customWidth="1"/>
    <col min="11782" max="11782" width="16" style="12" customWidth="1"/>
    <col min="11783" max="11783" width="15.83203125" style="12" customWidth="1"/>
    <col min="11784" max="11784" width="4.83203125" style="12" customWidth="1"/>
    <col min="11785" max="11785" width="18.5" style="12" customWidth="1"/>
    <col min="11786" max="11786" width="4.83203125" style="12" customWidth="1"/>
    <col min="11787" max="11787" width="0" style="12" hidden="1" customWidth="1"/>
    <col min="11788" max="11788" width="6" style="12" customWidth="1"/>
    <col min="11789" max="11789" width="14.5" style="12" customWidth="1"/>
    <col min="11790" max="11792" width="9.33203125" style="12"/>
    <col min="11793" max="11793" width="16.6640625" style="12" customWidth="1"/>
    <col min="11794" max="12030" width="9.33203125" style="12"/>
    <col min="12031" max="12031" width="7.1640625" style="12" customWidth="1"/>
    <col min="12032" max="12032" width="4.1640625" style="12" customWidth="1"/>
    <col min="12033" max="12036" width="9.33203125" style="12"/>
    <col min="12037" max="12037" width="14.5" style="12" customWidth="1"/>
    <col min="12038" max="12038" width="16" style="12" customWidth="1"/>
    <col min="12039" max="12039" width="15.83203125" style="12" customWidth="1"/>
    <col min="12040" max="12040" width="4.83203125" style="12" customWidth="1"/>
    <col min="12041" max="12041" width="18.5" style="12" customWidth="1"/>
    <col min="12042" max="12042" width="4.83203125" style="12" customWidth="1"/>
    <col min="12043" max="12043" width="0" style="12" hidden="1" customWidth="1"/>
    <col min="12044" max="12044" width="6" style="12" customWidth="1"/>
    <col min="12045" max="12045" width="14.5" style="12" customWidth="1"/>
    <col min="12046" max="12048" width="9.33203125" style="12"/>
    <col min="12049" max="12049" width="16.6640625" style="12" customWidth="1"/>
    <col min="12050" max="12286" width="9.33203125" style="12"/>
    <col min="12287" max="12287" width="7.1640625" style="12" customWidth="1"/>
    <col min="12288" max="12288" width="4.1640625" style="12" customWidth="1"/>
    <col min="12289" max="12292" width="9.33203125" style="12"/>
    <col min="12293" max="12293" width="14.5" style="12" customWidth="1"/>
    <col min="12294" max="12294" width="16" style="12" customWidth="1"/>
    <col min="12295" max="12295" width="15.83203125" style="12" customWidth="1"/>
    <col min="12296" max="12296" width="4.83203125" style="12" customWidth="1"/>
    <col min="12297" max="12297" width="18.5" style="12" customWidth="1"/>
    <col min="12298" max="12298" width="4.83203125" style="12" customWidth="1"/>
    <col min="12299" max="12299" width="0" style="12" hidden="1" customWidth="1"/>
    <col min="12300" max="12300" width="6" style="12" customWidth="1"/>
    <col min="12301" max="12301" width="14.5" style="12" customWidth="1"/>
    <col min="12302" max="12304" width="9.33203125" style="12"/>
    <col min="12305" max="12305" width="16.6640625" style="12" customWidth="1"/>
    <col min="12306" max="12542" width="9.33203125" style="12"/>
    <col min="12543" max="12543" width="7.1640625" style="12" customWidth="1"/>
    <col min="12544" max="12544" width="4.1640625" style="12" customWidth="1"/>
    <col min="12545" max="12548" width="9.33203125" style="12"/>
    <col min="12549" max="12549" width="14.5" style="12" customWidth="1"/>
    <col min="12550" max="12550" width="16" style="12" customWidth="1"/>
    <col min="12551" max="12551" width="15.83203125" style="12" customWidth="1"/>
    <col min="12552" max="12552" width="4.83203125" style="12" customWidth="1"/>
    <col min="12553" max="12553" width="18.5" style="12" customWidth="1"/>
    <col min="12554" max="12554" width="4.83203125" style="12" customWidth="1"/>
    <col min="12555" max="12555" width="0" style="12" hidden="1" customWidth="1"/>
    <col min="12556" max="12556" width="6" style="12" customWidth="1"/>
    <col min="12557" max="12557" width="14.5" style="12" customWidth="1"/>
    <col min="12558" max="12560" width="9.33203125" style="12"/>
    <col min="12561" max="12561" width="16.6640625" style="12" customWidth="1"/>
    <col min="12562" max="12798" width="9.33203125" style="12"/>
    <col min="12799" max="12799" width="7.1640625" style="12" customWidth="1"/>
    <col min="12800" max="12800" width="4.1640625" style="12" customWidth="1"/>
    <col min="12801" max="12804" width="9.33203125" style="12"/>
    <col min="12805" max="12805" width="14.5" style="12" customWidth="1"/>
    <col min="12806" max="12806" width="16" style="12" customWidth="1"/>
    <col min="12807" max="12807" width="15.83203125" style="12" customWidth="1"/>
    <col min="12808" max="12808" width="4.83203125" style="12" customWidth="1"/>
    <col min="12809" max="12809" width="18.5" style="12" customWidth="1"/>
    <col min="12810" max="12810" width="4.83203125" style="12" customWidth="1"/>
    <col min="12811" max="12811" width="0" style="12" hidden="1" customWidth="1"/>
    <col min="12812" max="12812" width="6" style="12" customWidth="1"/>
    <col min="12813" max="12813" width="14.5" style="12" customWidth="1"/>
    <col min="12814" max="12816" width="9.33203125" style="12"/>
    <col min="12817" max="12817" width="16.6640625" style="12" customWidth="1"/>
    <col min="12818" max="13054" width="9.33203125" style="12"/>
    <col min="13055" max="13055" width="7.1640625" style="12" customWidth="1"/>
    <col min="13056" max="13056" width="4.1640625" style="12" customWidth="1"/>
    <col min="13057" max="13060" width="9.33203125" style="12"/>
    <col min="13061" max="13061" width="14.5" style="12" customWidth="1"/>
    <col min="13062" max="13062" width="16" style="12" customWidth="1"/>
    <col min="13063" max="13063" width="15.83203125" style="12" customWidth="1"/>
    <col min="13064" max="13064" width="4.83203125" style="12" customWidth="1"/>
    <col min="13065" max="13065" width="18.5" style="12" customWidth="1"/>
    <col min="13066" max="13066" width="4.83203125" style="12" customWidth="1"/>
    <col min="13067" max="13067" width="0" style="12" hidden="1" customWidth="1"/>
    <col min="13068" max="13068" width="6" style="12" customWidth="1"/>
    <col min="13069" max="13069" width="14.5" style="12" customWidth="1"/>
    <col min="13070" max="13072" width="9.33203125" style="12"/>
    <col min="13073" max="13073" width="16.6640625" style="12" customWidth="1"/>
    <col min="13074" max="13310" width="9.33203125" style="12"/>
    <col min="13311" max="13311" width="7.1640625" style="12" customWidth="1"/>
    <col min="13312" max="13312" width="4.1640625" style="12" customWidth="1"/>
    <col min="13313" max="13316" width="9.33203125" style="12"/>
    <col min="13317" max="13317" width="14.5" style="12" customWidth="1"/>
    <col min="13318" max="13318" width="16" style="12" customWidth="1"/>
    <col min="13319" max="13319" width="15.83203125" style="12" customWidth="1"/>
    <col min="13320" max="13320" width="4.83203125" style="12" customWidth="1"/>
    <col min="13321" max="13321" width="18.5" style="12" customWidth="1"/>
    <col min="13322" max="13322" width="4.83203125" style="12" customWidth="1"/>
    <col min="13323" max="13323" width="0" style="12" hidden="1" customWidth="1"/>
    <col min="13324" max="13324" width="6" style="12" customWidth="1"/>
    <col min="13325" max="13325" width="14.5" style="12" customWidth="1"/>
    <col min="13326" max="13328" width="9.33203125" style="12"/>
    <col min="13329" max="13329" width="16.6640625" style="12" customWidth="1"/>
    <col min="13330" max="13566" width="9.33203125" style="12"/>
    <col min="13567" max="13567" width="7.1640625" style="12" customWidth="1"/>
    <col min="13568" max="13568" width="4.1640625" style="12" customWidth="1"/>
    <col min="13569" max="13572" width="9.33203125" style="12"/>
    <col min="13573" max="13573" width="14.5" style="12" customWidth="1"/>
    <col min="13574" max="13574" width="16" style="12" customWidth="1"/>
    <col min="13575" max="13575" width="15.83203125" style="12" customWidth="1"/>
    <col min="13576" max="13576" width="4.83203125" style="12" customWidth="1"/>
    <col min="13577" max="13577" width="18.5" style="12" customWidth="1"/>
    <col min="13578" max="13578" width="4.83203125" style="12" customWidth="1"/>
    <col min="13579" max="13579" width="0" style="12" hidden="1" customWidth="1"/>
    <col min="13580" max="13580" width="6" style="12" customWidth="1"/>
    <col min="13581" max="13581" width="14.5" style="12" customWidth="1"/>
    <col min="13582" max="13584" width="9.33203125" style="12"/>
    <col min="13585" max="13585" width="16.6640625" style="12" customWidth="1"/>
    <col min="13586" max="13822" width="9.33203125" style="12"/>
    <col min="13823" max="13823" width="7.1640625" style="12" customWidth="1"/>
    <col min="13824" max="13824" width="4.1640625" style="12" customWidth="1"/>
    <col min="13825" max="13828" width="9.33203125" style="12"/>
    <col min="13829" max="13829" width="14.5" style="12" customWidth="1"/>
    <col min="13830" max="13830" width="16" style="12" customWidth="1"/>
    <col min="13831" max="13831" width="15.83203125" style="12" customWidth="1"/>
    <col min="13832" max="13832" width="4.83203125" style="12" customWidth="1"/>
    <col min="13833" max="13833" width="18.5" style="12" customWidth="1"/>
    <col min="13834" max="13834" width="4.83203125" style="12" customWidth="1"/>
    <col min="13835" max="13835" width="0" style="12" hidden="1" customWidth="1"/>
    <col min="13836" max="13836" width="6" style="12" customWidth="1"/>
    <col min="13837" max="13837" width="14.5" style="12" customWidth="1"/>
    <col min="13838" max="13840" width="9.33203125" style="12"/>
    <col min="13841" max="13841" width="16.6640625" style="12" customWidth="1"/>
    <col min="13842" max="14078" width="9.33203125" style="12"/>
    <col min="14079" max="14079" width="7.1640625" style="12" customWidth="1"/>
    <col min="14080" max="14080" width="4.1640625" style="12" customWidth="1"/>
    <col min="14081" max="14084" width="9.33203125" style="12"/>
    <col min="14085" max="14085" width="14.5" style="12" customWidth="1"/>
    <col min="14086" max="14086" width="16" style="12" customWidth="1"/>
    <col min="14087" max="14087" width="15.83203125" style="12" customWidth="1"/>
    <col min="14088" max="14088" width="4.83203125" style="12" customWidth="1"/>
    <col min="14089" max="14089" width="18.5" style="12" customWidth="1"/>
    <col min="14090" max="14090" width="4.83203125" style="12" customWidth="1"/>
    <col min="14091" max="14091" width="0" style="12" hidden="1" customWidth="1"/>
    <col min="14092" max="14092" width="6" style="12" customWidth="1"/>
    <col min="14093" max="14093" width="14.5" style="12" customWidth="1"/>
    <col min="14094" max="14096" width="9.33203125" style="12"/>
    <col min="14097" max="14097" width="16.6640625" style="12" customWidth="1"/>
    <col min="14098" max="14334" width="9.33203125" style="12"/>
    <col min="14335" max="14335" width="7.1640625" style="12" customWidth="1"/>
    <col min="14336" max="14336" width="4.1640625" style="12" customWidth="1"/>
    <col min="14337" max="14340" width="9.33203125" style="12"/>
    <col min="14341" max="14341" width="14.5" style="12" customWidth="1"/>
    <col min="14342" max="14342" width="16" style="12" customWidth="1"/>
    <col min="14343" max="14343" width="15.83203125" style="12" customWidth="1"/>
    <col min="14344" max="14344" width="4.83203125" style="12" customWidth="1"/>
    <col min="14345" max="14345" width="18.5" style="12" customWidth="1"/>
    <col min="14346" max="14346" width="4.83203125" style="12" customWidth="1"/>
    <col min="14347" max="14347" width="0" style="12" hidden="1" customWidth="1"/>
    <col min="14348" max="14348" width="6" style="12" customWidth="1"/>
    <col min="14349" max="14349" width="14.5" style="12" customWidth="1"/>
    <col min="14350" max="14352" width="9.33203125" style="12"/>
    <col min="14353" max="14353" width="16.6640625" style="12" customWidth="1"/>
    <col min="14354" max="14590" width="9.33203125" style="12"/>
    <col min="14591" max="14591" width="7.1640625" style="12" customWidth="1"/>
    <col min="14592" max="14592" width="4.1640625" style="12" customWidth="1"/>
    <col min="14593" max="14596" width="9.33203125" style="12"/>
    <col min="14597" max="14597" width="14.5" style="12" customWidth="1"/>
    <col min="14598" max="14598" width="16" style="12" customWidth="1"/>
    <col min="14599" max="14599" width="15.83203125" style="12" customWidth="1"/>
    <col min="14600" max="14600" width="4.83203125" style="12" customWidth="1"/>
    <col min="14601" max="14601" width="18.5" style="12" customWidth="1"/>
    <col min="14602" max="14602" width="4.83203125" style="12" customWidth="1"/>
    <col min="14603" max="14603" width="0" style="12" hidden="1" customWidth="1"/>
    <col min="14604" max="14604" width="6" style="12" customWidth="1"/>
    <col min="14605" max="14605" width="14.5" style="12" customWidth="1"/>
    <col min="14606" max="14608" width="9.33203125" style="12"/>
    <col min="14609" max="14609" width="16.6640625" style="12" customWidth="1"/>
    <col min="14610" max="14846" width="9.33203125" style="12"/>
    <col min="14847" max="14847" width="7.1640625" style="12" customWidth="1"/>
    <col min="14848" max="14848" width="4.1640625" style="12" customWidth="1"/>
    <col min="14849" max="14852" width="9.33203125" style="12"/>
    <col min="14853" max="14853" width="14.5" style="12" customWidth="1"/>
    <col min="14854" max="14854" width="16" style="12" customWidth="1"/>
    <col min="14855" max="14855" width="15.83203125" style="12" customWidth="1"/>
    <col min="14856" max="14856" width="4.83203125" style="12" customWidth="1"/>
    <col min="14857" max="14857" width="18.5" style="12" customWidth="1"/>
    <col min="14858" max="14858" width="4.83203125" style="12" customWidth="1"/>
    <col min="14859" max="14859" width="0" style="12" hidden="1" customWidth="1"/>
    <col min="14860" max="14860" width="6" style="12" customWidth="1"/>
    <col min="14861" max="14861" width="14.5" style="12" customWidth="1"/>
    <col min="14862" max="14864" width="9.33203125" style="12"/>
    <col min="14865" max="14865" width="16.6640625" style="12" customWidth="1"/>
    <col min="14866" max="15102" width="9.33203125" style="12"/>
    <col min="15103" max="15103" width="7.1640625" style="12" customWidth="1"/>
    <col min="15104" max="15104" width="4.1640625" style="12" customWidth="1"/>
    <col min="15105" max="15108" width="9.33203125" style="12"/>
    <col min="15109" max="15109" width="14.5" style="12" customWidth="1"/>
    <col min="15110" max="15110" width="16" style="12" customWidth="1"/>
    <col min="15111" max="15111" width="15.83203125" style="12" customWidth="1"/>
    <col min="15112" max="15112" width="4.83203125" style="12" customWidth="1"/>
    <col min="15113" max="15113" width="18.5" style="12" customWidth="1"/>
    <col min="15114" max="15114" width="4.83203125" style="12" customWidth="1"/>
    <col min="15115" max="15115" width="0" style="12" hidden="1" customWidth="1"/>
    <col min="15116" max="15116" width="6" style="12" customWidth="1"/>
    <col min="15117" max="15117" width="14.5" style="12" customWidth="1"/>
    <col min="15118" max="15120" width="9.33203125" style="12"/>
    <col min="15121" max="15121" width="16.6640625" style="12" customWidth="1"/>
    <col min="15122" max="15358" width="9.33203125" style="12"/>
    <col min="15359" max="15359" width="7.1640625" style="12" customWidth="1"/>
    <col min="15360" max="15360" width="4.1640625" style="12" customWidth="1"/>
    <col min="15361" max="15364" width="9.33203125" style="12"/>
    <col min="15365" max="15365" width="14.5" style="12" customWidth="1"/>
    <col min="15366" max="15366" width="16" style="12" customWidth="1"/>
    <col min="15367" max="15367" width="15.83203125" style="12" customWidth="1"/>
    <col min="15368" max="15368" width="4.83203125" style="12" customWidth="1"/>
    <col min="15369" max="15369" width="18.5" style="12" customWidth="1"/>
    <col min="15370" max="15370" width="4.83203125" style="12" customWidth="1"/>
    <col min="15371" max="15371" width="0" style="12" hidden="1" customWidth="1"/>
    <col min="15372" max="15372" width="6" style="12" customWidth="1"/>
    <col min="15373" max="15373" width="14.5" style="12" customWidth="1"/>
    <col min="15374" max="15376" width="9.33203125" style="12"/>
    <col min="15377" max="15377" width="16.6640625" style="12" customWidth="1"/>
    <col min="15378" max="15614" width="9.33203125" style="12"/>
    <col min="15615" max="15615" width="7.1640625" style="12" customWidth="1"/>
    <col min="15616" max="15616" width="4.1640625" style="12" customWidth="1"/>
    <col min="15617" max="15620" width="9.33203125" style="12"/>
    <col min="15621" max="15621" width="14.5" style="12" customWidth="1"/>
    <col min="15622" max="15622" width="16" style="12" customWidth="1"/>
    <col min="15623" max="15623" width="15.83203125" style="12" customWidth="1"/>
    <col min="15624" max="15624" width="4.83203125" style="12" customWidth="1"/>
    <col min="15625" max="15625" width="18.5" style="12" customWidth="1"/>
    <col min="15626" max="15626" width="4.83203125" style="12" customWidth="1"/>
    <col min="15627" max="15627" width="0" style="12" hidden="1" customWidth="1"/>
    <col min="15628" max="15628" width="6" style="12" customWidth="1"/>
    <col min="15629" max="15629" width="14.5" style="12" customWidth="1"/>
    <col min="15630" max="15632" width="9.33203125" style="12"/>
    <col min="15633" max="15633" width="16.6640625" style="12" customWidth="1"/>
    <col min="15634" max="15870" width="9.33203125" style="12"/>
    <col min="15871" max="15871" width="7.1640625" style="12" customWidth="1"/>
    <col min="15872" max="15872" width="4.1640625" style="12" customWidth="1"/>
    <col min="15873" max="15876" width="9.33203125" style="12"/>
    <col min="15877" max="15877" width="14.5" style="12" customWidth="1"/>
    <col min="15878" max="15878" width="16" style="12" customWidth="1"/>
    <col min="15879" max="15879" width="15.83203125" style="12" customWidth="1"/>
    <col min="15880" max="15880" width="4.83203125" style="12" customWidth="1"/>
    <col min="15881" max="15881" width="18.5" style="12" customWidth="1"/>
    <col min="15882" max="15882" width="4.83203125" style="12" customWidth="1"/>
    <col min="15883" max="15883" width="0" style="12" hidden="1" customWidth="1"/>
    <col min="15884" max="15884" width="6" style="12" customWidth="1"/>
    <col min="15885" max="15885" width="14.5" style="12" customWidth="1"/>
    <col min="15886" max="15888" width="9.33203125" style="12"/>
    <col min="15889" max="15889" width="16.6640625" style="12" customWidth="1"/>
    <col min="15890" max="16126" width="9.33203125" style="12"/>
    <col min="16127" max="16127" width="7.1640625" style="12" customWidth="1"/>
    <col min="16128" max="16128" width="4.1640625" style="12" customWidth="1"/>
    <col min="16129" max="16132" width="9.33203125" style="12"/>
    <col min="16133" max="16133" width="14.5" style="12" customWidth="1"/>
    <col min="16134" max="16134" width="16" style="12" customWidth="1"/>
    <col min="16135" max="16135" width="15.83203125" style="12" customWidth="1"/>
    <col min="16136" max="16136" width="4.83203125" style="12" customWidth="1"/>
    <col min="16137" max="16137" width="18.5" style="12" customWidth="1"/>
    <col min="16138" max="16138" width="4.83203125" style="12" customWidth="1"/>
    <col min="16139" max="16139" width="0" style="12" hidden="1" customWidth="1"/>
    <col min="16140" max="16140" width="6" style="12" customWidth="1"/>
    <col min="16141" max="16141" width="14.5" style="12" customWidth="1"/>
    <col min="16142" max="16144" width="9.33203125" style="12"/>
    <col min="16145" max="16145" width="16.6640625" style="12" customWidth="1"/>
    <col min="16146" max="16384" width="9.33203125" style="12"/>
  </cols>
  <sheetData>
    <row r="1" spans="1:17" ht="12.75" x14ac:dyDescent="0.2">
      <c r="K1" s="13" t="str">
        <f>+'Effects of UPT Avg. Bill'!J1</f>
        <v>W24-09-04</v>
      </c>
      <c r="M1" s="172"/>
    </row>
    <row r="2" spans="1:17" ht="15.75" x14ac:dyDescent="0.25">
      <c r="A2" s="173"/>
      <c r="B2" s="11"/>
      <c r="C2" s="11"/>
      <c r="D2" s="75"/>
      <c r="E2" s="75"/>
      <c r="F2" s="75"/>
      <c r="G2" s="75"/>
      <c r="H2" s="75"/>
      <c r="I2" s="75"/>
      <c r="J2" s="75"/>
      <c r="K2" s="14" t="str">
        <f>+'[29]Unpro. Amount Change'!L2</f>
        <v>UPT Exhibit A</v>
      </c>
      <c r="M2" s="172"/>
    </row>
    <row r="3" spans="1:17" ht="15.75" x14ac:dyDescent="0.25">
      <c r="A3" s="173"/>
      <c r="B3" s="11"/>
      <c r="C3" s="11"/>
      <c r="F3" s="145" t="s">
        <v>27</v>
      </c>
      <c r="G3" s="145"/>
      <c r="H3" s="145"/>
      <c r="I3" s="145"/>
      <c r="K3" s="14" t="s">
        <v>109</v>
      </c>
    </row>
    <row r="4" spans="1:17" ht="15.75" x14ac:dyDescent="0.25">
      <c r="A4" s="173"/>
      <c r="B4" s="11"/>
      <c r="C4" s="11"/>
      <c r="D4" s="296" t="s">
        <v>110</v>
      </c>
      <c r="E4" s="296"/>
      <c r="F4" s="296"/>
      <c r="G4" s="296"/>
      <c r="H4" s="296"/>
      <c r="I4" s="296"/>
      <c r="J4" s="296"/>
      <c r="K4" s="296"/>
      <c r="L4" s="174"/>
    </row>
    <row r="5" spans="1:17" ht="15.75" x14ac:dyDescent="0.25">
      <c r="A5" s="173"/>
      <c r="B5" s="11"/>
      <c r="C5" s="11"/>
      <c r="E5" s="175"/>
      <c r="F5" s="296" t="s">
        <v>30</v>
      </c>
      <c r="G5" s="296"/>
      <c r="H5" s="296"/>
      <c r="I5" s="296"/>
      <c r="J5" s="175"/>
      <c r="K5" s="175"/>
      <c r="L5" s="174"/>
    </row>
    <row r="6" spans="1:17" ht="15.75" x14ac:dyDescent="0.25">
      <c r="A6" s="173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7" ht="15.75" x14ac:dyDescent="0.25">
      <c r="A7" s="173"/>
      <c r="B7" s="11"/>
      <c r="C7" s="11"/>
      <c r="D7" s="11" t="s">
        <v>111</v>
      </c>
      <c r="E7" s="11"/>
      <c r="F7" s="11"/>
      <c r="G7" s="176" t="s">
        <v>17</v>
      </c>
      <c r="H7" s="176" t="s">
        <v>18</v>
      </c>
      <c r="I7" s="173">
        <v>505</v>
      </c>
      <c r="J7" s="173">
        <v>511</v>
      </c>
      <c r="K7" s="173">
        <v>570</v>
      </c>
      <c r="L7" s="173">
        <v>663</v>
      </c>
      <c r="M7" s="177"/>
    </row>
    <row r="8" spans="1:17" ht="15.75" x14ac:dyDescent="0.25">
      <c r="A8" s="173" t="s">
        <v>32</v>
      </c>
      <c r="B8" s="11"/>
      <c r="C8" s="11"/>
      <c r="D8" s="11"/>
      <c r="E8" s="11"/>
      <c r="F8" s="11"/>
      <c r="G8" s="173" t="s">
        <v>112</v>
      </c>
      <c r="H8" s="173" t="s">
        <v>113</v>
      </c>
      <c r="I8" s="173" t="s">
        <v>114</v>
      </c>
      <c r="J8" s="11" t="s">
        <v>115</v>
      </c>
      <c r="K8" s="173" t="s">
        <v>116</v>
      </c>
      <c r="L8" s="173" t="s">
        <v>117</v>
      </c>
      <c r="M8" s="171"/>
    </row>
    <row r="9" spans="1:17" ht="15.75" x14ac:dyDescent="0.25">
      <c r="A9" s="178" t="s">
        <v>40</v>
      </c>
      <c r="B9" s="11"/>
      <c r="C9" s="179" t="s">
        <v>118</v>
      </c>
      <c r="D9" s="180"/>
      <c r="E9" s="180"/>
      <c r="F9" s="180"/>
      <c r="G9" s="178" t="s">
        <v>119</v>
      </c>
      <c r="H9" s="178" t="s">
        <v>119</v>
      </c>
      <c r="I9" s="178" t="s">
        <v>119</v>
      </c>
      <c r="J9" s="178" t="s">
        <v>119</v>
      </c>
      <c r="K9" s="178" t="s">
        <v>119</v>
      </c>
      <c r="L9" s="178" t="s">
        <v>119</v>
      </c>
      <c r="M9" s="181"/>
    </row>
    <row r="10" spans="1:17" ht="15.75" x14ac:dyDescent="0.25">
      <c r="A10" s="173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7" ht="15.75" x14ac:dyDescent="0.25">
      <c r="A11" s="182" t="s">
        <v>120</v>
      </c>
      <c r="B11" s="11"/>
      <c r="C11" s="73" t="s">
        <v>121</v>
      </c>
      <c r="D11" s="11"/>
      <c r="E11" s="11"/>
      <c r="F11" s="11"/>
      <c r="G11" s="183">
        <f>+'Unprotected Cost Allocation'!D16</f>
        <v>-2.8700000000000002E-3</v>
      </c>
      <c r="H11" s="183">
        <f>+'Unprotected Cost Allocation'!F16</f>
        <v>-2.1900000000000001E-3</v>
      </c>
      <c r="I11" s="183">
        <f>+'Unprotected Cost Allocation'!H16</f>
        <v>-1.39E-3</v>
      </c>
      <c r="J11" s="183">
        <f>+'Unprotected Cost Allocation'!I16</f>
        <v>-1.15E-3</v>
      </c>
      <c r="K11" s="183">
        <f>+'Unprotected Cost Allocation'!J16</f>
        <v>-4.2000000000000002E-4</v>
      </c>
      <c r="L11" s="183">
        <f>+'Unprotected Cost Allocation'!K16</f>
        <v>-2.4000000000000001E-4</v>
      </c>
      <c r="M11" s="184"/>
      <c r="Q11" s="184"/>
    </row>
    <row r="12" spans="1:17" ht="15.75" x14ac:dyDescent="0.25">
      <c r="A12" s="182"/>
      <c r="B12" s="11"/>
      <c r="C12" s="73"/>
      <c r="D12" s="11"/>
      <c r="E12" s="11"/>
      <c r="F12" s="11"/>
      <c r="G12" s="183"/>
      <c r="H12" s="183"/>
      <c r="I12" s="183"/>
      <c r="J12" s="183"/>
      <c r="K12" s="183"/>
      <c r="L12" s="184"/>
      <c r="M12" s="184"/>
      <c r="Q12" s="184"/>
    </row>
    <row r="13" spans="1:17" ht="15.75" x14ac:dyDescent="0.25">
      <c r="A13" s="182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7" ht="15.75" x14ac:dyDescent="0.25">
      <c r="A14" s="182"/>
      <c r="B14" s="11"/>
      <c r="C14" s="179" t="s">
        <v>122</v>
      </c>
      <c r="D14" s="185"/>
      <c r="E14" s="185"/>
      <c r="F14" s="185"/>
      <c r="G14" s="11"/>
      <c r="H14" s="11"/>
      <c r="I14" s="11"/>
      <c r="J14" s="11"/>
      <c r="K14" s="11"/>
    </row>
    <row r="15" spans="1:17" ht="15.75" x14ac:dyDescent="0.25">
      <c r="A15" s="182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7" ht="15.75" x14ac:dyDescent="0.25">
      <c r="A16" s="182" t="s">
        <v>123</v>
      </c>
      <c r="B16" s="11"/>
      <c r="C16" s="73" t="s">
        <v>124</v>
      </c>
      <c r="D16" s="11"/>
      <c r="E16" s="11"/>
      <c r="F16" s="11"/>
      <c r="G16" s="186">
        <f>+'Unprotected Cost Allocation'!D24</f>
        <v>1.3039327867084223E-4</v>
      </c>
      <c r="H16" s="186"/>
      <c r="I16" s="186"/>
      <c r="J16" s="186"/>
      <c r="K16" s="186"/>
      <c r="L16" s="187"/>
      <c r="M16" s="184"/>
    </row>
    <row r="17" spans="1:13" ht="15.75" x14ac:dyDescent="0.25">
      <c r="A17" s="182"/>
      <c r="B17" s="11"/>
      <c r="C17" s="74"/>
      <c r="D17" s="11"/>
      <c r="E17" s="11"/>
      <c r="F17" s="11"/>
      <c r="G17" s="186"/>
      <c r="H17" s="186"/>
      <c r="I17" s="186"/>
      <c r="J17" s="186"/>
      <c r="K17" s="186"/>
      <c r="L17" s="187"/>
      <c r="M17" s="184"/>
    </row>
    <row r="18" spans="1:13" ht="15.75" x14ac:dyDescent="0.25">
      <c r="A18" s="182" t="s">
        <v>125</v>
      </c>
      <c r="B18" s="11"/>
      <c r="C18" s="73" t="s">
        <v>126</v>
      </c>
      <c r="D18" s="11"/>
      <c r="E18" s="11"/>
      <c r="F18" s="11"/>
      <c r="G18" s="186"/>
      <c r="H18" s="186">
        <f>+'Unprotected Cost Allocation'!F24</f>
        <v>9.9498703933499817E-5</v>
      </c>
      <c r="I18" s="186"/>
      <c r="J18" s="186"/>
      <c r="K18" s="186"/>
      <c r="L18" s="187"/>
      <c r="M18" s="184"/>
    </row>
    <row r="19" spans="1:13" ht="15.75" x14ac:dyDescent="0.25">
      <c r="A19" s="182"/>
      <c r="B19" s="11"/>
      <c r="C19" s="11"/>
      <c r="D19" s="11"/>
      <c r="E19" s="11"/>
      <c r="F19" s="11"/>
      <c r="G19" s="186"/>
      <c r="H19" s="186"/>
      <c r="I19" s="186"/>
      <c r="J19" s="186"/>
      <c r="K19" s="186"/>
      <c r="L19" s="187"/>
      <c r="M19" s="184"/>
    </row>
    <row r="20" spans="1:13" ht="15.75" x14ac:dyDescent="0.25">
      <c r="A20" s="182" t="s">
        <v>127</v>
      </c>
      <c r="B20" s="11"/>
      <c r="C20" s="73" t="s">
        <v>128</v>
      </c>
      <c r="D20" s="11"/>
      <c r="E20" s="11"/>
      <c r="F20" s="11"/>
      <c r="G20" s="186"/>
      <c r="H20" s="186"/>
      <c r="I20" s="186">
        <f>+'Unprotected Cost Allocation'!H24</f>
        <v>6.3152145418979329E-5</v>
      </c>
      <c r="J20" s="187"/>
      <c r="K20" s="186"/>
      <c r="L20" s="187"/>
      <c r="M20" s="184"/>
    </row>
    <row r="21" spans="1:13" ht="15.75" x14ac:dyDescent="0.25">
      <c r="A21" s="182"/>
      <c r="B21" s="11"/>
      <c r="C21" s="73"/>
      <c r="D21" s="11"/>
      <c r="E21" s="11"/>
      <c r="F21" s="11"/>
      <c r="G21" s="186"/>
      <c r="H21" s="186"/>
      <c r="I21" s="186"/>
      <c r="J21" s="186"/>
      <c r="K21" s="186"/>
      <c r="L21" s="187"/>
      <c r="M21" s="184"/>
    </row>
    <row r="22" spans="1:13" ht="15.75" x14ac:dyDescent="0.25">
      <c r="A22" s="182" t="s">
        <v>129</v>
      </c>
      <c r="B22" s="11"/>
      <c r="C22" s="73" t="s">
        <v>130</v>
      </c>
      <c r="D22" s="11"/>
      <c r="E22" s="11"/>
      <c r="F22" s="11"/>
      <c r="G22" s="186"/>
      <c r="H22" s="186"/>
      <c r="I22" s="186"/>
      <c r="J22" s="186">
        <f>+'Unprotected Cost Allocation'!I24</f>
        <v>5.2248177864623188E-5</v>
      </c>
      <c r="K22" s="186"/>
      <c r="L22" s="187"/>
      <c r="M22" s="184"/>
    </row>
    <row r="23" spans="1:13" ht="15.75" x14ac:dyDescent="0.25">
      <c r="A23" s="182"/>
      <c r="B23" s="11"/>
      <c r="C23" s="11"/>
      <c r="D23" s="11"/>
      <c r="E23" s="11"/>
      <c r="F23" s="11"/>
      <c r="G23" s="186"/>
      <c r="H23" s="186"/>
      <c r="I23" s="186"/>
      <c r="J23" s="186"/>
      <c r="K23" s="186"/>
      <c r="L23" s="187"/>
      <c r="M23" s="184"/>
    </row>
    <row r="24" spans="1:13" ht="15.75" x14ac:dyDescent="0.25">
      <c r="A24" s="182" t="s">
        <v>131</v>
      </c>
      <c r="B24" s="11"/>
      <c r="C24" s="74" t="s">
        <v>132</v>
      </c>
      <c r="D24" s="11"/>
      <c r="E24" s="11"/>
      <c r="F24" s="11"/>
      <c r="G24" s="186"/>
      <c r="H24" s="186"/>
      <c r="I24" s="186"/>
      <c r="J24" s="186"/>
      <c r="K24" s="186">
        <f>+'Unprotected Cost Allocation'!J24</f>
        <v>1.9081943220123252E-5</v>
      </c>
      <c r="L24" s="187"/>
      <c r="M24" s="184"/>
    </row>
    <row r="25" spans="1:13" ht="15.75" x14ac:dyDescent="0.25">
      <c r="A25" s="182"/>
      <c r="B25" s="11"/>
      <c r="C25" s="11"/>
      <c r="D25" s="11"/>
      <c r="E25" s="11"/>
      <c r="F25" s="11"/>
      <c r="G25" s="186"/>
      <c r="H25" s="186"/>
      <c r="I25" s="186"/>
      <c r="J25" s="186"/>
      <c r="K25" s="186"/>
      <c r="L25" s="187"/>
      <c r="M25" s="184"/>
    </row>
    <row r="26" spans="1:13" ht="15.75" x14ac:dyDescent="0.25">
      <c r="A26" s="182" t="s">
        <v>133</v>
      </c>
      <c r="B26" s="11"/>
      <c r="C26" s="73" t="s">
        <v>134</v>
      </c>
      <c r="D26" s="11"/>
      <c r="E26" s="11"/>
      <c r="F26" s="11"/>
      <c r="G26" s="186"/>
      <c r="H26" s="186"/>
      <c r="I26" s="186"/>
      <c r="J26" s="186"/>
      <c r="K26" s="186"/>
      <c r="L26" s="186">
        <f>+'Unprotected Cost Allocation'!K24</f>
        <v>1.0903967554356144E-5</v>
      </c>
    </row>
    <row r="27" spans="1:13" ht="15.75" x14ac:dyDescent="0.25">
      <c r="A27" s="182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3" ht="15.75" x14ac:dyDescent="0.25">
      <c r="A28" s="182" t="s">
        <v>135</v>
      </c>
      <c r="B28" s="11"/>
      <c r="C28" s="73" t="s">
        <v>136</v>
      </c>
      <c r="D28" s="11"/>
      <c r="E28" s="11"/>
      <c r="F28" s="11"/>
      <c r="G28" s="188">
        <f>G16+G11+G12</f>
        <v>-2.7396067213291578E-3</v>
      </c>
      <c r="H28" s="188">
        <f>H18+H11+H12</f>
        <v>-2.0905012960665001E-3</v>
      </c>
      <c r="I28" s="188">
        <f>I20+I11+I12</f>
        <v>-1.3268478545810207E-3</v>
      </c>
      <c r="J28" s="188">
        <f>J22+J11+J12</f>
        <v>-1.0977518221353768E-3</v>
      </c>
      <c r="K28" s="188">
        <f>K24+K11</f>
        <v>-4.0091805677987675E-4</v>
      </c>
      <c r="L28" s="188">
        <f>L26+L11</f>
        <v>-2.2909603244564386E-4</v>
      </c>
      <c r="M28" s="184"/>
    </row>
    <row r="29" spans="1:13" ht="15.75" x14ac:dyDescent="0.25">
      <c r="A29" s="173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3" x14ac:dyDescent="0.15">
      <c r="C30" s="172"/>
      <c r="G30" s="184"/>
      <c r="H30" s="184"/>
      <c r="I30" s="184"/>
      <c r="J30" s="184"/>
      <c r="K30" s="184"/>
    </row>
    <row r="32" spans="1:13" x14ac:dyDescent="0.15">
      <c r="C32" s="172"/>
    </row>
    <row r="34" spans="3:3" x14ac:dyDescent="0.15">
      <c r="C34" s="172"/>
    </row>
    <row r="36" spans="3:3" x14ac:dyDescent="0.15">
      <c r="C36" s="172"/>
    </row>
    <row r="38" spans="3:3" x14ac:dyDescent="0.15">
      <c r="C38" s="172"/>
    </row>
    <row r="39" spans="3:3" x14ac:dyDescent="0.15">
      <c r="C39" s="172"/>
    </row>
  </sheetData>
  <mergeCells count="2">
    <mergeCell ref="D4:K4"/>
    <mergeCell ref="F5:I5"/>
  </mergeCells>
  <printOptions horizontalCentered="1"/>
  <pageMargins left="0.5" right="0.5" top="1" bottom="1" header="0.5" footer="0.5"/>
  <pageSetup scale="67" orientation="portrait" r:id="rId1"/>
  <headerFooter scaleWithDoc="0" alignWithMargins="0">
    <oddFooter>&amp;LTab Name: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BF22-622C-420B-9ACA-149AE89A1695}">
  <dimension ref="A1:K94"/>
  <sheetViews>
    <sheetView topLeftCell="A59" workbookViewId="0">
      <selection activeCell="J39" activeCellId="1" sqref="A12:G12 J39"/>
    </sheetView>
  </sheetViews>
  <sheetFormatPr defaultColWidth="13.33203125" defaultRowHeight="12.75" x14ac:dyDescent="0.2"/>
  <cols>
    <col min="1" max="1" width="13.5" style="190" bestFit="1" customWidth="1"/>
    <col min="2" max="2" width="13.33203125" style="190"/>
    <col min="3" max="3" width="5.5" style="190" bestFit="1" customWidth="1"/>
    <col min="4" max="4" width="15.1640625" style="190" customWidth="1"/>
    <col min="5" max="5" width="16.33203125" style="190" bestFit="1" customWidth="1"/>
    <col min="6" max="6" width="15.33203125" style="190" customWidth="1"/>
    <col min="7" max="7" width="15.33203125" style="190" bestFit="1" customWidth="1"/>
    <col min="8" max="8" width="15.6640625" style="190" bestFit="1" customWidth="1"/>
    <col min="9" max="9" width="17.5" style="190" customWidth="1"/>
    <col min="10" max="10" width="16.33203125" style="190" bestFit="1" customWidth="1"/>
    <col min="11" max="11" width="14.6640625" style="190" bestFit="1" customWidth="1"/>
    <col min="12" max="16384" width="13.33203125" style="190"/>
  </cols>
  <sheetData>
    <row r="1" spans="1:11" x14ac:dyDescent="0.2">
      <c r="A1" s="312" t="s">
        <v>137</v>
      </c>
      <c r="B1" s="313"/>
      <c r="C1" s="189"/>
      <c r="D1" s="314" t="s">
        <v>138</v>
      </c>
      <c r="E1" s="314"/>
      <c r="F1" s="314"/>
      <c r="G1" s="314"/>
      <c r="H1" s="314"/>
      <c r="I1" s="315"/>
    </row>
    <row r="2" spans="1:11" x14ac:dyDescent="0.2">
      <c r="A2" s="308" t="s">
        <v>139</v>
      </c>
      <c r="B2" s="309"/>
      <c r="C2" s="191"/>
      <c r="D2" s="310" t="s">
        <v>140</v>
      </c>
      <c r="E2" s="310"/>
      <c r="F2" s="310"/>
      <c r="G2" s="310"/>
      <c r="H2" s="310"/>
      <c r="I2" s="311"/>
    </row>
    <row r="3" spans="1:11" x14ac:dyDescent="0.2">
      <c r="A3" s="308" t="s">
        <v>141</v>
      </c>
      <c r="B3" s="309"/>
      <c r="C3" s="191"/>
      <c r="D3" s="310" t="s">
        <v>142</v>
      </c>
      <c r="E3" s="310"/>
      <c r="F3" s="310"/>
      <c r="G3" s="310"/>
      <c r="H3" s="310"/>
      <c r="I3" s="311"/>
    </row>
    <row r="4" spans="1:11" x14ac:dyDescent="0.2">
      <c r="A4" s="308" t="s">
        <v>143</v>
      </c>
      <c r="B4" s="309"/>
      <c r="C4" s="191"/>
      <c r="D4" s="310"/>
      <c r="E4" s="310"/>
      <c r="F4" s="310"/>
      <c r="G4" s="310"/>
      <c r="H4" s="310"/>
      <c r="I4" s="311"/>
    </row>
    <row r="5" spans="1:11" x14ac:dyDescent="0.2">
      <c r="A5" s="308" t="s">
        <v>144</v>
      </c>
      <c r="B5" s="309"/>
      <c r="C5" s="191"/>
      <c r="D5" s="310" t="s">
        <v>145</v>
      </c>
      <c r="E5" s="310"/>
      <c r="F5" s="310"/>
      <c r="G5" s="310"/>
      <c r="H5" s="310"/>
      <c r="I5" s="311"/>
    </row>
    <row r="6" spans="1:11" x14ac:dyDescent="0.2">
      <c r="A6" s="308" t="s">
        <v>146</v>
      </c>
      <c r="B6" s="309"/>
      <c r="C6" s="191"/>
      <c r="D6" s="310" t="s">
        <v>147</v>
      </c>
      <c r="E6" s="310"/>
      <c r="F6" s="310"/>
      <c r="G6" s="310"/>
      <c r="H6" s="310"/>
      <c r="I6" s="311"/>
    </row>
    <row r="7" spans="1:11" ht="13.5" thickBot="1" x14ac:dyDescent="0.25">
      <c r="A7" s="302" t="s">
        <v>148</v>
      </c>
      <c r="B7" s="303"/>
      <c r="C7" s="192"/>
      <c r="D7" s="304" t="s">
        <v>149</v>
      </c>
      <c r="E7" s="304"/>
      <c r="F7" s="304"/>
      <c r="G7" s="304"/>
      <c r="H7" s="304"/>
      <c r="I7" s="305"/>
    </row>
    <row r="8" spans="1:11" x14ac:dyDescent="0.2">
      <c r="A8" s="193"/>
      <c r="B8" s="193"/>
      <c r="C8" s="193"/>
      <c r="D8" s="194"/>
      <c r="E8" s="194"/>
      <c r="F8" s="194"/>
      <c r="G8" s="194"/>
      <c r="H8" s="194"/>
      <c r="I8" s="194"/>
    </row>
    <row r="9" spans="1:11" x14ac:dyDescent="0.2">
      <c r="A9" s="191"/>
      <c r="E9" s="306" t="s">
        <v>150</v>
      </c>
      <c r="F9" s="306"/>
      <c r="G9" s="306"/>
    </row>
    <row r="10" spans="1:11" s="196" customFormat="1" x14ac:dyDescent="0.2">
      <c r="A10" s="195" t="s">
        <v>151</v>
      </c>
      <c r="B10" s="195" t="s">
        <v>33</v>
      </c>
      <c r="C10" s="195"/>
      <c r="D10" s="195" t="s">
        <v>152</v>
      </c>
      <c r="E10" s="195" t="s">
        <v>153</v>
      </c>
      <c r="F10" s="195" t="s">
        <v>154</v>
      </c>
      <c r="G10" s="195" t="s">
        <v>155</v>
      </c>
      <c r="H10" s="195" t="s">
        <v>156</v>
      </c>
      <c r="I10" s="195" t="s">
        <v>157</v>
      </c>
    </row>
    <row r="11" spans="1:11" x14ac:dyDescent="0.2">
      <c r="A11" s="197"/>
      <c r="B11" s="197"/>
      <c r="C11" s="197"/>
      <c r="D11" s="197"/>
      <c r="E11" s="197"/>
      <c r="F11" s="197"/>
      <c r="G11" s="197"/>
      <c r="H11" s="197"/>
      <c r="I11" s="198"/>
    </row>
    <row r="12" spans="1:11" x14ac:dyDescent="0.2">
      <c r="A12" s="307" t="s">
        <v>158</v>
      </c>
      <c r="B12" s="307"/>
      <c r="C12" s="307"/>
      <c r="D12" s="307"/>
      <c r="E12" s="307"/>
      <c r="F12" s="307"/>
      <c r="G12" s="307"/>
      <c r="H12" s="198">
        <f>+'[34]2540.20484'!$G$12+'[34]2540.20483'!$G$12</f>
        <v>-514028.18</v>
      </c>
      <c r="I12" s="198"/>
    </row>
    <row r="13" spans="1:11" x14ac:dyDescent="0.2">
      <c r="A13" s="307"/>
      <c r="B13" s="307"/>
      <c r="C13" s="307"/>
      <c r="D13" s="307"/>
      <c r="E13" s="307"/>
      <c r="F13" s="307"/>
      <c r="G13" s="307"/>
      <c r="H13" s="198"/>
      <c r="I13" s="198">
        <f>SUM(H12:H12)</f>
        <v>-514028.18</v>
      </c>
    </row>
    <row r="14" spans="1:11" x14ac:dyDescent="0.2">
      <c r="A14" s="199">
        <v>43343</v>
      </c>
      <c r="B14" s="200" t="s">
        <v>159</v>
      </c>
      <c r="C14" s="200"/>
      <c r="D14" s="201">
        <v>61836631</v>
      </c>
      <c r="E14" s="202">
        <f>4805.95+1389.35</f>
        <v>6195.2999999999993</v>
      </c>
      <c r="F14" s="198">
        <v>22031.420000000002</v>
      </c>
      <c r="G14" s="198">
        <f t="shared" ref="G14:G18" si="0">ROUND(I13*VLOOKUP(A14,TAXINT18,2)/365*VLOOKUP(A14,TAXINT18,3),2)</f>
        <v>0</v>
      </c>
      <c r="H14" s="198"/>
      <c r="I14" s="198">
        <f>SUM(E14:H14)+I13</f>
        <v>-485801.45999999996</v>
      </c>
      <c r="K14" s="202"/>
    </row>
    <row r="15" spans="1:11" x14ac:dyDescent="0.2">
      <c r="A15" s="199">
        <v>43373</v>
      </c>
      <c r="B15" s="200" t="s">
        <v>159</v>
      </c>
      <c r="C15" s="200"/>
      <c r="D15" s="201">
        <v>69221884</v>
      </c>
      <c r="E15" s="202">
        <f>-49243.39-14235.72</f>
        <v>-63479.11</v>
      </c>
      <c r="F15" s="198">
        <v>33942.11</v>
      </c>
      <c r="G15" s="198">
        <f t="shared" si="0"/>
        <v>0</v>
      </c>
      <c r="H15" s="198"/>
      <c r="I15" s="198">
        <f t="shared" ref="I15:I24" si="1">SUM(E15:H15)+I14</f>
        <v>-515338.45999999996</v>
      </c>
      <c r="K15" s="202"/>
    </row>
    <row r="16" spans="1:11" x14ac:dyDescent="0.2">
      <c r="A16" s="199">
        <v>43404</v>
      </c>
      <c r="B16" s="200" t="s">
        <v>159</v>
      </c>
      <c r="C16" s="200"/>
      <c r="D16" s="201">
        <v>58118580</v>
      </c>
      <c r="E16" s="203">
        <f>-49243.39-14235.72</f>
        <v>-63479.11</v>
      </c>
      <c r="F16" s="198">
        <v>42097.31</v>
      </c>
      <c r="G16" s="198">
        <f t="shared" si="0"/>
        <v>0</v>
      </c>
      <c r="H16" s="204"/>
      <c r="I16" s="205">
        <f t="shared" si="1"/>
        <v>-536720.26</v>
      </c>
      <c r="K16" s="203"/>
    </row>
    <row r="17" spans="1:11" x14ac:dyDescent="0.2">
      <c r="A17" s="199">
        <v>43434</v>
      </c>
      <c r="B17" s="200" t="s">
        <v>160</v>
      </c>
      <c r="C17" s="200"/>
      <c r="D17" s="201">
        <v>43389765</v>
      </c>
      <c r="E17" s="203">
        <f>-49243.39-14235.72</f>
        <v>-63479.11</v>
      </c>
      <c r="F17" s="198">
        <v>54033.37</v>
      </c>
      <c r="G17" s="198">
        <f t="shared" si="0"/>
        <v>0</v>
      </c>
      <c r="H17" s="204"/>
      <c r="I17" s="205">
        <f t="shared" si="1"/>
        <v>-546166</v>
      </c>
      <c r="K17" s="203"/>
    </row>
    <row r="18" spans="1:11" x14ac:dyDescent="0.2">
      <c r="A18" s="199">
        <v>43465</v>
      </c>
      <c r="B18" s="200" t="s">
        <v>159</v>
      </c>
      <c r="C18" s="200"/>
      <c r="D18" s="201">
        <v>80158637</v>
      </c>
      <c r="E18" s="203">
        <f>-115368.32-33351.71</f>
        <v>-148720.03</v>
      </c>
      <c r="F18" s="198">
        <v>104987.81999999998</v>
      </c>
      <c r="G18" s="198">
        <f t="shared" si="0"/>
        <v>0</v>
      </c>
      <c r="H18" s="204"/>
      <c r="I18" s="205">
        <f t="shared" si="1"/>
        <v>-589898.21</v>
      </c>
      <c r="K18" s="203"/>
    </row>
    <row r="19" spans="1:11" x14ac:dyDescent="0.2">
      <c r="A19" s="199">
        <v>43496</v>
      </c>
      <c r="B19" s="200" t="s">
        <v>159</v>
      </c>
      <c r="C19" s="200"/>
      <c r="D19" s="201">
        <v>86264908</v>
      </c>
      <c r="E19" s="203">
        <f>-54753.8-15828.72</f>
        <v>-70582.52</v>
      </c>
      <c r="F19" s="198">
        <v>117892.7</v>
      </c>
      <c r="G19" s="198">
        <f t="shared" ref="G19:G40" si="2">ROUND(I18*VLOOKUP(A19,TAXINT19,2)/365*VLOOKUP(A19,TAXINT19,3),2)</f>
        <v>0</v>
      </c>
      <c r="H19" s="204"/>
      <c r="I19" s="205">
        <f t="shared" si="1"/>
        <v>-542588.03</v>
      </c>
      <c r="K19" s="203"/>
    </row>
    <row r="20" spans="1:11" x14ac:dyDescent="0.2">
      <c r="A20" s="199">
        <v>43524</v>
      </c>
      <c r="B20" s="200" t="s">
        <v>159</v>
      </c>
      <c r="C20" s="200"/>
      <c r="D20" s="201">
        <v>82269503</v>
      </c>
      <c r="E20" s="203">
        <f>-54753.8-15828.72</f>
        <v>-70582.52</v>
      </c>
      <c r="F20" s="198">
        <v>123275.80999999998</v>
      </c>
      <c r="G20" s="198">
        <f t="shared" si="2"/>
        <v>0</v>
      </c>
      <c r="H20" s="204"/>
      <c r="I20" s="205">
        <f t="shared" si="1"/>
        <v>-489894.74000000005</v>
      </c>
      <c r="K20" s="203"/>
    </row>
    <row r="21" spans="1:11" x14ac:dyDescent="0.2">
      <c r="A21" s="199">
        <v>43555</v>
      </c>
      <c r="B21" s="200" t="s">
        <v>159</v>
      </c>
      <c r="C21" s="200"/>
      <c r="D21" s="201">
        <v>84736435</v>
      </c>
      <c r="E21" s="203">
        <f>-54753.8-15828.72</f>
        <v>-70582.52</v>
      </c>
      <c r="F21" s="198">
        <v>133620.82999999999</v>
      </c>
      <c r="G21" s="198">
        <f t="shared" si="2"/>
        <v>0</v>
      </c>
      <c r="H21" s="204"/>
      <c r="I21" s="205">
        <f t="shared" si="1"/>
        <v>-426856.43000000005</v>
      </c>
      <c r="K21" s="203"/>
    </row>
    <row r="22" spans="1:11" x14ac:dyDescent="0.2">
      <c r="A22" s="199">
        <v>43585</v>
      </c>
      <c r="B22" s="200" t="s">
        <v>159</v>
      </c>
      <c r="C22" s="200"/>
      <c r="D22" s="201">
        <v>62230455</v>
      </c>
      <c r="E22" s="202">
        <v>-70582.52</v>
      </c>
      <c r="F22" s="198">
        <v>79333.01999999999</v>
      </c>
      <c r="G22" s="198">
        <f t="shared" si="2"/>
        <v>0</v>
      </c>
      <c r="I22" s="205">
        <f t="shared" si="1"/>
        <v>-418105.93000000005</v>
      </c>
      <c r="K22" s="202"/>
    </row>
    <row r="23" spans="1:11" x14ac:dyDescent="0.2">
      <c r="A23" s="199">
        <v>43616</v>
      </c>
      <c r="B23" s="200" t="s">
        <v>159</v>
      </c>
      <c r="C23" s="200"/>
      <c r="D23" s="201">
        <v>50477479</v>
      </c>
      <c r="E23" s="202">
        <v>-70582.52</v>
      </c>
      <c r="F23" s="198">
        <v>51507.66</v>
      </c>
      <c r="G23" s="198">
        <f t="shared" si="2"/>
        <v>0</v>
      </c>
      <c r="I23" s="205">
        <f t="shared" si="1"/>
        <v>-437180.79000000004</v>
      </c>
      <c r="K23" s="202"/>
    </row>
    <row r="24" spans="1:11" x14ac:dyDescent="0.2">
      <c r="A24" s="199">
        <v>43646</v>
      </c>
      <c r="B24" s="200" t="s">
        <v>159</v>
      </c>
      <c r="C24" s="200"/>
      <c r="D24" s="201">
        <v>51732018</v>
      </c>
      <c r="E24" s="202">
        <v>-70582.52</v>
      </c>
      <c r="F24" s="198">
        <v>36789.73000000001</v>
      </c>
      <c r="G24" s="198">
        <f t="shared" si="2"/>
        <v>0</v>
      </c>
      <c r="I24" s="205">
        <f t="shared" si="1"/>
        <v>-470973.58</v>
      </c>
      <c r="K24" s="202"/>
    </row>
    <row r="25" spans="1:11" x14ac:dyDescent="0.2">
      <c r="A25" s="199">
        <v>43677</v>
      </c>
      <c r="B25" s="200" t="s">
        <v>159</v>
      </c>
      <c r="C25" s="200"/>
      <c r="D25" s="201">
        <v>67400695</v>
      </c>
      <c r="E25" s="202">
        <v>-70582.52</v>
      </c>
      <c r="F25" s="198">
        <v>37782.589999999997</v>
      </c>
      <c r="G25" s="198">
        <f t="shared" si="2"/>
        <v>0</v>
      </c>
      <c r="I25" s="205">
        <f t="shared" ref="I25:I88" si="3">SUM(E25:H25)+I24</f>
        <v>-503773.51</v>
      </c>
      <c r="K25" s="202"/>
    </row>
    <row r="26" spans="1:11" x14ac:dyDescent="0.2">
      <c r="A26" s="199">
        <v>43708</v>
      </c>
      <c r="B26" s="200" t="s">
        <v>159</v>
      </c>
      <c r="C26" s="200"/>
      <c r="D26" s="201">
        <v>76438837</v>
      </c>
      <c r="E26" s="202">
        <v>-70582.52</v>
      </c>
      <c r="F26" s="198">
        <v>38520.17</v>
      </c>
      <c r="G26" s="198">
        <f t="shared" si="2"/>
        <v>0</v>
      </c>
      <c r="I26" s="205">
        <f t="shared" si="3"/>
        <v>-535835.86</v>
      </c>
    </row>
    <row r="27" spans="1:11" x14ac:dyDescent="0.2">
      <c r="A27" s="199">
        <v>43738</v>
      </c>
      <c r="B27" s="200" t="s">
        <v>159</v>
      </c>
      <c r="C27" s="200"/>
      <c r="D27" s="201">
        <v>73218474</v>
      </c>
      <c r="E27" s="202">
        <v>-70582.52</v>
      </c>
      <c r="F27" s="198">
        <v>37085.589999999997</v>
      </c>
      <c r="G27" s="198">
        <f t="shared" si="2"/>
        <v>0</v>
      </c>
      <c r="I27" s="205">
        <f t="shared" si="3"/>
        <v>-569332.79</v>
      </c>
    </row>
    <row r="28" spans="1:11" x14ac:dyDescent="0.2">
      <c r="A28" s="199">
        <v>43769</v>
      </c>
      <c r="B28" s="200" t="s">
        <v>159</v>
      </c>
      <c r="C28" s="200"/>
      <c r="D28" s="201">
        <v>62211815</v>
      </c>
      <c r="E28" s="203">
        <v>-70582.52</v>
      </c>
      <c r="F28" s="198">
        <v>52763.69999999999</v>
      </c>
      <c r="G28" s="198">
        <f t="shared" si="2"/>
        <v>0</v>
      </c>
      <c r="I28" s="205">
        <f t="shared" si="3"/>
        <v>-587151.6100000001</v>
      </c>
    </row>
    <row r="29" spans="1:11" x14ac:dyDescent="0.2">
      <c r="A29" s="199">
        <v>43799</v>
      </c>
      <c r="B29" s="200" t="s">
        <v>160</v>
      </c>
      <c r="C29" s="200"/>
      <c r="D29" s="201">
        <v>72608604</v>
      </c>
      <c r="E29" s="203">
        <v>-70582.52</v>
      </c>
      <c r="F29" s="198">
        <v>75447.94</v>
      </c>
      <c r="G29" s="198">
        <f t="shared" si="2"/>
        <v>0</v>
      </c>
      <c r="I29" s="205">
        <f t="shared" si="3"/>
        <v>-582286.19000000006</v>
      </c>
    </row>
    <row r="30" spans="1:11" x14ac:dyDescent="0.2">
      <c r="A30" s="199">
        <v>43830</v>
      </c>
      <c r="B30" s="200" t="s">
        <v>159</v>
      </c>
      <c r="C30" s="200"/>
      <c r="D30" s="201">
        <v>95612394</v>
      </c>
      <c r="E30" s="203">
        <v>-70582.52</v>
      </c>
      <c r="F30" s="198">
        <v>102717.34999999999</v>
      </c>
      <c r="G30" s="198">
        <f t="shared" si="2"/>
        <v>0</v>
      </c>
      <c r="I30" s="205">
        <f t="shared" si="3"/>
        <v>-550151.3600000001</v>
      </c>
    </row>
    <row r="31" spans="1:11" x14ac:dyDescent="0.2">
      <c r="A31" s="199">
        <v>43861</v>
      </c>
      <c r="B31" s="200" t="s">
        <v>159</v>
      </c>
      <c r="C31" s="200"/>
      <c r="D31" s="201">
        <v>96190788</v>
      </c>
      <c r="E31" s="203">
        <v>-70582.52</v>
      </c>
      <c r="F31" s="198">
        <v>118892.84999999999</v>
      </c>
      <c r="G31" s="198">
        <f t="shared" si="2"/>
        <v>0</v>
      </c>
      <c r="I31" s="205">
        <f t="shared" si="3"/>
        <v>-501841.03000000014</v>
      </c>
    </row>
    <row r="32" spans="1:11" x14ac:dyDescent="0.2">
      <c r="A32" s="199">
        <v>43890</v>
      </c>
      <c r="B32" s="200" t="s">
        <v>159</v>
      </c>
      <c r="C32" s="200"/>
      <c r="D32" s="201">
        <v>84770508</v>
      </c>
      <c r="E32" s="203">
        <v>-70582.52</v>
      </c>
      <c r="F32" s="198">
        <v>99315.169999999984</v>
      </c>
      <c r="G32" s="198">
        <f t="shared" si="2"/>
        <v>0</v>
      </c>
      <c r="I32" s="205">
        <f t="shared" si="3"/>
        <v>-473108.38000000018</v>
      </c>
    </row>
    <row r="33" spans="1:9" x14ac:dyDescent="0.2">
      <c r="A33" s="199">
        <v>43921</v>
      </c>
      <c r="B33" s="200" t="s">
        <v>159</v>
      </c>
      <c r="C33" s="200"/>
      <c r="D33" s="201">
        <v>99882117</v>
      </c>
      <c r="E33" s="203">
        <v>-70582.52</v>
      </c>
      <c r="F33" s="198">
        <v>103377</v>
      </c>
      <c r="G33" s="198">
        <f t="shared" si="2"/>
        <v>0</v>
      </c>
      <c r="I33" s="205">
        <f t="shared" si="3"/>
        <v>-440313.9000000002</v>
      </c>
    </row>
    <row r="34" spans="1:9" x14ac:dyDescent="0.2">
      <c r="A34" s="199">
        <v>43951</v>
      </c>
      <c r="B34" s="200" t="s">
        <v>159</v>
      </c>
      <c r="C34" s="200"/>
      <c r="D34" s="201">
        <v>81878770</v>
      </c>
      <c r="E34" s="203">
        <v>-70582.52</v>
      </c>
      <c r="F34" s="198">
        <v>81185.649999999994</v>
      </c>
      <c r="G34" s="198">
        <f t="shared" si="2"/>
        <v>0</v>
      </c>
      <c r="I34" s="205">
        <f t="shared" si="3"/>
        <v>-429710.77000000019</v>
      </c>
    </row>
    <row r="35" spans="1:9" x14ac:dyDescent="0.2">
      <c r="A35" s="199">
        <v>43982</v>
      </c>
      <c r="B35" s="200" t="s">
        <v>159</v>
      </c>
      <c r="C35" s="200"/>
      <c r="D35" s="201">
        <v>46164069</v>
      </c>
      <c r="E35" s="203">
        <v>-70582.52</v>
      </c>
      <c r="F35" s="198">
        <v>41649.68</v>
      </c>
      <c r="G35" s="198">
        <f t="shared" si="2"/>
        <v>0</v>
      </c>
      <c r="I35" s="205">
        <f t="shared" si="3"/>
        <v>-458643.61000000022</v>
      </c>
    </row>
    <row r="36" spans="1:9" x14ac:dyDescent="0.2">
      <c r="A36" s="199">
        <v>44012</v>
      </c>
      <c r="B36" s="200" t="s">
        <v>159</v>
      </c>
      <c r="C36" s="200"/>
      <c r="D36" s="201">
        <v>43284213</v>
      </c>
      <c r="E36" s="203">
        <v>-70582.52</v>
      </c>
      <c r="F36" s="198">
        <v>33813.620000000003</v>
      </c>
      <c r="G36" s="198">
        <f t="shared" si="2"/>
        <v>0</v>
      </c>
      <c r="I36" s="205">
        <f t="shared" si="3"/>
        <v>-495412.51000000024</v>
      </c>
    </row>
    <row r="37" spans="1:9" x14ac:dyDescent="0.2">
      <c r="A37" s="199">
        <v>44043</v>
      </c>
      <c r="B37" s="200" t="s">
        <v>159</v>
      </c>
      <c r="C37" s="200"/>
      <c r="D37" s="201">
        <v>55089338</v>
      </c>
      <c r="E37" s="203">
        <v>-70582.52</v>
      </c>
      <c r="F37" s="198">
        <v>33362.270000000004</v>
      </c>
      <c r="G37" s="198">
        <f t="shared" si="2"/>
        <v>0</v>
      </c>
      <c r="I37" s="205">
        <f t="shared" si="3"/>
        <v>-532632.76000000024</v>
      </c>
    </row>
    <row r="38" spans="1:9" x14ac:dyDescent="0.2">
      <c r="A38" s="199">
        <v>44074</v>
      </c>
      <c r="B38" s="200" t="s">
        <v>159</v>
      </c>
      <c r="D38" s="201">
        <v>66863465</v>
      </c>
      <c r="E38" s="203">
        <v>-70582.52</v>
      </c>
      <c r="F38" s="198">
        <v>31161.93</v>
      </c>
      <c r="G38" s="198">
        <f t="shared" si="2"/>
        <v>0</v>
      </c>
      <c r="I38" s="205">
        <f t="shared" si="3"/>
        <v>-572053.35000000021</v>
      </c>
    </row>
    <row r="39" spans="1:9" x14ac:dyDescent="0.2">
      <c r="A39" s="199">
        <v>44104</v>
      </c>
      <c r="B39" s="200" t="s">
        <v>159</v>
      </c>
      <c r="D39" s="201">
        <v>73703550</v>
      </c>
      <c r="E39" s="203">
        <v>-70582.52</v>
      </c>
      <c r="F39" s="198">
        <v>34286.070000000007</v>
      </c>
      <c r="G39" s="198">
        <f t="shared" si="2"/>
        <v>0</v>
      </c>
      <c r="I39" s="205">
        <f t="shared" si="3"/>
        <v>-608349.80000000016</v>
      </c>
    </row>
    <row r="40" spans="1:9" x14ac:dyDescent="0.2">
      <c r="A40" s="199">
        <v>44135</v>
      </c>
      <c r="B40" s="200" t="s">
        <v>159</v>
      </c>
      <c r="D40" s="201">
        <v>65687484</v>
      </c>
      <c r="E40" s="203">
        <v>-70582.52</v>
      </c>
      <c r="F40" s="198">
        <v>37320.130000000005</v>
      </c>
      <c r="G40" s="198">
        <f t="shared" si="2"/>
        <v>0</v>
      </c>
      <c r="I40" s="205">
        <f t="shared" si="3"/>
        <v>-641612.19000000018</v>
      </c>
    </row>
    <row r="41" spans="1:9" x14ac:dyDescent="0.2">
      <c r="A41" s="199">
        <v>44165</v>
      </c>
      <c r="B41" s="200" t="s">
        <v>159</v>
      </c>
      <c r="C41" s="206"/>
      <c r="D41" s="201">
        <v>68293788</v>
      </c>
      <c r="E41" s="190">
        <f>+'[35]2540.20483'!$D$41+'[35]2540.20484'!$D$41</f>
        <v>-70582.52</v>
      </c>
      <c r="F41" s="198">
        <v>69021.06</v>
      </c>
      <c r="G41" s="198">
        <v>0</v>
      </c>
      <c r="I41" s="205">
        <f t="shared" si="3"/>
        <v>-643173.65000000014</v>
      </c>
    </row>
    <row r="42" spans="1:9" x14ac:dyDescent="0.2">
      <c r="A42" s="199">
        <v>44196</v>
      </c>
      <c r="B42" s="200" t="s">
        <v>159</v>
      </c>
      <c r="C42" s="206"/>
      <c r="D42" s="201">
        <v>94595765</v>
      </c>
      <c r="E42" s="190">
        <f>+'[35]2540.20483'!$D$41+'[35]2540.20484'!$D$41</f>
        <v>-70582.52</v>
      </c>
      <c r="F42" s="198">
        <v>128935.58</v>
      </c>
      <c r="G42" s="198">
        <v>0</v>
      </c>
      <c r="I42" s="205">
        <f t="shared" si="3"/>
        <v>-584820.59000000008</v>
      </c>
    </row>
    <row r="43" spans="1:9" x14ac:dyDescent="0.2">
      <c r="A43" s="199">
        <v>44227</v>
      </c>
      <c r="B43" s="200" t="s">
        <v>159</v>
      </c>
      <c r="C43" s="206"/>
      <c r="D43" s="201">
        <v>93263558</v>
      </c>
      <c r="E43" s="190">
        <f>+'[35]2540.20483'!$D$41+'[35]2540.20484'!$D$41</f>
        <v>-70582.52</v>
      </c>
      <c r="F43" s="198">
        <v>134547.38999999998</v>
      </c>
      <c r="G43" s="198">
        <v>0</v>
      </c>
      <c r="I43" s="205">
        <f t="shared" si="3"/>
        <v>-520855.72000000009</v>
      </c>
    </row>
    <row r="44" spans="1:9" x14ac:dyDescent="0.2">
      <c r="A44" s="199">
        <v>44255</v>
      </c>
      <c r="B44" s="200" t="s">
        <v>159</v>
      </c>
      <c r="C44" s="206"/>
      <c r="D44" s="201">
        <v>86995469</v>
      </c>
      <c r="E44" s="190">
        <f>+'[35]2540.20483'!$D$41+'[35]2540.20484'!$D$41</f>
        <v>-70582.52</v>
      </c>
      <c r="F44" s="198">
        <v>126570.46</v>
      </c>
      <c r="G44" s="198">
        <v>0</v>
      </c>
      <c r="I44" s="205">
        <f t="shared" si="3"/>
        <v>-464867.78000000009</v>
      </c>
    </row>
    <row r="45" spans="1:9" x14ac:dyDescent="0.2">
      <c r="A45" s="199">
        <v>44286</v>
      </c>
      <c r="B45" s="200" t="s">
        <v>159</v>
      </c>
      <c r="C45" s="206"/>
      <c r="D45" s="201">
        <v>103209019</v>
      </c>
      <c r="E45" s="190">
        <f>+'[35]2540.20483'!$D$41+'[35]2540.20484'!$D$41</f>
        <v>-70582.52</v>
      </c>
      <c r="F45" s="198">
        <v>138668.46</v>
      </c>
      <c r="G45" s="198">
        <v>0</v>
      </c>
      <c r="I45" s="205">
        <f t="shared" si="3"/>
        <v>-396781.84000000008</v>
      </c>
    </row>
    <row r="46" spans="1:9" x14ac:dyDescent="0.2">
      <c r="A46" s="199">
        <v>44316</v>
      </c>
      <c r="B46" s="200" t="s">
        <v>159</v>
      </c>
      <c r="C46" s="206"/>
      <c r="D46" s="201">
        <v>89581135</v>
      </c>
      <c r="E46" s="190">
        <f>+'[35]2540.20483'!$D$41+'[35]2540.20484'!$D$41</f>
        <v>-70582.52</v>
      </c>
      <c r="F46" s="198">
        <v>102171.39</v>
      </c>
      <c r="G46" s="198">
        <v>0</v>
      </c>
      <c r="I46" s="205">
        <f t="shared" si="3"/>
        <v>-365192.97000000009</v>
      </c>
    </row>
    <row r="47" spans="1:9" x14ac:dyDescent="0.2">
      <c r="A47" s="199">
        <v>44347</v>
      </c>
      <c r="B47" s="200" t="s">
        <v>159</v>
      </c>
      <c r="C47" s="206"/>
      <c r="D47" s="201">
        <v>56228122</v>
      </c>
      <c r="E47" s="190">
        <f>+'[35]2540.20483'!$D$41+'[35]2540.20484'!$D$41</f>
        <v>-70582.52</v>
      </c>
      <c r="F47" s="198">
        <v>55508.249999999993</v>
      </c>
      <c r="G47" s="198">
        <v>0</v>
      </c>
      <c r="I47" s="205">
        <f t="shared" si="3"/>
        <v>-380267.24000000011</v>
      </c>
    </row>
    <row r="48" spans="1:9" x14ac:dyDescent="0.2">
      <c r="A48" s="199">
        <v>44377</v>
      </c>
      <c r="B48" s="200" t="s">
        <v>159</v>
      </c>
      <c r="C48" s="206"/>
      <c r="D48" s="201">
        <v>68779022</v>
      </c>
      <c r="E48" s="190">
        <f>-36588.36-54753.8</f>
        <v>-91342.16</v>
      </c>
      <c r="F48" s="198">
        <f>39226.75+12832.72</f>
        <v>52059.47</v>
      </c>
      <c r="G48" s="198">
        <v>0</v>
      </c>
      <c r="I48" s="205">
        <f t="shared" si="3"/>
        <v>-419549.93000000011</v>
      </c>
    </row>
    <row r="49" spans="1:9" x14ac:dyDescent="0.2">
      <c r="A49" s="199">
        <v>44408</v>
      </c>
      <c r="B49" s="200" t="s">
        <v>159</v>
      </c>
      <c r="C49" s="206"/>
      <c r="D49" s="201">
        <v>72135275</v>
      </c>
      <c r="E49" s="190">
        <f>-17786.04-54753.8</f>
        <v>-72539.839999999997</v>
      </c>
      <c r="F49" s="198">
        <f>31605.34+10382.03</f>
        <v>41987.37</v>
      </c>
      <c r="G49" s="198">
        <v>0</v>
      </c>
      <c r="I49" s="205">
        <f t="shared" si="3"/>
        <v>-450102.40000000008</v>
      </c>
    </row>
    <row r="50" spans="1:9" x14ac:dyDescent="0.2">
      <c r="A50" s="199">
        <v>44439</v>
      </c>
      <c r="B50" s="200" t="s">
        <v>159</v>
      </c>
      <c r="D50" s="201">
        <v>70764185</v>
      </c>
      <c r="E50" s="190">
        <f t="shared" ref="E50:E61" si="4">-54753.8-17786.04</f>
        <v>-72539.839999999997</v>
      </c>
      <c r="F50" s="190">
        <f>29961.41+9847.89</f>
        <v>39809.300000000003</v>
      </c>
      <c r="G50" s="198">
        <v>0</v>
      </c>
      <c r="I50" s="205">
        <f t="shared" si="3"/>
        <v>-482832.94000000006</v>
      </c>
    </row>
    <row r="51" spans="1:9" x14ac:dyDescent="0.2">
      <c r="A51" s="199">
        <v>44469</v>
      </c>
      <c r="B51" s="200" t="s">
        <v>159</v>
      </c>
      <c r="D51" s="201">
        <v>71864038</v>
      </c>
      <c r="E51" s="190">
        <f t="shared" si="4"/>
        <v>-72539.839999999997</v>
      </c>
      <c r="F51" s="190">
        <f>10419.05+31722.02</f>
        <v>42141.07</v>
      </c>
      <c r="G51" s="198">
        <v>0</v>
      </c>
      <c r="I51" s="205">
        <f t="shared" si="3"/>
        <v>-513231.71000000008</v>
      </c>
    </row>
    <row r="52" spans="1:9" x14ac:dyDescent="0.2">
      <c r="A52" s="199">
        <v>44500</v>
      </c>
      <c r="B52" s="200" t="s">
        <v>159</v>
      </c>
      <c r="D52" s="201">
        <v>72338720</v>
      </c>
      <c r="E52" s="190">
        <f t="shared" si="4"/>
        <v>-72539.839999999997</v>
      </c>
      <c r="F52" s="190">
        <f>13415.19+40995.1</f>
        <v>54410.29</v>
      </c>
      <c r="G52" s="198">
        <v>0</v>
      </c>
      <c r="I52" s="205">
        <f t="shared" si="3"/>
        <v>-531361.26000000013</v>
      </c>
    </row>
    <row r="53" spans="1:9" x14ac:dyDescent="0.2">
      <c r="A53" s="199">
        <v>44530</v>
      </c>
      <c r="B53" s="200" t="s">
        <v>159</v>
      </c>
      <c r="C53" s="206"/>
      <c r="D53" s="201">
        <v>75721245</v>
      </c>
      <c r="E53" s="190">
        <f t="shared" si="4"/>
        <v>-72539.839999999997</v>
      </c>
      <c r="F53" s="190">
        <f>16814.18+51064.05</f>
        <v>67878.23000000001</v>
      </c>
      <c r="G53" s="198">
        <v>0</v>
      </c>
      <c r="I53" s="205">
        <f t="shared" si="3"/>
        <v>-536022.87000000011</v>
      </c>
    </row>
    <row r="54" spans="1:9" x14ac:dyDescent="0.2">
      <c r="A54" s="199">
        <v>44561</v>
      </c>
      <c r="B54" s="200" t="s">
        <v>159</v>
      </c>
      <c r="C54" s="206"/>
      <c r="D54" s="201">
        <v>83926722</v>
      </c>
      <c r="E54" s="190">
        <f t="shared" si="4"/>
        <v>-72539.839999999997</v>
      </c>
      <c r="F54" s="190">
        <f>20631.56+62914.66</f>
        <v>83546.22</v>
      </c>
      <c r="G54" s="198">
        <v>0</v>
      </c>
      <c r="I54" s="205">
        <f t="shared" si="3"/>
        <v>-525016.49000000011</v>
      </c>
    </row>
    <row r="55" spans="1:9" x14ac:dyDescent="0.2">
      <c r="A55" s="199">
        <v>44592</v>
      </c>
      <c r="B55" s="200" t="s">
        <v>159</v>
      </c>
      <c r="C55" s="206"/>
      <c r="D55" s="201">
        <v>95413022</v>
      </c>
      <c r="E55" s="190">
        <f t="shared" si="4"/>
        <v>-72539.839999999997</v>
      </c>
      <c r="F55" s="190">
        <f>30256.43+92748.84</f>
        <v>123005.26999999999</v>
      </c>
      <c r="G55" s="198">
        <v>0</v>
      </c>
      <c r="I55" s="205">
        <f t="shared" si="3"/>
        <v>-474551.06000000011</v>
      </c>
    </row>
    <row r="56" spans="1:9" x14ac:dyDescent="0.2">
      <c r="A56" s="199">
        <v>44620</v>
      </c>
      <c r="B56" s="200" t="s">
        <v>159</v>
      </c>
      <c r="C56" s="206"/>
      <c r="D56" s="201">
        <v>85017241</v>
      </c>
      <c r="E56" s="190">
        <f t="shared" si="4"/>
        <v>-72539.839999999997</v>
      </c>
      <c r="F56" s="190">
        <f>24013.32+73454.78</f>
        <v>97468.1</v>
      </c>
      <c r="G56" s="198">
        <v>0</v>
      </c>
      <c r="I56" s="205">
        <f t="shared" si="3"/>
        <v>-449622.8000000001</v>
      </c>
    </row>
    <row r="57" spans="1:9" x14ac:dyDescent="0.2">
      <c r="A57" s="199">
        <v>44651</v>
      </c>
      <c r="B57" s="200" t="s">
        <v>159</v>
      </c>
      <c r="C57" s="206"/>
      <c r="D57" s="201">
        <v>84723347</v>
      </c>
      <c r="E57" s="190">
        <f t="shared" si="4"/>
        <v>-72539.839999999997</v>
      </c>
      <c r="F57" s="190">
        <f>23425.62+71622.66</f>
        <v>95048.28</v>
      </c>
      <c r="G57" s="198">
        <v>0</v>
      </c>
      <c r="I57" s="205">
        <f t="shared" si="3"/>
        <v>-427114.3600000001</v>
      </c>
    </row>
    <row r="58" spans="1:9" x14ac:dyDescent="0.2">
      <c r="A58" s="199">
        <v>44681</v>
      </c>
      <c r="B58" s="200" t="s">
        <v>159</v>
      </c>
      <c r="C58" s="206"/>
      <c r="D58" s="201">
        <v>74032012</v>
      </c>
      <c r="E58" s="190">
        <f t="shared" si="4"/>
        <v>-72539.839999999997</v>
      </c>
      <c r="F58" s="190">
        <f>16496.13+50187.92</f>
        <v>66684.05</v>
      </c>
      <c r="G58" s="198">
        <v>0</v>
      </c>
      <c r="I58" s="205">
        <f t="shared" si="3"/>
        <v>-432970.15000000008</v>
      </c>
    </row>
    <row r="59" spans="1:9" x14ac:dyDescent="0.2">
      <c r="A59" s="199">
        <v>44712</v>
      </c>
      <c r="B59" s="200" t="s">
        <v>159</v>
      </c>
      <c r="C59" s="206"/>
      <c r="D59" s="201">
        <v>63470461</v>
      </c>
      <c r="E59" s="190">
        <f t="shared" si="4"/>
        <v>-72539.839999999997</v>
      </c>
      <c r="F59" s="190">
        <f>14150.48+43051.94</f>
        <v>57202.42</v>
      </c>
      <c r="G59" s="198">
        <v>0</v>
      </c>
      <c r="I59" s="205">
        <f t="shared" si="3"/>
        <v>-448307.57000000007</v>
      </c>
    </row>
    <row r="60" spans="1:9" x14ac:dyDescent="0.2">
      <c r="A60" s="199">
        <v>44742</v>
      </c>
      <c r="B60" s="200" t="s">
        <v>159</v>
      </c>
      <c r="C60" s="206"/>
      <c r="D60" s="201">
        <v>47634752</v>
      </c>
      <c r="E60" s="190">
        <f t="shared" si="4"/>
        <v>-72539.839999999997</v>
      </c>
      <c r="F60" s="190">
        <f>9365.05+28395.22</f>
        <v>37760.270000000004</v>
      </c>
      <c r="G60" s="198">
        <v>0</v>
      </c>
      <c r="I60" s="205">
        <f t="shared" si="3"/>
        <v>-483087.14000000007</v>
      </c>
    </row>
    <row r="61" spans="1:9" x14ac:dyDescent="0.2">
      <c r="A61" s="199">
        <v>44773</v>
      </c>
      <c r="B61" s="200" t="s">
        <v>159</v>
      </c>
      <c r="C61" s="206"/>
      <c r="D61" s="201">
        <v>60581431</v>
      </c>
      <c r="E61" s="190">
        <f t="shared" si="4"/>
        <v>-72539.839999999997</v>
      </c>
      <c r="F61" s="190">
        <f>7386.41+26204.33</f>
        <v>33590.740000000005</v>
      </c>
      <c r="G61" s="198">
        <v>0</v>
      </c>
      <c r="I61" s="205">
        <f t="shared" si="3"/>
        <v>-522036.24000000005</v>
      </c>
    </row>
    <row r="62" spans="1:9" x14ac:dyDescent="0.2">
      <c r="A62" s="199">
        <v>44804</v>
      </c>
      <c r="B62" s="200" t="s">
        <v>159</v>
      </c>
      <c r="D62" s="201">
        <v>69229224</v>
      </c>
      <c r="E62" s="190">
        <f>+E61</f>
        <v>-72539.839999999997</v>
      </c>
      <c r="F62" s="190">
        <v>31271.79</v>
      </c>
      <c r="G62" s="198">
        <v>0</v>
      </c>
      <c r="I62" s="205">
        <f t="shared" si="3"/>
        <v>-563304.29</v>
      </c>
    </row>
    <row r="63" spans="1:9" x14ac:dyDescent="0.2">
      <c r="A63" s="199">
        <v>44834</v>
      </c>
      <c r="B63" s="200" t="s">
        <v>159</v>
      </c>
      <c r="D63" s="201">
        <v>75616993</v>
      </c>
      <c r="E63" s="190">
        <v>-72515.83</v>
      </c>
      <c r="F63" s="190">
        <v>32238.41</v>
      </c>
      <c r="G63" s="198">
        <v>0</v>
      </c>
      <c r="H63" s="190">
        <v>-24141.02</v>
      </c>
      <c r="I63" s="205">
        <f t="shared" si="3"/>
        <v>-627722.73</v>
      </c>
    </row>
    <row r="64" spans="1:9" x14ac:dyDescent="0.2">
      <c r="A64" s="199">
        <v>44865</v>
      </c>
      <c r="B64" s="200" t="s">
        <v>159</v>
      </c>
      <c r="D64" s="201">
        <v>77356944</v>
      </c>
      <c r="E64" s="190">
        <v>-72515.83</v>
      </c>
      <c r="F64" s="190">
        <v>45465.950000000004</v>
      </c>
      <c r="G64" s="198">
        <v>0</v>
      </c>
      <c r="I64" s="205">
        <f t="shared" si="3"/>
        <v>-654772.61</v>
      </c>
    </row>
    <row r="65" spans="1:11" x14ac:dyDescent="0.2">
      <c r="A65" s="199">
        <v>44895</v>
      </c>
      <c r="B65" s="200" t="s">
        <v>159</v>
      </c>
      <c r="C65" s="206"/>
      <c r="D65" s="201">
        <v>103297226</v>
      </c>
      <c r="E65" s="190">
        <v>-72515.83</v>
      </c>
      <c r="F65" s="190">
        <v>113133.99000000002</v>
      </c>
      <c r="G65" s="198">
        <v>0</v>
      </c>
      <c r="I65" s="205">
        <f t="shared" si="3"/>
        <v>-614154.44999999995</v>
      </c>
    </row>
    <row r="66" spans="1:11" x14ac:dyDescent="0.2">
      <c r="A66" s="199">
        <v>44926</v>
      </c>
      <c r="B66" s="200" t="s">
        <v>159</v>
      </c>
      <c r="D66" s="201">
        <v>109745203</v>
      </c>
      <c r="E66" s="190">
        <v>-72515.83</v>
      </c>
      <c r="F66" s="190">
        <v>142464.07</v>
      </c>
      <c r="G66" s="198">
        <v>0</v>
      </c>
      <c r="I66" s="205">
        <f t="shared" si="3"/>
        <v>-544206.21</v>
      </c>
    </row>
    <row r="67" spans="1:11" x14ac:dyDescent="0.2">
      <c r="A67" s="199">
        <v>44957</v>
      </c>
      <c r="B67" s="200" t="s">
        <v>159</v>
      </c>
      <c r="D67" s="201">
        <v>110312459</v>
      </c>
      <c r="E67" s="190">
        <v>-72515.83</v>
      </c>
      <c r="F67" s="190">
        <v>123650.1</v>
      </c>
      <c r="G67" s="198">
        <v>0</v>
      </c>
      <c r="I67" s="205">
        <f t="shared" si="3"/>
        <v>-493071.93999999994</v>
      </c>
    </row>
    <row r="68" spans="1:11" x14ac:dyDescent="0.2">
      <c r="A68" s="199">
        <v>44985</v>
      </c>
      <c r="B68" s="200" t="s">
        <v>159</v>
      </c>
      <c r="D68" s="201">
        <v>96602553</v>
      </c>
      <c r="E68" s="190">
        <v>-72515.83</v>
      </c>
      <c r="F68" s="190">
        <v>106642.16999999998</v>
      </c>
      <c r="G68" s="198">
        <v>0</v>
      </c>
      <c r="I68" s="205">
        <f t="shared" si="3"/>
        <v>-458945.6</v>
      </c>
    </row>
    <row r="69" spans="1:11" x14ac:dyDescent="0.2">
      <c r="A69" s="199">
        <v>45016</v>
      </c>
      <c r="B69" s="200" t="s">
        <v>159</v>
      </c>
      <c r="D69" s="201">
        <v>111303950</v>
      </c>
      <c r="E69" s="190">
        <v>-72515.83</v>
      </c>
      <c r="F69" s="190">
        <v>101936.54000000001</v>
      </c>
      <c r="G69" s="198">
        <v>0</v>
      </c>
      <c r="I69" s="205">
        <f t="shared" si="3"/>
        <v>-429524.88999999996</v>
      </c>
    </row>
    <row r="70" spans="1:11" x14ac:dyDescent="0.2">
      <c r="A70" s="199">
        <v>45046</v>
      </c>
      <c r="B70" s="200" t="s">
        <v>159</v>
      </c>
      <c r="D70" s="201">
        <v>91317916</v>
      </c>
      <c r="E70" s="190">
        <v>-72515.83</v>
      </c>
      <c r="F70" s="190">
        <v>69098.500000000015</v>
      </c>
      <c r="G70" s="198">
        <v>0</v>
      </c>
      <c r="I70" s="205">
        <f t="shared" si="3"/>
        <v>-432942.22</v>
      </c>
    </row>
    <row r="71" spans="1:11" x14ac:dyDescent="0.2">
      <c r="A71" s="199">
        <v>45077</v>
      </c>
      <c r="B71" s="200" t="s">
        <v>159</v>
      </c>
      <c r="D71" s="201">
        <v>48120784</v>
      </c>
      <c r="E71" s="190">
        <v>-72515.83</v>
      </c>
      <c r="F71" s="190">
        <v>35956.349999999991</v>
      </c>
      <c r="G71" s="198">
        <v>0</v>
      </c>
      <c r="I71" s="205">
        <f t="shared" si="3"/>
        <v>-469501.69999999995</v>
      </c>
    </row>
    <row r="72" spans="1:11" x14ac:dyDescent="0.2">
      <c r="A72" s="199">
        <v>45107</v>
      </c>
      <c r="B72" s="200" t="s">
        <v>159</v>
      </c>
      <c r="D72" s="201">
        <v>49333829</v>
      </c>
      <c r="E72" s="190">
        <v>-72515.83</v>
      </c>
      <c r="F72" s="190">
        <v>31577.27</v>
      </c>
      <c r="G72" s="198">
        <v>0</v>
      </c>
      <c r="I72" s="205">
        <f t="shared" si="3"/>
        <v>-510440.25999999995</v>
      </c>
    </row>
    <row r="73" spans="1:11" x14ac:dyDescent="0.2">
      <c r="A73" s="199">
        <v>45138</v>
      </c>
      <c r="B73" s="200" t="s">
        <v>159</v>
      </c>
      <c r="D73" s="201">
        <v>76697482</v>
      </c>
      <c r="E73" s="190">
        <v>-72515.83</v>
      </c>
      <c r="F73" s="190">
        <f>28931.43+1228.22</f>
        <v>30159.65</v>
      </c>
      <c r="G73" s="198">
        <v>0</v>
      </c>
      <c r="I73" s="205">
        <f t="shared" si="3"/>
        <v>-552796.43999999994</v>
      </c>
    </row>
    <row r="74" spans="1:11" ht="15" x14ac:dyDescent="0.25">
      <c r="A74" s="199">
        <v>45169</v>
      </c>
      <c r="B74" s="200" t="s">
        <v>159</v>
      </c>
      <c r="D74" s="207">
        <f>+'Test Period Volumes'!H6+'Test Period Volumes'!I6</f>
        <v>88314173</v>
      </c>
      <c r="E74" s="190">
        <v>-72515.83</v>
      </c>
      <c r="F74" s="190">
        <v>36973.21</v>
      </c>
      <c r="G74" s="198">
        <v>0</v>
      </c>
      <c r="I74" s="205">
        <f t="shared" si="3"/>
        <v>-588339.05999999994</v>
      </c>
      <c r="K74" s="208"/>
    </row>
    <row r="75" spans="1:11" ht="15" x14ac:dyDescent="0.25">
      <c r="A75" s="199">
        <v>45199</v>
      </c>
      <c r="B75" s="200" t="s">
        <v>159</v>
      </c>
      <c r="D75" s="207">
        <f>+'Test Period Volumes'!H7+'Test Period Volumes'!I7</f>
        <v>94180889</v>
      </c>
      <c r="E75" s="190">
        <v>-72515.83</v>
      </c>
      <c r="F75" s="190">
        <v>44791.89</v>
      </c>
      <c r="G75" s="198">
        <v>0</v>
      </c>
      <c r="I75" s="205">
        <f t="shared" si="3"/>
        <v>-616063</v>
      </c>
      <c r="K75" s="208"/>
    </row>
    <row r="76" spans="1:11" ht="15" x14ac:dyDescent="0.25">
      <c r="A76" s="199">
        <v>45230</v>
      </c>
      <c r="B76" s="200" t="s">
        <v>159</v>
      </c>
      <c r="D76" s="207">
        <f>+'Test Period Volumes'!H8+'Test Period Volumes'!I8</f>
        <v>101099690</v>
      </c>
      <c r="E76" s="190">
        <v>-72515.83</v>
      </c>
      <c r="F76" s="190">
        <v>65428.810000000005</v>
      </c>
      <c r="G76" s="198">
        <v>0</v>
      </c>
      <c r="I76" s="205">
        <f t="shared" si="3"/>
        <v>-623150.02</v>
      </c>
      <c r="K76" s="208"/>
    </row>
    <row r="77" spans="1:11" ht="15" x14ac:dyDescent="0.25">
      <c r="A77" s="199">
        <v>45260</v>
      </c>
      <c r="B77" s="200" t="s">
        <v>159</v>
      </c>
      <c r="C77" s="206"/>
      <c r="D77" s="207">
        <f>+'Test Period Volumes'!H9+'Test Period Volumes'!I9</f>
        <v>114157536</v>
      </c>
      <c r="E77" s="190">
        <v>-72515.83</v>
      </c>
      <c r="F77" s="190">
        <v>94436.250000000015</v>
      </c>
      <c r="G77" s="198">
        <v>0</v>
      </c>
      <c r="I77" s="205">
        <f t="shared" si="3"/>
        <v>-601229.6</v>
      </c>
      <c r="K77" s="208"/>
    </row>
    <row r="78" spans="1:11" ht="15" x14ac:dyDescent="0.25">
      <c r="A78" s="199">
        <v>45291</v>
      </c>
      <c r="B78" s="200" t="s">
        <v>159</v>
      </c>
      <c r="C78" s="206"/>
      <c r="D78" s="207">
        <f>+'Test Period Volumes'!H10+'Test Period Volumes'!I10</f>
        <v>119873765</v>
      </c>
      <c r="E78" s="190">
        <v>-72515.83</v>
      </c>
      <c r="F78" s="190">
        <f>4591.21+98366.28</f>
        <v>102957.49</v>
      </c>
      <c r="G78" s="198">
        <v>0</v>
      </c>
      <c r="I78" s="205">
        <f t="shared" si="3"/>
        <v>-570787.93999999994</v>
      </c>
      <c r="K78" s="208"/>
    </row>
    <row r="79" spans="1:11" ht="15" x14ac:dyDescent="0.25">
      <c r="A79" s="199">
        <v>45322</v>
      </c>
      <c r="B79" s="200" t="s">
        <v>159</v>
      </c>
      <c r="C79" s="206"/>
      <c r="D79" s="207">
        <f>+'Test Period Volumes'!H11+'Test Period Volumes'!I11</f>
        <v>137158915</v>
      </c>
      <c r="E79" s="190">
        <v>-72515.83</v>
      </c>
      <c r="F79" s="190">
        <f>5682.6+121519.56</f>
        <v>127202.16</v>
      </c>
      <c r="G79" s="198">
        <v>0</v>
      </c>
      <c r="I79" s="205">
        <f t="shared" si="3"/>
        <v>-516101.60999999993</v>
      </c>
      <c r="K79" s="208"/>
    </row>
    <row r="80" spans="1:11" ht="15" x14ac:dyDescent="0.25">
      <c r="A80" s="199">
        <v>45351</v>
      </c>
      <c r="B80" s="200" t="s">
        <v>159</v>
      </c>
      <c r="C80" s="206"/>
      <c r="D80" s="207">
        <f>+'Test Period Volumes'!H12+'Test Period Volumes'!I12</f>
        <v>120807284</v>
      </c>
      <c r="E80" s="190">
        <v>-72515.83</v>
      </c>
      <c r="F80" s="190">
        <f>4374.56+93866.7</f>
        <v>98241.26</v>
      </c>
      <c r="G80" s="198">
        <v>0</v>
      </c>
      <c r="I80" s="205">
        <f t="shared" si="3"/>
        <v>-490376.17999999993</v>
      </c>
      <c r="K80" s="208"/>
    </row>
    <row r="81" spans="1:11" ht="15" x14ac:dyDescent="0.25">
      <c r="A81" s="199">
        <v>45382</v>
      </c>
      <c r="B81" s="200" t="s">
        <v>159</v>
      </c>
      <c r="C81" s="206"/>
      <c r="D81" s="207">
        <f>+'Test Period Volumes'!H13+'Test Period Volumes'!I13</f>
        <v>105680399</v>
      </c>
      <c r="E81" s="190">
        <v>-72515.83</v>
      </c>
      <c r="F81" s="190">
        <f>3758.69+80714.25</f>
        <v>84472.94</v>
      </c>
      <c r="G81" s="198">
        <v>0</v>
      </c>
      <c r="I81" s="205">
        <f t="shared" si="3"/>
        <v>-478419.06999999995</v>
      </c>
      <c r="K81" s="208"/>
    </row>
    <row r="82" spans="1:11" ht="15" x14ac:dyDescent="0.25">
      <c r="A82" s="199">
        <v>45412</v>
      </c>
      <c r="B82" s="200" t="s">
        <v>159</v>
      </c>
      <c r="C82" s="206"/>
      <c r="D82" s="207">
        <f>+'Test Period Volumes'!H14+'Test Period Volumes'!I14</f>
        <v>97821427</v>
      </c>
      <c r="E82" s="190">
        <v>-72515.83</v>
      </c>
      <c r="F82" s="190">
        <f>2726.62+59007.85</f>
        <v>61734.47</v>
      </c>
      <c r="G82" s="198">
        <v>0</v>
      </c>
      <c r="I82" s="205">
        <f t="shared" si="3"/>
        <v>-489200.42999999993</v>
      </c>
      <c r="K82" s="208"/>
    </row>
    <row r="83" spans="1:11" ht="15" x14ac:dyDescent="0.25">
      <c r="A83" s="199">
        <v>45443</v>
      </c>
      <c r="B83" s="200" t="s">
        <v>159</v>
      </c>
      <c r="C83" s="206"/>
      <c r="D83" s="207">
        <f>+'Test Period Volumes'!H15+'Test Period Volumes'!I15</f>
        <v>59071316</v>
      </c>
      <c r="E83" s="190">
        <v>-72515.83</v>
      </c>
      <c r="F83" s="190">
        <v>41562.590000000011</v>
      </c>
      <c r="G83" s="198">
        <v>0</v>
      </c>
      <c r="I83" s="205">
        <f t="shared" si="3"/>
        <v>-520153.66999999993</v>
      </c>
      <c r="K83" s="208"/>
    </row>
    <row r="84" spans="1:11" ht="15" x14ac:dyDescent="0.25">
      <c r="A84" s="199">
        <v>45473</v>
      </c>
      <c r="B84" s="200" t="s">
        <v>159</v>
      </c>
      <c r="C84" s="206"/>
      <c r="D84" s="207">
        <f>+'Test Period Volumes'!H16+'Test Period Volumes'!I16</f>
        <v>65892366</v>
      </c>
      <c r="E84" s="190">
        <v>-72515.83</v>
      </c>
      <c r="F84" s="190">
        <v>30748.13</v>
      </c>
      <c r="G84" s="198">
        <v>0</v>
      </c>
      <c r="I84" s="205">
        <f t="shared" si="3"/>
        <v>-561921.36999999988</v>
      </c>
      <c r="K84" s="208"/>
    </row>
    <row r="85" spans="1:11" ht="15" x14ac:dyDescent="0.25">
      <c r="A85" s="199">
        <v>45504</v>
      </c>
      <c r="B85" s="200" t="s">
        <v>159</v>
      </c>
      <c r="C85" s="206"/>
      <c r="D85" s="207">
        <f>+'Test Period Volumes'!H17+'Test Period Volumes'!I17</f>
        <v>78156483</v>
      </c>
      <c r="E85" s="190">
        <v>-72515.83</v>
      </c>
      <c r="F85" s="190">
        <v>31798.089999999997</v>
      </c>
      <c r="G85" s="198">
        <v>0</v>
      </c>
      <c r="I85" s="205">
        <f t="shared" si="3"/>
        <v>-602639.10999999987</v>
      </c>
      <c r="K85" s="208"/>
    </row>
    <row r="86" spans="1:11" ht="15" x14ac:dyDescent="0.25">
      <c r="A86" s="199">
        <v>45535</v>
      </c>
      <c r="B86" s="200" t="s">
        <v>159</v>
      </c>
      <c r="C86" s="200" t="s">
        <v>161</v>
      </c>
      <c r="D86" s="207">
        <f>+'Test Period Volumes'!H19+'Test Period Volumes'!I19</f>
        <v>87977157</v>
      </c>
      <c r="E86" s="190">
        <v>-72515.83</v>
      </c>
      <c r="F86" s="190">
        <v>36089.399999999994</v>
      </c>
      <c r="G86" s="198">
        <v>0</v>
      </c>
      <c r="I86" s="205">
        <f t="shared" si="3"/>
        <v>-639065.53999999992</v>
      </c>
      <c r="K86" s="208"/>
    </row>
    <row r="87" spans="1:11" ht="15" x14ac:dyDescent="0.25">
      <c r="A87" s="199">
        <v>45565</v>
      </c>
      <c r="B87" s="200" t="s">
        <v>159</v>
      </c>
      <c r="C87" s="200" t="s">
        <v>161</v>
      </c>
      <c r="D87" s="207">
        <f>+'Test Period Volumes'!H20+'Test Period Volumes'!I20</f>
        <v>93081583</v>
      </c>
      <c r="E87" s="190">
        <v>-72515.83</v>
      </c>
      <c r="F87" s="190">
        <v>41054.939999999995</v>
      </c>
      <c r="G87" s="198">
        <v>0</v>
      </c>
      <c r="I87" s="205">
        <f t="shared" si="3"/>
        <v>-670526.42999999993</v>
      </c>
      <c r="K87" s="208"/>
    </row>
    <row r="88" spans="1:11" ht="15" x14ac:dyDescent="0.25">
      <c r="A88" s="199">
        <v>45596</v>
      </c>
      <c r="B88" s="200" t="s">
        <v>159</v>
      </c>
      <c r="C88" s="206" t="s">
        <v>161</v>
      </c>
      <c r="D88" s="207">
        <f>+'Test Period Volumes'!H21+'Test Period Volumes'!I21</f>
        <v>104984462</v>
      </c>
      <c r="E88" s="190">
        <v>-72515.83</v>
      </c>
      <c r="F88" s="190">
        <v>64701.479999999996</v>
      </c>
      <c r="G88" s="198">
        <v>0</v>
      </c>
      <c r="I88" s="205">
        <f t="shared" si="3"/>
        <v>-678340.77999999991</v>
      </c>
      <c r="K88" s="208"/>
    </row>
    <row r="89" spans="1:11" x14ac:dyDescent="0.2">
      <c r="G89" s="198"/>
      <c r="I89" s="205"/>
    </row>
    <row r="91" spans="1:11" x14ac:dyDescent="0.2">
      <c r="E91" s="206" t="s">
        <v>162</v>
      </c>
      <c r="F91" s="206" t="s">
        <v>163</v>
      </c>
      <c r="G91" s="206" t="s">
        <v>164</v>
      </c>
      <c r="H91" s="206" t="s">
        <v>165</v>
      </c>
      <c r="I91" s="206" t="s">
        <v>166</v>
      </c>
      <c r="J91" s="206" t="s">
        <v>167</v>
      </c>
      <c r="K91" s="206" t="s">
        <v>168</v>
      </c>
    </row>
    <row r="92" spans="1:11" x14ac:dyDescent="0.2">
      <c r="D92" s="190" t="s">
        <v>169</v>
      </c>
      <c r="E92" s="190">
        <v>869314</v>
      </c>
      <c r="F92" s="190">
        <f>+E92</f>
        <v>869314</v>
      </c>
      <c r="G92" s="190">
        <f>+F92</f>
        <v>869314</v>
      </c>
      <c r="H92" s="190">
        <f>+E92</f>
        <v>869314</v>
      </c>
      <c r="I92" s="190">
        <f>+E92</f>
        <v>869314</v>
      </c>
      <c r="J92" s="190">
        <f>+F92</f>
        <v>869314</v>
      </c>
      <c r="K92" s="190">
        <f>+F92</f>
        <v>869314</v>
      </c>
    </row>
    <row r="93" spans="1:11" x14ac:dyDescent="0.2">
      <c r="D93" s="190" t="s">
        <v>170</v>
      </c>
      <c r="E93" s="190">
        <f>SUM(F14:F28)</f>
        <v>965663.83</v>
      </c>
      <c r="F93" s="190">
        <f>+SUM(F29:F40)+E94</f>
        <v>888879.49</v>
      </c>
      <c r="G93" s="190">
        <f>+SUM(F41:F52)+F94</f>
        <v>1005395.5800000001</v>
      </c>
      <c r="H93" s="190">
        <f>+G94+SUM(F53:F64)</f>
        <v>907241.31000000017</v>
      </c>
      <c r="I93" s="190">
        <f>+H94+SUM(F65:F76)</f>
        <v>939739.86000000022</v>
      </c>
      <c r="J93" s="190">
        <f>+I94+SUM(F77:F88)</f>
        <v>885425.06000000017</v>
      </c>
      <c r="K93" s="190">
        <f>+J94</f>
        <v>16111.060000000172</v>
      </c>
    </row>
    <row r="94" spans="1:11" x14ac:dyDescent="0.2">
      <c r="D94" s="190" t="s">
        <v>171</v>
      </c>
      <c r="E94" s="190">
        <f>+E93-E92</f>
        <v>96349.829999999958</v>
      </c>
      <c r="F94" s="190">
        <f t="shared" ref="F94:J94" si="5">+F93-F92</f>
        <v>19565.489999999991</v>
      </c>
      <c r="G94" s="190">
        <f t="shared" si="5"/>
        <v>136081.58000000007</v>
      </c>
      <c r="H94" s="190">
        <f t="shared" si="5"/>
        <v>37927.310000000172</v>
      </c>
      <c r="I94" s="190">
        <f t="shared" si="5"/>
        <v>70425.860000000219</v>
      </c>
      <c r="J94" s="190">
        <f t="shared" si="5"/>
        <v>16111.060000000172</v>
      </c>
      <c r="K94" s="190">
        <f>+K93-K92</f>
        <v>-853202.93999999983</v>
      </c>
    </row>
  </sheetData>
  <mergeCells count="17">
    <mergeCell ref="A1:B1"/>
    <mergeCell ref="D1:I1"/>
    <mergeCell ref="A2:B2"/>
    <mergeCell ref="D2:I2"/>
    <mergeCell ref="A3:B3"/>
    <mergeCell ref="D3:I3"/>
    <mergeCell ref="A4:B4"/>
    <mergeCell ref="D4:I4"/>
    <mergeCell ref="A5:B5"/>
    <mergeCell ref="D5:I5"/>
    <mergeCell ref="A6:B6"/>
    <mergeCell ref="D6:I6"/>
    <mergeCell ref="A7:B7"/>
    <mergeCell ref="D7:I7"/>
    <mergeCell ref="E9:G9"/>
    <mergeCell ref="A12:G12"/>
    <mergeCell ref="A13:G13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9F5E7-89A2-43B5-85D3-2AD16E204E8A}">
  <sheetPr>
    <pageSetUpPr fitToPage="1"/>
  </sheetPr>
  <dimension ref="A1:K37"/>
  <sheetViews>
    <sheetView topLeftCell="A4" workbookViewId="0">
      <selection activeCell="J39" activeCellId="1" sqref="B12 J39"/>
    </sheetView>
  </sheetViews>
  <sheetFormatPr defaultColWidth="9.33203125" defaultRowHeight="15" x14ac:dyDescent="0.25"/>
  <cols>
    <col min="1" max="1" width="12.5" style="208" bestFit="1" customWidth="1"/>
    <col min="2" max="2" width="9.33203125" style="208"/>
    <col min="3" max="3" width="18.5" style="208" bestFit="1" customWidth="1"/>
    <col min="4" max="4" width="17" style="208" customWidth="1"/>
    <col min="5" max="5" width="19" style="208" customWidth="1"/>
    <col min="6" max="6" width="14.6640625" style="208" customWidth="1"/>
    <col min="7" max="7" width="12.33203125" style="208" bestFit="1" customWidth="1"/>
    <col min="8" max="8" width="17.1640625" style="208" customWidth="1"/>
    <col min="9" max="9" width="16.6640625" style="208" customWidth="1"/>
    <col min="10" max="11" width="16.6640625" style="208" bestFit="1" customWidth="1"/>
    <col min="12" max="16384" width="9.33203125" style="208"/>
  </cols>
  <sheetData>
    <row r="1" spans="1:11" x14ac:dyDescent="0.25">
      <c r="B1" s="316" t="s">
        <v>27</v>
      </c>
      <c r="C1" s="316"/>
      <c r="D1" s="316"/>
      <c r="E1" s="316"/>
      <c r="F1" s="316"/>
      <c r="G1" s="316"/>
      <c r="H1" s="316"/>
      <c r="I1" s="316"/>
    </row>
    <row r="2" spans="1:11" x14ac:dyDescent="0.25">
      <c r="B2" s="317" t="s">
        <v>172</v>
      </c>
      <c r="C2" s="317"/>
      <c r="D2" s="317"/>
      <c r="E2" s="317"/>
      <c r="F2" s="317"/>
      <c r="G2" s="317"/>
      <c r="H2" s="317"/>
      <c r="I2" s="317"/>
    </row>
    <row r="3" spans="1:11" x14ac:dyDescent="0.25">
      <c r="B3" s="316" t="s">
        <v>30</v>
      </c>
      <c r="C3" s="316"/>
      <c r="D3" s="316"/>
      <c r="E3" s="316"/>
      <c r="F3" s="316"/>
      <c r="G3" s="316"/>
      <c r="H3" s="316"/>
      <c r="I3" s="316"/>
    </row>
    <row r="5" spans="1:11" x14ac:dyDescent="0.25">
      <c r="B5" s="209"/>
      <c r="C5" s="210">
        <v>503</v>
      </c>
      <c r="D5" s="210">
        <v>504</v>
      </c>
      <c r="E5" s="211">
        <v>505</v>
      </c>
      <c r="F5" s="211">
        <v>511</v>
      </c>
      <c r="G5" s="211">
        <v>570</v>
      </c>
      <c r="H5" s="212">
        <v>663</v>
      </c>
      <c r="I5" s="212" t="s">
        <v>173</v>
      </c>
    </row>
    <row r="6" spans="1:11" x14ac:dyDescent="0.25">
      <c r="A6" s="213" t="s">
        <v>174</v>
      </c>
      <c r="B6" s="214">
        <v>45139</v>
      </c>
      <c r="C6" s="215">
        <v>2530851</v>
      </c>
      <c r="D6" s="215">
        <v>2602457</v>
      </c>
      <c r="E6" s="215">
        <v>485379</v>
      </c>
      <c r="F6" s="215">
        <v>968498</v>
      </c>
      <c r="G6" s="215">
        <v>85131</v>
      </c>
      <c r="H6" s="216">
        <v>81641857</v>
      </c>
      <c r="I6" s="217">
        <f t="shared" ref="I6:I17" si="0">+C6+D6+E6+F6+G6</f>
        <v>6672316</v>
      </c>
      <c r="J6" s="218"/>
      <c r="K6" s="219"/>
    </row>
    <row r="7" spans="1:11" x14ac:dyDescent="0.25">
      <c r="A7" s="213" t="s">
        <v>174</v>
      </c>
      <c r="B7" s="214">
        <v>45170</v>
      </c>
      <c r="C7" s="220">
        <v>3984080</v>
      </c>
      <c r="D7" s="220">
        <v>3809259</v>
      </c>
      <c r="E7" s="220">
        <v>534789</v>
      </c>
      <c r="F7" s="220">
        <v>616105</v>
      </c>
      <c r="G7" s="220">
        <v>107273</v>
      </c>
      <c r="H7" s="216">
        <v>85129383</v>
      </c>
      <c r="I7" s="217">
        <f t="shared" si="0"/>
        <v>9051506</v>
      </c>
      <c r="J7" s="218"/>
      <c r="K7" s="219"/>
    </row>
    <row r="8" spans="1:11" x14ac:dyDescent="0.25">
      <c r="A8" s="213" t="s">
        <v>174</v>
      </c>
      <c r="B8" s="214">
        <v>45200</v>
      </c>
      <c r="C8" s="215">
        <v>8301482</v>
      </c>
      <c r="D8" s="215">
        <v>6570526</v>
      </c>
      <c r="E8" s="215">
        <v>919554</v>
      </c>
      <c r="F8" s="215">
        <v>1191358</v>
      </c>
      <c r="G8" s="215">
        <v>169608</v>
      </c>
      <c r="H8" s="216">
        <v>83947162</v>
      </c>
      <c r="I8" s="217">
        <f t="shared" si="0"/>
        <v>17152528</v>
      </c>
      <c r="J8" s="218"/>
      <c r="K8" s="219"/>
    </row>
    <row r="9" spans="1:11" x14ac:dyDescent="0.25">
      <c r="A9" s="213" t="s">
        <v>174</v>
      </c>
      <c r="B9" s="214">
        <v>45231</v>
      </c>
      <c r="C9" s="220">
        <v>16563910</v>
      </c>
      <c r="D9" s="220">
        <v>10761463</v>
      </c>
      <c r="E9" s="220">
        <v>989405</v>
      </c>
      <c r="F9" s="220">
        <v>1545484</v>
      </c>
      <c r="G9" s="220">
        <v>236897</v>
      </c>
      <c r="H9" s="216">
        <v>84060377</v>
      </c>
      <c r="I9" s="217">
        <f t="shared" si="0"/>
        <v>30097159</v>
      </c>
      <c r="J9" s="218"/>
      <c r="K9" s="219"/>
    </row>
    <row r="10" spans="1:11" x14ac:dyDescent="0.25">
      <c r="A10" s="213" t="s">
        <v>174</v>
      </c>
      <c r="B10" s="214">
        <v>45261</v>
      </c>
      <c r="C10" s="215">
        <v>17765095</v>
      </c>
      <c r="D10" s="215">
        <v>12514189</v>
      </c>
      <c r="E10" s="215">
        <v>1357607</v>
      </c>
      <c r="F10" s="215">
        <v>1600841</v>
      </c>
      <c r="G10" s="215">
        <v>249527</v>
      </c>
      <c r="H10" s="216">
        <v>86386506</v>
      </c>
      <c r="I10" s="217">
        <f t="shared" si="0"/>
        <v>33487259</v>
      </c>
      <c r="J10" s="218"/>
      <c r="K10" s="219"/>
    </row>
    <row r="11" spans="1:11" x14ac:dyDescent="0.25">
      <c r="A11" s="213" t="s">
        <v>174</v>
      </c>
      <c r="B11" s="214">
        <v>45292</v>
      </c>
      <c r="C11" s="215">
        <v>22656500</v>
      </c>
      <c r="D11" s="215">
        <v>15736158</v>
      </c>
      <c r="E11" s="215">
        <v>1696449</v>
      </c>
      <c r="F11" s="220">
        <v>2212395</v>
      </c>
      <c r="G11" s="220">
        <v>264985</v>
      </c>
      <c r="H11" s="216">
        <v>94592428</v>
      </c>
      <c r="I11" s="217">
        <f t="shared" si="0"/>
        <v>42566487</v>
      </c>
      <c r="J11" s="218"/>
      <c r="K11" s="219"/>
    </row>
    <row r="12" spans="1:11" x14ac:dyDescent="0.25">
      <c r="A12" s="213" t="s">
        <v>174</v>
      </c>
      <c r="B12" s="214">
        <v>45323</v>
      </c>
      <c r="C12" s="221">
        <v>15847810</v>
      </c>
      <c r="D12" s="221">
        <v>12440097</v>
      </c>
      <c r="E12" s="221">
        <v>1501675</v>
      </c>
      <c r="F12" s="215">
        <v>1692041</v>
      </c>
      <c r="G12" s="215">
        <v>238288</v>
      </c>
      <c r="H12" s="216">
        <v>89087373</v>
      </c>
      <c r="I12" s="217">
        <f t="shared" si="0"/>
        <v>31719911</v>
      </c>
      <c r="J12" s="218"/>
      <c r="K12" s="219"/>
    </row>
    <row r="13" spans="1:11" x14ac:dyDescent="0.25">
      <c r="A13" s="213" t="s">
        <v>174</v>
      </c>
      <c r="B13" s="214">
        <v>45352</v>
      </c>
      <c r="C13" s="220">
        <v>14304551</v>
      </c>
      <c r="D13" s="220">
        <v>9572614</v>
      </c>
      <c r="E13" s="220">
        <v>1333223</v>
      </c>
      <c r="F13" s="220">
        <v>1371096</v>
      </c>
      <c r="G13" s="220">
        <v>228698</v>
      </c>
      <c r="H13" s="216">
        <v>78870217</v>
      </c>
      <c r="I13" s="217">
        <f t="shared" si="0"/>
        <v>26810182</v>
      </c>
      <c r="J13" s="218"/>
      <c r="K13" s="219"/>
    </row>
    <row r="14" spans="1:11" x14ac:dyDescent="0.25">
      <c r="A14" s="213" t="s">
        <v>174</v>
      </c>
      <c r="B14" s="214">
        <v>45383</v>
      </c>
      <c r="C14" s="215">
        <v>8696083</v>
      </c>
      <c r="D14" s="215">
        <v>6697941</v>
      </c>
      <c r="E14" s="215">
        <v>1053452</v>
      </c>
      <c r="F14" s="215">
        <v>1185738</v>
      </c>
      <c r="G14" s="215">
        <v>195240</v>
      </c>
      <c r="H14" s="216">
        <v>79992973</v>
      </c>
      <c r="I14" s="217">
        <f t="shared" si="0"/>
        <v>17828454</v>
      </c>
      <c r="J14" s="218"/>
      <c r="K14" s="219"/>
    </row>
    <row r="15" spans="1:11" x14ac:dyDescent="0.25">
      <c r="A15" s="213" t="s">
        <v>174</v>
      </c>
      <c r="B15" s="214">
        <v>45413</v>
      </c>
      <c r="C15" s="220">
        <v>6252809</v>
      </c>
      <c r="D15" s="220">
        <v>4637605</v>
      </c>
      <c r="E15" s="220">
        <v>922926</v>
      </c>
      <c r="F15" s="220">
        <v>886290</v>
      </c>
      <c r="G15" s="220">
        <v>163264</v>
      </c>
      <c r="H15" s="216">
        <v>46208422</v>
      </c>
      <c r="I15" s="217">
        <f t="shared" si="0"/>
        <v>12862894</v>
      </c>
      <c r="J15" s="218"/>
      <c r="K15" s="219"/>
    </row>
    <row r="16" spans="1:11" x14ac:dyDescent="0.25">
      <c r="A16" s="213" t="s">
        <v>174</v>
      </c>
      <c r="B16" s="214">
        <v>45444</v>
      </c>
      <c r="C16" s="215">
        <v>2458689</v>
      </c>
      <c r="D16" s="215">
        <v>3582147</v>
      </c>
      <c r="E16" s="215">
        <v>588410</v>
      </c>
      <c r="F16" s="215">
        <v>862944</v>
      </c>
      <c r="G16" s="215">
        <v>113835</v>
      </c>
      <c r="H16" s="216">
        <v>58286341</v>
      </c>
      <c r="I16" s="217">
        <f t="shared" si="0"/>
        <v>7606025</v>
      </c>
      <c r="J16" s="218"/>
      <c r="K16" s="219"/>
    </row>
    <row r="17" spans="1:10" x14ac:dyDescent="0.25">
      <c r="A17" s="213" t="s">
        <v>174</v>
      </c>
      <c r="B17" s="214">
        <v>45474</v>
      </c>
      <c r="C17" s="222">
        <v>3131406</v>
      </c>
      <c r="D17" s="223">
        <v>1892047</v>
      </c>
      <c r="E17" s="223">
        <v>498355</v>
      </c>
      <c r="F17" s="222">
        <v>588899</v>
      </c>
      <c r="G17" s="222">
        <v>35751</v>
      </c>
      <c r="H17" s="216">
        <v>72010025</v>
      </c>
      <c r="I17" s="217">
        <f t="shared" si="0"/>
        <v>6146458</v>
      </c>
      <c r="J17" s="218"/>
    </row>
    <row r="18" spans="1:10" x14ac:dyDescent="0.25">
      <c r="A18" s="213"/>
      <c r="B18" s="224"/>
      <c r="C18" s="225"/>
      <c r="D18" s="226"/>
      <c r="E18" s="226"/>
      <c r="F18" s="226"/>
      <c r="G18" s="226"/>
      <c r="H18" s="226"/>
      <c r="I18" s="227"/>
    </row>
    <row r="19" spans="1:10" x14ac:dyDescent="0.25">
      <c r="A19" s="213" t="s">
        <v>35</v>
      </c>
      <c r="B19" s="228">
        <v>45505</v>
      </c>
      <c r="C19" s="218">
        <f t="shared" ref="C19:C30" si="1">(+C6/I6)*I19</f>
        <v>2403018.7329706806</v>
      </c>
      <c r="D19" s="218">
        <f t="shared" ref="D19:D30" si="2">(+D6/I6)*I19</f>
        <v>2471007.9426843692</v>
      </c>
      <c r="E19" s="218">
        <f t="shared" ref="E19:E30" si="3">(+E6/I6)*I19</f>
        <v>460862.70175153576</v>
      </c>
      <c r="F19" s="218">
        <f t="shared" ref="F19:F30" si="4">(+F6/I6)*I19</f>
        <v>919579.55519492773</v>
      </c>
      <c r="G19" s="218">
        <f t="shared" ref="G19:G30" si="5">(+G6/I6)*I19</f>
        <v>80831.067398486528</v>
      </c>
      <c r="H19" s="218">
        <f t="shared" ref="H19:H30" si="6">+H6</f>
        <v>81641857</v>
      </c>
      <c r="I19" s="229">
        <v>6335300</v>
      </c>
    </row>
    <row r="20" spans="1:10" x14ac:dyDescent="0.25">
      <c r="A20" s="213" t="s">
        <v>35</v>
      </c>
      <c r="B20" s="228">
        <v>45536</v>
      </c>
      <c r="C20" s="218">
        <f t="shared" si="1"/>
        <v>3500213.2215346266</v>
      </c>
      <c r="D20" s="218">
        <f t="shared" si="2"/>
        <v>3346624.2435015789</v>
      </c>
      <c r="E20" s="218">
        <f t="shared" si="3"/>
        <v>469838.84071888146</v>
      </c>
      <c r="F20" s="218">
        <f t="shared" si="4"/>
        <v>541279.00716190215</v>
      </c>
      <c r="G20" s="218">
        <f t="shared" si="5"/>
        <v>94244.687083011377</v>
      </c>
      <c r="H20" s="218">
        <f t="shared" si="6"/>
        <v>85129383</v>
      </c>
      <c r="I20" s="229">
        <v>7952200</v>
      </c>
    </row>
    <row r="21" spans="1:10" x14ac:dyDescent="0.25">
      <c r="A21" s="213" t="s">
        <v>35</v>
      </c>
      <c r="B21" s="228">
        <v>45566</v>
      </c>
      <c r="C21" s="218">
        <f t="shared" si="1"/>
        <v>10181634.291959763</v>
      </c>
      <c r="D21" s="218">
        <f t="shared" si="2"/>
        <v>8058644.5694652125</v>
      </c>
      <c r="E21" s="218">
        <f t="shared" si="3"/>
        <v>1127818.2064008291</v>
      </c>
      <c r="F21" s="218">
        <f t="shared" si="4"/>
        <v>1461181.4452889976</v>
      </c>
      <c r="G21" s="218">
        <f t="shared" si="5"/>
        <v>208021.48688519851</v>
      </c>
      <c r="H21" s="218">
        <f t="shared" si="6"/>
        <v>83947162</v>
      </c>
      <c r="I21" s="229">
        <v>21037300</v>
      </c>
    </row>
    <row r="22" spans="1:10" x14ac:dyDescent="0.25">
      <c r="A22" s="213" t="s">
        <v>35</v>
      </c>
      <c r="B22" s="228">
        <v>45597</v>
      </c>
      <c r="C22" s="218">
        <f t="shared" si="1"/>
        <v>17300573.306171525</v>
      </c>
      <c r="D22" s="218">
        <f t="shared" si="2"/>
        <v>11240068.287810821</v>
      </c>
      <c r="E22" s="218">
        <f t="shared" si="3"/>
        <v>1033407.7963471569</v>
      </c>
      <c r="F22" s="218">
        <f t="shared" si="4"/>
        <v>1614217.8528810644</v>
      </c>
      <c r="G22" s="218">
        <f t="shared" si="5"/>
        <v>247432.75678943651</v>
      </c>
      <c r="H22" s="218">
        <f t="shared" si="6"/>
        <v>84060377</v>
      </c>
      <c r="I22" s="229">
        <v>31435700</v>
      </c>
    </row>
    <row r="23" spans="1:10" x14ac:dyDescent="0.25">
      <c r="A23" s="213" t="s">
        <v>35</v>
      </c>
      <c r="B23" s="228">
        <v>45627</v>
      </c>
      <c r="C23" s="218">
        <f t="shared" si="1"/>
        <v>26008190.233166143</v>
      </c>
      <c r="D23" s="218">
        <f t="shared" si="2"/>
        <v>18320836.906630401</v>
      </c>
      <c r="E23" s="218">
        <f t="shared" si="3"/>
        <v>1987543.6139169526</v>
      </c>
      <c r="F23" s="218">
        <f t="shared" si="4"/>
        <v>2343639.4379569553</v>
      </c>
      <c r="G23" s="218">
        <f t="shared" si="5"/>
        <v>365308.80832955008</v>
      </c>
      <c r="H23" s="218">
        <f t="shared" si="6"/>
        <v>86386506</v>
      </c>
      <c r="I23" s="229">
        <v>49025519</v>
      </c>
    </row>
    <row r="24" spans="1:10" x14ac:dyDescent="0.25">
      <c r="A24" s="213" t="s">
        <v>35</v>
      </c>
      <c r="B24" s="228">
        <v>45658</v>
      </c>
      <c r="C24" s="218">
        <f t="shared" si="1"/>
        <v>23069541.802921157</v>
      </c>
      <c r="D24" s="218">
        <f t="shared" si="2"/>
        <v>16023037.750684006</v>
      </c>
      <c r="E24" s="218">
        <f t="shared" si="3"/>
        <v>1727376.2991646456</v>
      </c>
      <c r="F24" s="218">
        <f t="shared" si="4"/>
        <v>2252728.3091860507</v>
      </c>
      <c r="G24" s="218">
        <f t="shared" si="5"/>
        <v>269815.8380441402</v>
      </c>
      <c r="H24" s="218">
        <f t="shared" si="6"/>
        <v>94592428</v>
      </c>
      <c r="I24" s="229">
        <v>43342500</v>
      </c>
    </row>
    <row r="25" spans="1:10" x14ac:dyDescent="0.25">
      <c r="A25" s="213" t="s">
        <v>35</v>
      </c>
      <c r="B25" s="228">
        <v>45689</v>
      </c>
      <c r="C25" s="218">
        <f t="shared" si="1"/>
        <v>19458387.413066827</v>
      </c>
      <c r="D25" s="218">
        <f t="shared" si="2"/>
        <v>15274301.426009677</v>
      </c>
      <c r="E25" s="218">
        <f t="shared" si="3"/>
        <v>1843798.8541329766</v>
      </c>
      <c r="F25" s="218">
        <f t="shared" si="4"/>
        <v>2077535.5898886351</v>
      </c>
      <c r="G25" s="218">
        <f t="shared" si="5"/>
        <v>292576.71690188535</v>
      </c>
      <c r="H25" s="218">
        <f t="shared" si="6"/>
        <v>89087373</v>
      </c>
      <c r="I25" s="229">
        <v>38946600</v>
      </c>
    </row>
    <row r="26" spans="1:10" x14ac:dyDescent="0.25">
      <c r="A26" s="213" t="s">
        <v>35</v>
      </c>
      <c r="B26" s="228">
        <v>45717</v>
      </c>
      <c r="C26" s="218">
        <f t="shared" si="1"/>
        <v>16571557.77473275</v>
      </c>
      <c r="D26" s="218">
        <f t="shared" si="2"/>
        <v>11089696.276116291</v>
      </c>
      <c r="E26" s="218">
        <f t="shared" si="3"/>
        <v>1544514.1879044313</v>
      </c>
      <c r="F26" s="218">
        <f t="shared" si="4"/>
        <v>1588389.3579536311</v>
      </c>
      <c r="G26" s="218">
        <f t="shared" si="5"/>
        <v>264942.40329289821</v>
      </c>
      <c r="H26" s="218">
        <f t="shared" si="6"/>
        <v>78870217</v>
      </c>
      <c r="I26" s="229">
        <v>31059100</v>
      </c>
    </row>
    <row r="27" spans="1:10" x14ac:dyDescent="0.25">
      <c r="A27" s="213" t="s">
        <v>35</v>
      </c>
      <c r="B27" s="228">
        <v>45748</v>
      </c>
      <c r="C27" s="218">
        <f t="shared" si="1"/>
        <v>8969155.8801957816</v>
      </c>
      <c r="D27" s="218">
        <f t="shared" si="2"/>
        <v>6908268.5739492616</v>
      </c>
      <c r="E27" s="218">
        <f t="shared" si="3"/>
        <v>1086532.3157913748</v>
      </c>
      <c r="F27" s="218">
        <f t="shared" si="4"/>
        <v>1222972.3376687625</v>
      </c>
      <c r="G27" s="218">
        <f t="shared" si="5"/>
        <v>201370.89239482011</v>
      </c>
      <c r="H27" s="218">
        <f t="shared" si="6"/>
        <v>79992973</v>
      </c>
      <c r="I27" s="229">
        <v>18388300</v>
      </c>
    </row>
    <row r="28" spans="1:10" x14ac:dyDescent="0.25">
      <c r="A28" s="213" t="s">
        <v>35</v>
      </c>
      <c r="B28" s="228">
        <v>45778</v>
      </c>
      <c r="C28" s="218">
        <f t="shared" si="1"/>
        <v>5781477.5803718818</v>
      </c>
      <c r="D28" s="218">
        <f t="shared" si="2"/>
        <v>4288026.282926688</v>
      </c>
      <c r="E28" s="218">
        <f t="shared" si="3"/>
        <v>853356.62377377902</v>
      </c>
      <c r="F28" s="218">
        <f t="shared" si="4"/>
        <v>819482.21426686714</v>
      </c>
      <c r="G28" s="218">
        <f t="shared" si="5"/>
        <v>150957.29866078348</v>
      </c>
      <c r="H28" s="218">
        <f t="shared" si="6"/>
        <v>46208422</v>
      </c>
      <c r="I28" s="229">
        <v>11893300</v>
      </c>
    </row>
    <row r="29" spans="1:10" x14ac:dyDescent="0.25">
      <c r="A29" s="213" t="s">
        <v>35</v>
      </c>
      <c r="B29" s="228">
        <v>45809</v>
      </c>
      <c r="C29" s="218">
        <f t="shared" si="1"/>
        <v>2713891.0928507335</v>
      </c>
      <c r="D29" s="218">
        <f t="shared" si="2"/>
        <v>3953959.5437169876</v>
      </c>
      <c r="E29" s="218">
        <f t="shared" si="3"/>
        <v>649484.60661120631</v>
      </c>
      <c r="F29" s="218">
        <f t="shared" si="4"/>
        <v>952514.1387255498</v>
      </c>
      <c r="G29" s="218">
        <f t="shared" si="5"/>
        <v>125650.61809552295</v>
      </c>
      <c r="H29" s="218">
        <f t="shared" si="6"/>
        <v>58286341</v>
      </c>
      <c r="I29" s="229">
        <v>8395500</v>
      </c>
    </row>
    <row r="30" spans="1:10" x14ac:dyDescent="0.25">
      <c r="A30" s="213" t="s">
        <v>35</v>
      </c>
      <c r="B30" s="228">
        <v>45839</v>
      </c>
      <c r="C30" s="218">
        <f t="shared" si="1"/>
        <v>3993697.1234489852</v>
      </c>
      <c r="D30" s="218">
        <f t="shared" si="2"/>
        <v>2413057.4768427606</v>
      </c>
      <c r="E30" s="218">
        <f t="shared" si="3"/>
        <v>635586.35640233767</v>
      </c>
      <c r="F30" s="218">
        <f t="shared" si="4"/>
        <v>751063.3377792543</v>
      </c>
      <c r="G30" s="218">
        <f t="shared" si="5"/>
        <v>45595.70552666267</v>
      </c>
      <c r="H30" s="218">
        <f t="shared" si="6"/>
        <v>72010025</v>
      </c>
      <c r="I30" s="229">
        <v>7839000</v>
      </c>
    </row>
    <row r="31" spans="1:10" x14ac:dyDescent="0.25">
      <c r="A31" s="213" t="s">
        <v>35</v>
      </c>
      <c r="B31" s="228">
        <v>45870</v>
      </c>
      <c r="C31" s="218">
        <f>(+C19/I19)*I31</f>
        <v>2475580.0139861479</v>
      </c>
      <c r="D31" s="218">
        <f>(+D19/I19)*I31</f>
        <v>2545622.2181623294</v>
      </c>
      <c r="E31" s="218">
        <f>(+E19/I19)*I31</f>
        <v>474778.85960437125</v>
      </c>
      <c r="F31" s="218">
        <f>(+F19/I19)*I31</f>
        <v>947347.07510855293</v>
      </c>
      <c r="G31" s="218">
        <f>(+G19/I19)*I31</f>
        <v>83271.833138598362</v>
      </c>
      <c r="H31" s="218">
        <f>+H19</f>
        <v>81641857</v>
      </c>
      <c r="I31" s="229">
        <v>6526600</v>
      </c>
    </row>
    <row r="32" spans="1:10" x14ac:dyDescent="0.25">
      <c r="A32" s="213" t="s">
        <v>35</v>
      </c>
      <c r="B32" s="228">
        <v>45901</v>
      </c>
      <c r="C32" s="218">
        <f>(+C20/I20)*I32</f>
        <v>3605762.7714106361</v>
      </c>
      <c r="D32" s="218">
        <f>(+D20/I20)*I32</f>
        <v>3447542.2905315426</v>
      </c>
      <c r="E32" s="218">
        <f>(+E20/I20)*I32</f>
        <v>484006.91420853056</v>
      </c>
      <c r="F32" s="218">
        <f>(+F20/I20)*I32</f>
        <v>557601.37152867159</v>
      </c>
      <c r="G32" s="218">
        <f>(+G20/I20)*I32</f>
        <v>97086.652320619352</v>
      </c>
      <c r="H32" s="218">
        <f>+H20</f>
        <v>85129383</v>
      </c>
      <c r="I32" s="229">
        <v>8192000</v>
      </c>
    </row>
    <row r="33" spans="1:9" x14ac:dyDescent="0.25">
      <c r="A33" s="213" t="s">
        <v>35</v>
      </c>
      <c r="B33" s="228">
        <v>45931</v>
      </c>
      <c r="C33" s="218">
        <f>(+C21/I21)*I33</f>
        <v>10268460.319633352</v>
      </c>
      <c r="D33" s="218">
        <f>(+D21/I21)*I33</f>
        <v>8127366.3558048122</v>
      </c>
      <c r="E33" s="218">
        <f>(+E21/I21)*I33</f>
        <v>1137435.9133417534</v>
      </c>
      <c r="F33" s="218">
        <f>(+F21/I21)*I33</f>
        <v>1473641.9773575068</v>
      </c>
      <c r="G33" s="218">
        <f>(+G21/I21)*I33</f>
        <v>209795.43386257702</v>
      </c>
      <c r="H33" s="218">
        <f>+H21</f>
        <v>83947162</v>
      </c>
      <c r="I33" s="229">
        <v>21216700</v>
      </c>
    </row>
    <row r="35" spans="1:9" x14ac:dyDescent="0.25">
      <c r="A35" s="213" t="s">
        <v>175</v>
      </c>
      <c r="B35" s="228" t="s">
        <v>176</v>
      </c>
      <c r="C35" s="218">
        <f t="shared" ref="C35:I35" si="7">SUM(C22:C33)</f>
        <v>140216275.3119559</v>
      </c>
      <c r="D35" s="218">
        <f t="shared" si="7"/>
        <v>103631783.38918559</v>
      </c>
      <c r="E35" s="218">
        <f t="shared" si="7"/>
        <v>13457822.341199517</v>
      </c>
      <c r="F35" s="218">
        <f t="shared" si="7"/>
        <v>16601133.000301499</v>
      </c>
      <c r="G35" s="218">
        <f t="shared" si="7"/>
        <v>2353804.9573574951</v>
      </c>
      <c r="H35" s="218">
        <f t="shared" si="7"/>
        <v>940213064</v>
      </c>
      <c r="I35" s="218">
        <f t="shared" si="7"/>
        <v>276260819</v>
      </c>
    </row>
    <row r="36" spans="1:9" x14ac:dyDescent="0.25">
      <c r="C36" s="230">
        <v>1</v>
      </c>
      <c r="D36" s="230">
        <v>2</v>
      </c>
      <c r="E36" s="230">
        <v>3</v>
      </c>
      <c r="F36" s="230">
        <v>4</v>
      </c>
      <c r="G36" s="230">
        <v>5</v>
      </c>
      <c r="H36" s="230">
        <v>6</v>
      </c>
      <c r="I36" s="231">
        <v>7</v>
      </c>
    </row>
    <row r="37" spans="1:9" x14ac:dyDescent="0.25">
      <c r="B37" s="228"/>
      <c r="C37" s="232"/>
      <c r="D37" s="232"/>
      <c r="E37" s="232"/>
      <c r="F37" s="232"/>
      <c r="G37" s="232"/>
      <c r="H37" s="232"/>
      <c r="I37" s="232"/>
    </row>
  </sheetData>
  <mergeCells count="3">
    <mergeCell ref="B1:I1"/>
    <mergeCell ref="B2:I2"/>
    <mergeCell ref="B3:I3"/>
  </mergeCells>
  <printOptions horizontalCentered="1"/>
  <pageMargins left="0.25" right="0.25" top="1" bottom="1" header="0.5" footer="0.5"/>
  <pageSetup scale="89" orientation="landscape" r:id="rId1"/>
  <headerFooter alignWithMargins="0">
    <oddFooter>&amp;L
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2C7F9-CF77-4963-B26F-E90AFB879E3A}">
  <dimension ref="A1:L49"/>
  <sheetViews>
    <sheetView topLeftCell="A16" workbookViewId="0">
      <selection activeCell="J39" activeCellId="1" sqref="B12 J39"/>
    </sheetView>
  </sheetViews>
  <sheetFormatPr defaultColWidth="12" defaultRowHeight="15" x14ac:dyDescent="0.25"/>
  <cols>
    <col min="1" max="1" width="1.6640625" style="235" customWidth="1"/>
    <col min="2" max="2" width="5.83203125" style="234" customWidth="1"/>
    <col min="3" max="3" width="15.5" style="235" customWidth="1"/>
    <col min="4" max="4" width="20" style="235" customWidth="1"/>
    <col min="5" max="5" width="10.6640625" style="234" bestFit="1" customWidth="1"/>
    <col min="6" max="6" width="16" style="235" bestFit="1" customWidth="1"/>
    <col min="7" max="7" width="16.5" style="235" customWidth="1"/>
    <col min="8" max="8" width="2.33203125" style="235" customWidth="1"/>
    <col min="9" max="9" width="19.1640625" style="235" bestFit="1" customWidth="1"/>
    <col min="10" max="10" width="2.33203125" style="235" customWidth="1"/>
    <col min="11" max="12" width="15" style="235" bestFit="1" customWidth="1"/>
    <col min="13" max="13" width="5.6640625" style="235" customWidth="1"/>
    <col min="14" max="16384" width="12" style="235"/>
  </cols>
  <sheetData>
    <row r="1" spans="1:12" ht="18" customHeight="1" x14ac:dyDescent="0.25">
      <c r="A1" s="233"/>
      <c r="C1" s="316" t="s">
        <v>27</v>
      </c>
      <c r="D1" s="316"/>
      <c r="E1" s="316"/>
      <c r="F1" s="316"/>
      <c r="G1" s="316"/>
      <c r="H1" s="316"/>
      <c r="I1" s="316"/>
      <c r="J1" s="316"/>
    </row>
    <row r="2" spans="1:12" x14ac:dyDescent="0.25">
      <c r="C2" s="318" t="s">
        <v>177</v>
      </c>
      <c r="D2" s="319"/>
      <c r="E2" s="319"/>
      <c r="F2" s="319"/>
      <c r="G2" s="319"/>
      <c r="H2" s="319"/>
      <c r="I2" s="319"/>
      <c r="J2" s="319"/>
    </row>
    <row r="3" spans="1:12" x14ac:dyDescent="0.25">
      <c r="C3" s="318" t="s">
        <v>178</v>
      </c>
      <c r="D3" s="319"/>
      <c r="E3" s="319"/>
      <c r="F3" s="319"/>
      <c r="G3" s="319"/>
      <c r="H3" s="319"/>
      <c r="I3" s="319"/>
      <c r="J3" s="319"/>
    </row>
    <row r="4" spans="1:12" x14ac:dyDescent="0.25">
      <c r="C4" s="316" t="s">
        <v>30</v>
      </c>
      <c r="D4" s="319"/>
      <c r="E4" s="319"/>
      <c r="F4" s="319"/>
      <c r="G4" s="319"/>
      <c r="H4" s="319"/>
      <c r="I4" s="319"/>
      <c r="J4" s="319"/>
    </row>
    <row r="5" spans="1:12" ht="6" customHeight="1" x14ac:dyDescent="0.25"/>
    <row r="6" spans="1:12" x14ac:dyDescent="0.25">
      <c r="B6" s="236"/>
      <c r="C6" s="237"/>
      <c r="D6" s="237"/>
      <c r="E6" s="236"/>
      <c r="F6" s="236"/>
      <c r="G6" s="236"/>
      <c r="I6" s="236"/>
    </row>
    <row r="7" spans="1:12" x14ac:dyDescent="0.25">
      <c r="B7" s="238" t="s">
        <v>32</v>
      </c>
      <c r="C7" s="234"/>
      <c r="D7" s="234"/>
      <c r="E7" s="238" t="s">
        <v>33</v>
      </c>
      <c r="F7" s="238" t="s">
        <v>34</v>
      </c>
      <c r="G7" s="238" t="s">
        <v>179</v>
      </c>
      <c r="H7" s="234"/>
      <c r="I7" s="238" t="s">
        <v>36</v>
      </c>
      <c r="J7" s="234"/>
      <c r="K7" s="234"/>
      <c r="L7" s="234"/>
    </row>
    <row r="8" spans="1:12" x14ac:dyDescent="0.25">
      <c r="B8" s="238" t="s">
        <v>40</v>
      </c>
      <c r="C8" s="239"/>
      <c r="D8" s="234" t="s">
        <v>3</v>
      </c>
      <c r="E8" s="238" t="s">
        <v>41</v>
      </c>
      <c r="F8" s="238" t="s">
        <v>42</v>
      </c>
      <c r="G8" s="238" t="s">
        <v>43</v>
      </c>
      <c r="H8" s="234"/>
      <c r="I8" s="238" t="s">
        <v>44</v>
      </c>
      <c r="J8" s="234"/>
      <c r="K8" s="234"/>
      <c r="L8" s="234"/>
    </row>
    <row r="9" spans="1:12" x14ac:dyDescent="0.25">
      <c r="B9" s="238"/>
      <c r="C9" s="239"/>
      <c r="D9" s="234" t="s">
        <v>46</v>
      </c>
      <c r="E9" s="240" t="s">
        <v>47</v>
      </c>
      <c r="F9" s="240" t="s">
        <v>48</v>
      </c>
      <c r="G9" s="240" t="s">
        <v>49</v>
      </c>
      <c r="H9" s="234"/>
      <c r="I9" s="240" t="s">
        <v>50</v>
      </c>
      <c r="J9" s="234"/>
      <c r="K9" s="234"/>
      <c r="L9" s="234"/>
    </row>
    <row r="10" spans="1:12" x14ac:dyDescent="0.25">
      <c r="B10" s="241"/>
      <c r="C10" s="242" t="s">
        <v>54</v>
      </c>
      <c r="D10" s="243"/>
      <c r="E10" s="241"/>
      <c r="F10" s="243"/>
      <c r="G10" s="243"/>
      <c r="I10" s="244"/>
    </row>
    <row r="11" spans="1:12" x14ac:dyDescent="0.25">
      <c r="B11" s="236"/>
      <c r="C11" s="245" t="s">
        <v>112</v>
      </c>
      <c r="D11" s="246"/>
      <c r="E11" s="247"/>
      <c r="F11" s="237"/>
      <c r="G11" s="248"/>
      <c r="I11" s="248"/>
    </row>
    <row r="12" spans="1:12" x14ac:dyDescent="0.25">
      <c r="B12" s="238">
        <v>1</v>
      </c>
      <c r="C12" s="249" t="s">
        <v>180</v>
      </c>
      <c r="D12" s="250"/>
      <c r="E12" s="251">
        <v>503</v>
      </c>
      <c r="F12" s="252">
        <v>204189</v>
      </c>
      <c r="G12" s="253">
        <v>122238548</v>
      </c>
      <c r="I12" s="254">
        <f>180894056.86+2819119</f>
        <v>183713175.86000001</v>
      </c>
      <c r="K12" s="255"/>
      <c r="L12" s="256"/>
    </row>
    <row r="13" spans="1:12" x14ac:dyDescent="0.25">
      <c r="B13" s="238">
        <v>2</v>
      </c>
      <c r="C13" s="249"/>
      <c r="D13" s="250"/>
      <c r="E13" s="251"/>
      <c r="F13" s="252"/>
      <c r="G13" s="253"/>
      <c r="I13" s="254"/>
      <c r="K13" s="255"/>
      <c r="L13" s="256"/>
    </row>
    <row r="14" spans="1:12" x14ac:dyDescent="0.25">
      <c r="B14" s="238">
        <v>3</v>
      </c>
      <c r="C14" s="257" t="s">
        <v>181</v>
      </c>
      <c r="E14" s="238">
        <v>503</v>
      </c>
      <c r="F14" s="252"/>
      <c r="G14" s="253">
        <v>1709750</v>
      </c>
      <c r="H14" s="255"/>
      <c r="I14" s="254">
        <v>2892288.17</v>
      </c>
      <c r="J14" s="255"/>
      <c r="K14" s="255"/>
      <c r="L14" s="256"/>
    </row>
    <row r="15" spans="1:12" x14ac:dyDescent="0.25">
      <c r="B15" s="238">
        <v>4</v>
      </c>
      <c r="C15" s="258" t="s">
        <v>182</v>
      </c>
      <c r="D15" s="259"/>
      <c r="E15" s="240">
        <v>503</v>
      </c>
      <c r="F15" s="260"/>
      <c r="G15" s="261">
        <v>-1455032</v>
      </c>
      <c r="H15" s="255"/>
      <c r="I15" s="262">
        <v>-2335339.27</v>
      </c>
      <c r="J15" s="255"/>
      <c r="K15" s="255"/>
      <c r="L15" s="256"/>
    </row>
    <row r="16" spans="1:12" s="263" customFormat="1" x14ac:dyDescent="0.25">
      <c r="B16" s="238">
        <v>5</v>
      </c>
      <c r="C16" s="264" t="s">
        <v>183</v>
      </c>
      <c r="D16" s="265"/>
      <c r="E16" s="266"/>
      <c r="F16" s="267">
        <f>SUM(F12:F15)</f>
        <v>204189</v>
      </c>
      <c r="G16" s="268">
        <f>SUM(G12:G15)</f>
        <v>122493266</v>
      </c>
      <c r="H16" s="269"/>
      <c r="I16" s="270">
        <f>SUM(I12:I15)</f>
        <v>184270124.75999999</v>
      </c>
      <c r="J16" s="269"/>
      <c r="K16" s="269"/>
      <c r="L16" s="271"/>
    </row>
    <row r="17" spans="2:12" x14ac:dyDescent="0.25">
      <c r="B17" s="238">
        <v>6</v>
      </c>
      <c r="C17" s="245" t="s">
        <v>113</v>
      </c>
      <c r="D17" s="250"/>
      <c r="E17" s="251"/>
      <c r="F17" s="255"/>
      <c r="G17" s="253"/>
      <c r="H17" s="255"/>
      <c r="I17" s="254"/>
      <c r="K17" s="255"/>
      <c r="L17" s="272"/>
    </row>
    <row r="18" spans="2:12" x14ac:dyDescent="0.25">
      <c r="B18" s="238">
        <v>7</v>
      </c>
      <c r="C18" s="273" t="s">
        <v>180</v>
      </c>
      <c r="D18" s="250"/>
      <c r="E18" s="251" t="s">
        <v>18</v>
      </c>
      <c r="F18" s="255">
        <v>27579</v>
      </c>
      <c r="G18" s="253">
        <v>90523524</v>
      </c>
      <c r="H18" s="255"/>
      <c r="I18" s="254">
        <v>123747537.20999999</v>
      </c>
      <c r="K18" s="255"/>
      <c r="L18" s="256"/>
    </row>
    <row r="19" spans="2:12" x14ac:dyDescent="0.25">
      <c r="B19" s="238">
        <v>8</v>
      </c>
      <c r="C19" s="273" t="s">
        <v>130</v>
      </c>
      <c r="D19" s="250"/>
      <c r="E19" s="251" t="s">
        <v>60</v>
      </c>
      <c r="F19" s="255">
        <f>69+3</f>
        <v>72</v>
      </c>
      <c r="G19" s="253">
        <v>10097271</v>
      </c>
      <c r="I19" s="254">
        <v>12165842.199999999</v>
      </c>
      <c r="K19" s="255"/>
      <c r="L19" s="256"/>
    </row>
    <row r="20" spans="2:12" x14ac:dyDescent="0.25">
      <c r="B20" s="238">
        <v>9</v>
      </c>
      <c r="C20" s="273"/>
      <c r="D20" s="250"/>
      <c r="E20" s="251"/>
      <c r="F20" s="255"/>
      <c r="G20" s="253"/>
      <c r="I20" s="254"/>
      <c r="K20" s="255"/>
      <c r="L20" s="256"/>
    </row>
    <row r="21" spans="2:12" x14ac:dyDescent="0.25">
      <c r="B21" s="238">
        <v>10</v>
      </c>
      <c r="C21" s="235" t="str">
        <f>C14</f>
        <v>EOM</v>
      </c>
      <c r="D21" s="250"/>
      <c r="E21" s="251">
        <v>504</v>
      </c>
      <c r="G21" s="253">
        <v>1592933</v>
      </c>
      <c r="H21" s="255"/>
      <c r="I21" s="274">
        <v>2374361.67</v>
      </c>
      <c r="J21" s="255"/>
      <c r="K21" s="255"/>
      <c r="L21" s="256"/>
    </row>
    <row r="22" spans="2:12" x14ac:dyDescent="0.25">
      <c r="B22" s="238">
        <v>11</v>
      </c>
      <c r="C22" s="235" t="str">
        <f>C15</f>
        <v>LM</v>
      </c>
      <c r="D22" s="250"/>
      <c r="E22" s="251">
        <v>504</v>
      </c>
      <c r="G22" s="253">
        <v>-1299954</v>
      </c>
      <c r="H22" s="255"/>
      <c r="I22" s="274">
        <v>-1788760.89</v>
      </c>
      <c r="J22" s="255"/>
      <c r="K22" s="255"/>
      <c r="L22" s="256"/>
    </row>
    <row r="23" spans="2:12" x14ac:dyDescent="0.25">
      <c r="B23" s="238">
        <v>12</v>
      </c>
      <c r="C23" s="235" t="s">
        <v>181</v>
      </c>
      <c r="D23" s="250"/>
      <c r="E23" s="251">
        <v>511</v>
      </c>
      <c r="G23" s="253">
        <v>195051</v>
      </c>
      <c r="H23" s="255"/>
      <c r="I23" s="274">
        <v>250281.57</v>
      </c>
      <c r="J23" s="255"/>
      <c r="K23" s="255"/>
      <c r="L23" s="256"/>
    </row>
    <row r="24" spans="2:12" x14ac:dyDescent="0.25">
      <c r="B24" s="238">
        <v>13</v>
      </c>
      <c r="C24" s="235" t="s">
        <v>182</v>
      </c>
      <c r="D24" s="250"/>
      <c r="E24" s="251">
        <v>511</v>
      </c>
      <c r="G24" s="253">
        <v>-167353</v>
      </c>
      <c r="H24" s="255"/>
      <c r="I24" s="274">
        <v>-176241.16</v>
      </c>
      <c r="J24" s="255"/>
      <c r="K24" s="255"/>
      <c r="L24" s="256"/>
    </row>
    <row r="25" spans="2:12" x14ac:dyDescent="0.25">
      <c r="B25" s="238">
        <v>14</v>
      </c>
      <c r="C25" s="273" t="s">
        <v>184</v>
      </c>
      <c r="D25" s="250"/>
      <c r="E25" s="251"/>
      <c r="F25" s="255"/>
      <c r="G25" s="253">
        <v>0</v>
      </c>
      <c r="H25" s="255"/>
      <c r="I25" s="262"/>
      <c r="K25" s="255"/>
      <c r="L25" s="275"/>
    </row>
    <row r="26" spans="2:12" s="263" customFormat="1" x14ac:dyDescent="0.25">
      <c r="B26" s="238">
        <v>15</v>
      </c>
      <c r="C26" s="264" t="s">
        <v>185</v>
      </c>
      <c r="D26" s="276"/>
      <c r="E26" s="266"/>
      <c r="F26" s="267">
        <f>SUM(F18:F25)</f>
        <v>27651</v>
      </c>
      <c r="G26" s="268">
        <f>SUM(G18:G25)</f>
        <v>100941472</v>
      </c>
      <c r="H26" s="269"/>
      <c r="I26" s="270">
        <f>SUM(I18:I25)</f>
        <v>136573020.59999999</v>
      </c>
      <c r="J26" s="269"/>
      <c r="K26" s="269"/>
      <c r="L26" s="271"/>
    </row>
    <row r="27" spans="2:12" x14ac:dyDescent="0.25">
      <c r="B27" s="238">
        <v>16</v>
      </c>
      <c r="C27" s="245" t="s">
        <v>186</v>
      </c>
      <c r="D27" s="250"/>
      <c r="E27" s="251"/>
      <c r="F27" s="255"/>
      <c r="G27" s="253"/>
      <c r="H27" s="255"/>
      <c r="I27" s="254"/>
      <c r="K27" s="255"/>
      <c r="L27" s="275"/>
    </row>
    <row r="28" spans="2:12" x14ac:dyDescent="0.25">
      <c r="B28" s="238">
        <v>17</v>
      </c>
      <c r="C28" s="273" t="s">
        <v>180</v>
      </c>
      <c r="D28" s="250"/>
      <c r="E28" s="251" t="s">
        <v>58</v>
      </c>
      <c r="F28" s="255">
        <v>495</v>
      </c>
      <c r="G28" s="253">
        <v>11881224</v>
      </c>
      <c r="H28" s="255"/>
      <c r="I28" s="254">
        <v>14347313.25</v>
      </c>
      <c r="K28" s="255"/>
      <c r="L28" s="275"/>
    </row>
    <row r="29" spans="2:12" x14ac:dyDescent="0.25">
      <c r="B29" s="238">
        <v>18</v>
      </c>
      <c r="C29" s="273" t="s">
        <v>130</v>
      </c>
      <c r="D29" s="250"/>
      <c r="E29" s="251" t="s">
        <v>60</v>
      </c>
      <c r="F29" s="255">
        <v>27</v>
      </c>
      <c r="G29" s="253">
        <v>4596720</v>
      </c>
      <c r="I29" s="254">
        <v>5272343.55</v>
      </c>
      <c r="K29" s="255"/>
      <c r="L29" s="275"/>
    </row>
    <row r="30" spans="2:12" x14ac:dyDescent="0.25">
      <c r="B30" s="238">
        <v>19</v>
      </c>
      <c r="C30" s="235" t="str">
        <f>+C21</f>
        <v>EOM</v>
      </c>
      <c r="D30" s="250"/>
      <c r="E30" s="251" t="s">
        <v>58</v>
      </c>
      <c r="F30" s="255"/>
      <c r="G30" s="253"/>
      <c r="I30" s="254">
        <v>12936</v>
      </c>
      <c r="K30" s="255"/>
      <c r="L30" s="275"/>
    </row>
    <row r="31" spans="2:12" x14ac:dyDescent="0.25">
      <c r="B31" s="238">
        <v>20</v>
      </c>
      <c r="C31" s="239" t="str">
        <f>+C22</f>
        <v>LM</v>
      </c>
      <c r="D31" s="250"/>
      <c r="E31" s="251" t="s">
        <v>58</v>
      </c>
      <c r="F31" s="255"/>
      <c r="G31" s="277">
        <v>0</v>
      </c>
      <c r="I31" s="254">
        <v>-12936</v>
      </c>
      <c r="K31" s="255"/>
      <c r="L31" s="275"/>
    </row>
    <row r="32" spans="2:12" s="263" customFormat="1" x14ac:dyDescent="0.25">
      <c r="B32" s="238">
        <v>21</v>
      </c>
      <c r="C32" s="264" t="s">
        <v>187</v>
      </c>
      <c r="D32" s="276"/>
      <c r="E32" s="266"/>
      <c r="F32" s="268">
        <f>SUM(F28:F31)</f>
        <v>522</v>
      </c>
      <c r="G32" s="268">
        <f>SUM(G28:G31)</f>
        <v>16477944</v>
      </c>
      <c r="H32" s="269"/>
      <c r="I32" s="278">
        <f>SUM(I28:I31)</f>
        <v>19619656.800000001</v>
      </c>
      <c r="J32" s="269"/>
      <c r="K32" s="269"/>
      <c r="L32" s="271"/>
    </row>
    <row r="33" spans="2:12" x14ac:dyDescent="0.25">
      <c r="B33" s="238">
        <v>22</v>
      </c>
      <c r="C33" s="245" t="s">
        <v>116</v>
      </c>
      <c r="D33" s="250"/>
      <c r="E33" s="251"/>
      <c r="F33" s="255"/>
      <c r="G33" s="253"/>
      <c r="H33" s="255"/>
      <c r="I33" s="254"/>
      <c r="K33" s="255"/>
      <c r="L33" s="275"/>
    </row>
    <row r="34" spans="2:12" x14ac:dyDescent="0.25">
      <c r="B34" s="238">
        <v>23</v>
      </c>
      <c r="C34" s="273" t="s">
        <v>188</v>
      </c>
      <c r="D34" s="250"/>
      <c r="E34" s="251" t="s">
        <v>62</v>
      </c>
      <c r="F34" s="255">
        <v>7</v>
      </c>
      <c r="G34" s="253">
        <v>2138948</v>
      </c>
      <c r="H34" s="255"/>
      <c r="I34" s="254">
        <v>2156758</v>
      </c>
      <c r="K34" s="255"/>
      <c r="L34" s="275"/>
    </row>
    <row r="35" spans="2:12" x14ac:dyDescent="0.25">
      <c r="B35" s="238">
        <v>24</v>
      </c>
      <c r="C35" s="273" t="str">
        <f>+C30</f>
        <v>EOM</v>
      </c>
      <c r="D35" s="250"/>
      <c r="E35" s="251"/>
      <c r="F35" s="255"/>
      <c r="G35" s="253">
        <v>35751</v>
      </c>
      <c r="I35" s="254">
        <v>39723.18</v>
      </c>
      <c r="K35" s="255"/>
      <c r="L35" s="275"/>
    </row>
    <row r="36" spans="2:12" x14ac:dyDescent="0.25">
      <c r="B36" s="238">
        <v>25</v>
      </c>
      <c r="C36" s="273" t="str">
        <f>+C31</f>
        <v>LM</v>
      </c>
      <c r="D36" s="250"/>
      <c r="E36" s="251"/>
      <c r="F36" s="255"/>
      <c r="G36" s="253">
        <v>-86202</v>
      </c>
      <c r="I36" s="254">
        <v>-86675.02</v>
      </c>
      <c r="K36" s="255"/>
      <c r="L36" s="275"/>
    </row>
    <row r="37" spans="2:12" x14ac:dyDescent="0.25">
      <c r="B37" s="238">
        <v>26</v>
      </c>
      <c r="C37" s="273"/>
      <c r="D37" s="250"/>
      <c r="E37" s="251"/>
      <c r="F37" s="255"/>
      <c r="G37" s="253"/>
      <c r="I37" s="254"/>
      <c r="K37" s="255"/>
      <c r="L37" s="275"/>
    </row>
    <row r="38" spans="2:12" x14ac:dyDescent="0.25">
      <c r="B38" s="238">
        <v>27</v>
      </c>
      <c r="C38" s="273"/>
      <c r="D38" s="250"/>
      <c r="E38" s="251"/>
      <c r="F38" s="255"/>
      <c r="G38" s="253"/>
      <c r="I38" s="254"/>
      <c r="K38" s="255"/>
      <c r="L38" s="275"/>
    </row>
    <row r="39" spans="2:12" s="263" customFormat="1" x14ac:dyDescent="0.25">
      <c r="B39" s="238">
        <v>28</v>
      </c>
      <c r="C39" s="242" t="s">
        <v>189</v>
      </c>
      <c r="D39" s="276"/>
      <c r="E39" s="266"/>
      <c r="F39" s="267">
        <f>SUM(F34:F34)</f>
        <v>7</v>
      </c>
      <c r="G39" s="268">
        <f>SUM(G34:G36)</f>
        <v>2088497</v>
      </c>
      <c r="H39" s="269"/>
      <c r="I39" s="270">
        <f>+I34+I35+I36</f>
        <v>2109806.16</v>
      </c>
      <c r="J39" s="269"/>
      <c r="K39" s="269"/>
      <c r="L39" s="271"/>
    </row>
    <row r="40" spans="2:12" s="263" customFormat="1" x14ac:dyDescent="0.25">
      <c r="B40" s="238">
        <v>29</v>
      </c>
      <c r="C40" s="279" t="s">
        <v>190</v>
      </c>
      <c r="E40" s="280"/>
      <c r="F40" s="269">
        <f>+F39+F32+F26+F16</f>
        <v>232369</v>
      </c>
      <c r="G40" s="268">
        <f>G16+G26+G32+G39</f>
        <v>242001179</v>
      </c>
      <c r="H40" s="269"/>
      <c r="I40" s="270">
        <f>I16+I26+I32+I39</f>
        <v>342572608.32000005</v>
      </c>
      <c r="J40" s="269"/>
      <c r="K40" s="269"/>
      <c r="L40" s="271"/>
    </row>
    <row r="41" spans="2:12" x14ac:dyDescent="0.25">
      <c r="B41" s="241"/>
      <c r="C41" s="242" t="s">
        <v>64</v>
      </c>
      <c r="D41" s="243"/>
      <c r="E41" s="241"/>
      <c r="F41" s="244"/>
      <c r="G41" s="244"/>
      <c r="H41" s="255"/>
      <c r="I41" s="281"/>
      <c r="K41" s="255"/>
      <c r="L41" s="275"/>
    </row>
    <row r="42" spans="2:12" x14ac:dyDescent="0.25">
      <c r="B42" s="236">
        <v>30</v>
      </c>
      <c r="C42" s="239"/>
      <c r="D42" s="250"/>
      <c r="E42" s="251"/>
      <c r="F42" s="255"/>
      <c r="G42" s="253"/>
      <c r="H42" s="282"/>
      <c r="I42" s="283"/>
      <c r="J42" s="239"/>
      <c r="K42" s="255"/>
      <c r="L42" s="275"/>
    </row>
    <row r="43" spans="2:12" x14ac:dyDescent="0.25">
      <c r="B43" s="238">
        <v>31</v>
      </c>
      <c r="C43" s="284" t="s">
        <v>191</v>
      </c>
      <c r="D43" s="250"/>
      <c r="E43" s="251"/>
      <c r="F43" s="255"/>
      <c r="G43" s="253"/>
      <c r="H43" s="282"/>
      <c r="I43" s="285"/>
      <c r="K43" s="255"/>
      <c r="L43" s="275"/>
    </row>
    <row r="44" spans="2:12" x14ac:dyDescent="0.25">
      <c r="B44" s="238">
        <v>32</v>
      </c>
      <c r="C44" s="273" t="s">
        <v>188</v>
      </c>
      <c r="D44" s="250"/>
      <c r="E44" s="251" t="s">
        <v>192</v>
      </c>
      <c r="F44" s="255">
        <v>192</v>
      </c>
      <c r="G44" s="253">
        <v>940213064</v>
      </c>
      <c r="H44" s="255"/>
      <c r="I44" s="254">
        <v>30374009</v>
      </c>
      <c r="J44" s="239"/>
      <c r="K44" s="255"/>
      <c r="L44" s="275"/>
    </row>
    <row r="45" spans="2:12" x14ac:dyDescent="0.25">
      <c r="B45" s="238">
        <v>33</v>
      </c>
      <c r="C45" s="273" t="s">
        <v>193</v>
      </c>
      <c r="D45" s="250"/>
      <c r="E45" s="251" t="s">
        <v>194</v>
      </c>
      <c r="F45" s="286">
        <v>7</v>
      </c>
      <c r="G45" s="261">
        <v>193605986</v>
      </c>
      <c r="I45" s="262">
        <v>3641422.7</v>
      </c>
      <c r="K45" s="255"/>
      <c r="L45" s="275"/>
    </row>
    <row r="46" spans="2:12" s="263" customFormat="1" x14ac:dyDescent="0.25">
      <c r="B46" s="238">
        <v>34</v>
      </c>
      <c r="C46" s="287" t="s">
        <v>195</v>
      </c>
      <c r="D46" s="276"/>
      <c r="E46" s="280"/>
      <c r="F46" s="288">
        <f>SUM(F42:F45)</f>
        <v>199</v>
      </c>
      <c r="G46" s="289">
        <f>SUM(G42:G45)</f>
        <v>1133819050</v>
      </c>
      <c r="I46" s="290">
        <f>SUM(I42:I45)</f>
        <v>34015431.700000003</v>
      </c>
      <c r="L46" s="271"/>
    </row>
    <row r="47" spans="2:12" s="263" customFormat="1" x14ac:dyDescent="0.25">
      <c r="B47" s="240">
        <v>35</v>
      </c>
      <c r="C47" s="287" t="s">
        <v>196</v>
      </c>
      <c r="D47" s="291"/>
      <c r="E47" s="280"/>
      <c r="F47" s="288">
        <f>+F46+F40</f>
        <v>232568</v>
      </c>
      <c r="G47" s="289">
        <f>G40+G46</f>
        <v>1375820229</v>
      </c>
      <c r="H47" s="269"/>
      <c r="I47" s="270">
        <f>I40+I46</f>
        <v>376588040.02000004</v>
      </c>
      <c r="J47" s="269"/>
      <c r="K47" s="269"/>
      <c r="L47" s="271"/>
    </row>
    <row r="48" spans="2:12" x14ac:dyDescent="0.25">
      <c r="B48" s="292"/>
      <c r="C48" s="233"/>
      <c r="D48" s="239"/>
      <c r="F48" s="239"/>
      <c r="G48" s="239"/>
      <c r="H48" s="239"/>
      <c r="I48" s="293"/>
    </row>
    <row r="49" spans="2:10" x14ac:dyDescent="0.25">
      <c r="B49" s="292"/>
      <c r="C49" s="233"/>
      <c r="D49" s="233"/>
      <c r="E49" s="292"/>
      <c r="F49" s="294"/>
      <c r="G49" s="294"/>
      <c r="H49" s="294"/>
      <c r="I49" s="295"/>
      <c r="J49" s="263"/>
    </row>
  </sheetData>
  <mergeCells count="4">
    <mergeCell ref="C1:J1"/>
    <mergeCell ref="C2:J2"/>
    <mergeCell ref="C3:J3"/>
    <mergeCell ref="C4:J4"/>
  </mergeCells>
  <printOptions horizontalCentered="1"/>
  <pageMargins left="0.25" right="0.25" top="1" bottom="1" header="0.5" footer="0.5"/>
  <pageSetup scale="60" orientation="landscape" r:id="rId1"/>
  <headerFooter scaleWithDoc="0" alignWithMargins="0">
    <oddFooter>&amp;L
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FF20EEE5B7474E945108E66562EDA5" ma:contentTypeVersion="7" ma:contentTypeDescription="" ma:contentTypeScope="" ma:versionID="3e97d7e974875760d37d35ca7e91f3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2024-09-13T07:00:00+00:00</OpenedDate>
    <SignificantOrder xmlns="dc463f71-b30c-4ab2-9473-d307f9d35888">false</SignificantOrder>
    <Date1 xmlns="dc463f71-b30c-4ab2-9473-d307f9d35888">2024-09-13T07:00:00+00:00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240702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7CE694A-ADEE-4426-B868-AEE762C969C8}"/>
</file>

<file path=customXml/itemProps2.xml><?xml version="1.0" encoding="utf-8"?>
<ds:datastoreItem xmlns:ds="http://schemas.openxmlformats.org/officeDocument/2006/customXml" ds:itemID="{AEB73DF3-A9F7-4068-8ABD-56E08EC3F28B}"/>
</file>

<file path=customXml/itemProps3.xml><?xml version="1.0" encoding="utf-8"?>
<ds:datastoreItem xmlns:ds="http://schemas.openxmlformats.org/officeDocument/2006/customXml" ds:itemID="{49D05704-DD9F-451A-BBCA-12FA2E684354}"/>
</file>

<file path=customXml/itemProps4.xml><?xml version="1.0" encoding="utf-8"?>
<ds:datastoreItem xmlns:ds="http://schemas.openxmlformats.org/officeDocument/2006/customXml" ds:itemID="{3E7F3134-59C3-4460-B48B-3FCA1A41D6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582 Table of Contents</vt:lpstr>
      <vt:lpstr>Unprotected Cost Allocation</vt:lpstr>
      <vt:lpstr>Unpro. Amount Change</vt:lpstr>
      <vt:lpstr>Effects of UPT Avg. Bill</vt:lpstr>
      <vt:lpstr>Unprot. Proposed Rate Adj.</vt:lpstr>
      <vt:lpstr>47WA.2540.</vt:lpstr>
      <vt:lpstr>Test Period Volumes</vt:lpstr>
      <vt:lpstr>Bills-Therms-Revs</vt:lpstr>
      <vt:lpstr>'582 Table of Contents'!Print_Area</vt:lpstr>
      <vt:lpstr>'Bills-Therms-Revs'!Print_Area</vt:lpstr>
      <vt:lpstr>'Effects of UPT Avg. Bill'!Print_Area</vt:lpstr>
      <vt:lpstr>'Test Period Volumes'!Print_Area</vt:lpstr>
      <vt:lpstr>'Unpro. Amount Change'!Print_Area</vt:lpstr>
      <vt:lpstr>'Unprot. Proposed Rate Adj.'!Print_Area</vt:lpstr>
      <vt:lpstr>'Unprotected Cost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2024-09-06T16:10:05Z</dcterms:created>
  <dcterms:modified xsi:type="dcterms:W3CDTF">2024-09-06T16:21:05Z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2024-09-06T16:12:24Z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0c3a7682-e00b-4b62-bbd5-fe50bfb2f534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0x0101006E56B4D1795A2E4DB2F0B01679ED314A002EFF20EEE5B7474E945108E66562EDA5</vt:lpwstr>
  </property>
</Properties>
</file>