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PGA 2024\WA PGA\CPA\"/>
    </mc:Choice>
  </mc:AlternateContent>
  <xr:revisionPtr revIDLastSave="0" documentId="13_ncr:1_{4CE84ED3-69EE-43E5-B940-A2F96C22143A}" xr6:coauthVersionLast="47" xr6:coauthVersionMax="47" xr10:uidLastSave="{00000000-0000-0000-0000-000000000000}"/>
  <bookViews>
    <workbookView xWindow="-120" yWindow="-120" windowWidth="29040" windowHeight="15840" xr2:uid="{1C47EEDE-149A-4921-AA66-67BFEAF2A354}"/>
  </bookViews>
  <sheets>
    <sheet name="CPA Table of Contents" sheetId="1" r:id="rId1"/>
    <sheet name="CPA Summary of Def. Accts." sheetId="2" r:id="rId2"/>
    <sheet name="CPA Proposed Rate 596" sheetId="3" r:id="rId3"/>
    <sheet name="CPA Amount of Change" sheetId="4" r:id="rId4"/>
    <sheet name="Effects of CPA Avg. Bill" sheetId="5" r:id="rId5"/>
    <sheet name="Workpapers---&gt;" sheetId="6" r:id="rId6"/>
    <sheet name="Balances at 7-31-2024" sheetId="7" r:id="rId7"/>
    <sheet name="Int calc thru 10-31-2024" sheetId="8" r:id="rId8"/>
    <sheet name="Amort Calc thru 10-31-2024" sheetId="9" r:id="rId9"/>
    <sheet name="EstimatedBalances" sheetId="10" r:id="rId10"/>
    <sheet name=" Int during Amort" sheetId="11" r:id="rId11"/>
    <sheet name="Test Period Volumes" sheetId="12" r:id="rId12"/>
    <sheet name="Bills-Therms-Revs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>#REF!</definedName>
    <definedName name="_1994DD">#REF!</definedName>
    <definedName name="_228">'[8]Interest Rates'!#REF!</definedName>
    <definedName name="_230">'[8]Interest Rates'!#REF!</definedName>
    <definedName name="_244">'[9]Int Rates'!#REF!</definedName>
    <definedName name="_246">'[9]Int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GREE">[10]SETUP!#REF!</definedName>
    <definedName name="alc">[11]SETUP!#REF!</definedName>
    <definedName name="ALCOA1">[10]SETUP!#REF!</definedName>
    <definedName name="ALCOA2">[10]SETUP!#REF!</definedName>
    <definedName name="BalancesJuly" localSheetId="6">'Balances at 7-31-2024'!$A$6:$I$377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[12]SETUP!#REF!</definedName>
    <definedName name="C_">#REF!</definedName>
    <definedName name="canadian_toll_DataTable">#REF!</definedName>
    <definedName name="Canadian_tolls_DataTable">#REF!</definedName>
    <definedName name="CAP">'[13]Int Rates'!#REF!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>[12]SETUP!#REF!</definedName>
    <definedName name="Daily_Flow_DataTable">#REF!</definedName>
    <definedName name="Data">'[14]Section 7 Storage History'!$D$7:$W$102</definedName>
    <definedName name="_xlnm.Database">#REF!</definedName>
    <definedName name="Database_MI">#REF!</definedName>
    <definedName name="DATE">#REF!</definedName>
    <definedName name="DAY">[12]SETUP!#REF!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6">EstimatedBalances!$A$5:$I$5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'[15]New FERC Int. Rates'!$A$44:$C$55</definedName>
    <definedName name="FERCINT06">'[15]New FERC Int. Rates'!$A$56:$C$67</definedName>
    <definedName name="FERCINT07">'[16]New FERC Int. Rates'!$A$68:$C$79</definedName>
    <definedName name="FERCINT08">'[16]New FERC Int. Rates'!$A$80:$C$94</definedName>
    <definedName name="FERCINT09">'[16]New FERC Int. Rates'!$A$95:$C$106</definedName>
    <definedName name="FERCINT10">'[15]New FERC Int. Rates'!$A$107:$C$118</definedName>
    <definedName name="FERCINTRATE">'[16]New FERC Int. Rates'!$A$5:$C$10</definedName>
    <definedName name="FERCINTRATE02">'[16]New FERC Int. Rates'!$A$11:$C$22</definedName>
    <definedName name="FERCINTRATE03">'[15]New FERC Int. Rates'!$A$23:$C$34</definedName>
    <definedName name="FERCOR">#REF!</definedName>
    <definedName name="FERCWA">#REF!</definedName>
    <definedName name="FILE" localSheetId="3">[17]input!$C$4</definedName>
    <definedName name="FILE">[17]input!$C$4</definedName>
    <definedName name="FIT">[17]input!$C$16</definedName>
    <definedName name="FITRBADJ">[17]input!$C$52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>[18]Notes!#REF!</definedName>
    <definedName name="gcnew">[19]Notes!#REF!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[12]SETUP!#REF!</definedName>
    <definedName name="ID">'[20]JTS-5 S1p1'!#REF!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'[21]Interest Rates'!$A$231:$C$245</definedName>
    <definedName name="IntCY09">'[22]Interest Rates-new amort'!$A$246:$C$267</definedName>
    <definedName name="intdate">'[23]Interest Rates'!$A$5:$C$159</definedName>
    <definedName name="InterestDuringAmort" localSheetId="6">' Int during Amort'!$A$7:$Q$7</definedName>
    <definedName name="InterestDuringAmort">#REF!</definedName>
    <definedName name="INTERSTATE" localSheetId="6">#REF!</definedName>
    <definedName name="INTERSTATE">#REF!</definedName>
    <definedName name="INTFY05">'[15]Int Rates DO NOT USE'!$A$176:$C$187</definedName>
    <definedName name="INTFY06">'[15]Int Rates DO NOT USE'!$A$188:$C$199</definedName>
    <definedName name="INTFY07">'[21]Interest Rates'!$A$218:$C$230</definedName>
    <definedName name="JANSEP">#N/A</definedName>
    <definedName name="jjjj">'[3]Actual therms'!#REF!</definedName>
    <definedName name="jjjjjjjjj">'[3]Actual therms'!#REF!</definedName>
    <definedName name="JRS">#REF!</definedName>
    <definedName name="july_int_rate">'[24]July Int Rate for Amort'!$B$17</definedName>
    <definedName name="kkkkkk">[3]Bills!#REF!</definedName>
    <definedName name="LEGEND">#REF!</definedName>
    <definedName name="llllll">[3]Bills!#REF!</definedName>
    <definedName name="M">[12]SETUP!#REF!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[12]SETUP!#REF!</definedName>
    <definedName name="NCT">[12]SETUP!#REF!</definedName>
    <definedName name="new">#REF!</definedName>
    <definedName name="new_int">#REF!</definedName>
    <definedName name="njnjn" localSheetId="6">#REF!</definedName>
    <definedName name="njnjn" localSheetId="3">#REF!</definedName>
    <definedName name="njnjn">#REF!</definedName>
    <definedName name="NN" localSheetId="6">[12]SETUP!#REF!</definedName>
    <definedName name="NN">[12]SETUP!#REF!</definedName>
    <definedName name="nnnnn" localSheetId="3">[3]Bills!#REF!</definedName>
    <definedName name="nnnnn">[3]Bills!#REF!</definedName>
    <definedName name="Oct_07">"INTCY08"</definedName>
    <definedName name="OF">[12]SETUP!#REF!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[17]input!$C$18</definedName>
    <definedName name="OVER">[12]SETUP!#REF!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[17]input!$C$12</definedName>
    <definedName name="PGAPeriodVolumes" localSheetId="6">'Test Period Volumes'!#REF!</definedName>
    <definedName name="PGAPeriodVolumes">'Test Period Volumes'!#REF!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_xlnm.Print_Area" localSheetId="10">' Int during Amort'!$A$1:$T$52</definedName>
    <definedName name="_xlnm.Print_Area" localSheetId="12">'Bills-Therms-Revs'!$A$1:$J$47</definedName>
    <definedName name="_xlnm.Print_Area" localSheetId="2">'CPA Proposed Rate 596'!$B$1:$I$21</definedName>
    <definedName name="_xlnm.Print_Area" localSheetId="4">'Effects of CPA Avg. Bill'!$A$1:$K$35</definedName>
    <definedName name="_xlnm.Print_Area" localSheetId="11">'Test Period Volumes'!$B$1:$I$36</definedName>
    <definedName name="Print_Area_MI">#REF!</definedName>
    <definedName name="_xlnm.Print_Titles" localSheetId="10">' Int during Amort'!$A:$C,' Int during Amort'!#REF!</definedName>
    <definedName name="print1">[13]!print1</definedName>
    <definedName name="print10">[0]!print10</definedName>
    <definedName name="print2">[13]!print2</definedName>
    <definedName name="print3">[13]!print3</definedName>
    <definedName name="pzint3">[0]!pzint3</definedName>
    <definedName name="qqqq">#REF!</definedName>
    <definedName name="QUIT">#REF!</definedName>
    <definedName name="revsens">'[25]General Inputs'!$D$10</definedName>
    <definedName name="S">[12]SETUP!#REF!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'[13]Int Rates'!#REF!</definedName>
    <definedName name="SSPREF">'[13]Int Rates'!#REF!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[12]SETUP!#REF!</definedName>
    <definedName name="TAXINT18">'[26]TAX Interest Rates'!$A$10:$C$21</definedName>
    <definedName name="TAXINT19">'[26]TAX Interest Rates'!$A$22:$C$33</definedName>
    <definedName name="TESTPERIOD">[17]input!$C$5</definedName>
    <definedName name="TestPeriodVolumes" localSheetId="6">'Test Period Volumes'!#REF!</definedName>
    <definedName name="TestPeriodVolumes">'Test Period Volumes'!#REF!</definedName>
    <definedName name="TITLES">#REF!</definedName>
    <definedName name="TRANSPORT">[12]SETUP!#REF!</definedName>
    <definedName name="Transport_DataTable">#REF!</definedName>
    <definedName name="Transport_Info_DataTable">#REF!</definedName>
    <definedName name="TRNSPTREV">[17]input!$C$51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'[25]General Inputs'!$E$10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6">[27]!xyz5</definedName>
    <definedName name="xyz5" localSheetId="3">'CPA Amount of Change'!xyz5</definedName>
    <definedName name="xyz5">'Balances at 7-31-2024'!xyz5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1" l="1"/>
  <c r="I19" i="11"/>
  <c r="J19" i="11"/>
  <c r="K19" i="11"/>
  <c r="L19" i="11"/>
  <c r="M19" i="11"/>
  <c r="N19" i="11"/>
  <c r="O19" i="11"/>
  <c r="P19" i="11"/>
  <c r="Q19" i="11"/>
  <c r="R19" i="11"/>
  <c r="G19" i="11"/>
  <c r="C19" i="11"/>
  <c r="G8" i="8"/>
  <c r="I46" i="13"/>
  <c r="G46" i="13"/>
  <c r="F46" i="13"/>
  <c r="I39" i="13"/>
  <c r="G39" i="13"/>
  <c r="F39" i="13"/>
  <c r="I32" i="13"/>
  <c r="G32" i="13"/>
  <c r="F32" i="13"/>
  <c r="I26" i="13"/>
  <c r="G26" i="13"/>
  <c r="F26" i="13"/>
  <c r="C22" i="13"/>
  <c r="C31" i="13" s="1"/>
  <c r="C36" i="13" s="1"/>
  <c r="C21" i="13"/>
  <c r="C30" i="13" s="1"/>
  <c r="C35" i="13" s="1"/>
  <c r="F19" i="13"/>
  <c r="I16" i="13"/>
  <c r="G16" i="13"/>
  <c r="G40" i="13" s="1"/>
  <c r="G47" i="13" s="1"/>
  <c r="F16" i="13"/>
  <c r="I12" i="13"/>
  <c r="I35" i="12"/>
  <c r="H30" i="12"/>
  <c r="G30" i="12"/>
  <c r="D30" i="12"/>
  <c r="C30" i="12"/>
  <c r="H29" i="12"/>
  <c r="H28" i="12"/>
  <c r="G28" i="12"/>
  <c r="F28" i="12"/>
  <c r="E28" i="12"/>
  <c r="D28" i="12"/>
  <c r="C28" i="12"/>
  <c r="H27" i="12"/>
  <c r="F27" i="12"/>
  <c r="E27" i="12"/>
  <c r="H26" i="12"/>
  <c r="G26" i="12"/>
  <c r="H25" i="12"/>
  <c r="E25" i="12"/>
  <c r="H24" i="12"/>
  <c r="G24" i="12"/>
  <c r="D24" i="12"/>
  <c r="C24" i="12"/>
  <c r="H23" i="12"/>
  <c r="G23" i="12"/>
  <c r="F23" i="12"/>
  <c r="E23" i="12"/>
  <c r="H22" i="12"/>
  <c r="H35" i="12" s="1"/>
  <c r="G22" i="12"/>
  <c r="D22" i="12"/>
  <c r="C22" i="12"/>
  <c r="H21" i="12"/>
  <c r="H33" i="12" s="1"/>
  <c r="H20" i="12"/>
  <c r="H32" i="12" s="1"/>
  <c r="G20" i="12"/>
  <c r="G32" i="12" s="1"/>
  <c r="F20" i="12"/>
  <c r="F32" i="12" s="1"/>
  <c r="E20" i="12"/>
  <c r="E32" i="12" s="1"/>
  <c r="D20" i="12"/>
  <c r="D32" i="12" s="1"/>
  <c r="C20" i="12"/>
  <c r="H19" i="12"/>
  <c r="H31" i="12" s="1"/>
  <c r="F19" i="12"/>
  <c r="F31" i="12" s="1"/>
  <c r="E19" i="12"/>
  <c r="E31" i="12" s="1"/>
  <c r="I17" i="12"/>
  <c r="F30" i="12" s="1"/>
  <c r="I16" i="12"/>
  <c r="D29" i="12" s="1"/>
  <c r="I15" i="12"/>
  <c r="I14" i="12"/>
  <c r="G27" i="12" s="1"/>
  <c r="I13" i="12"/>
  <c r="F26" i="12" s="1"/>
  <c r="I12" i="12"/>
  <c r="D25" i="12" s="1"/>
  <c r="I11" i="12"/>
  <c r="F24" i="12" s="1"/>
  <c r="I10" i="12"/>
  <c r="D23" i="12" s="1"/>
  <c r="I9" i="12"/>
  <c r="F22" i="12" s="1"/>
  <c r="I8" i="12"/>
  <c r="D21" i="12" s="1"/>
  <c r="D33" i="12" s="1"/>
  <c r="I7" i="12"/>
  <c r="I6" i="12"/>
  <c r="G19" i="12" s="1"/>
  <c r="G31" i="12" s="1"/>
  <c r="E16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B14" i="11"/>
  <c r="B24" i="11" s="1"/>
  <c r="A14" i="11"/>
  <c r="A2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B13" i="11"/>
  <c r="B23" i="11" s="1"/>
  <c r="A13" i="11"/>
  <c r="A2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B12" i="11"/>
  <c r="B22" i="11" s="1"/>
  <c r="A12" i="11"/>
  <c r="A22" i="11" s="1"/>
  <c r="R11" i="11"/>
  <c r="Q11" i="11"/>
  <c r="P11" i="11"/>
  <c r="O11" i="11"/>
  <c r="N11" i="11"/>
  <c r="M11" i="11"/>
  <c r="L11" i="11"/>
  <c r="K11" i="11"/>
  <c r="J11" i="11"/>
  <c r="I11" i="11"/>
  <c r="H11" i="11"/>
  <c r="G11" i="11"/>
  <c r="B11" i="11"/>
  <c r="B21" i="11" s="1"/>
  <c r="A11" i="11"/>
  <c r="A21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B10" i="11"/>
  <c r="B20" i="11" s="1"/>
  <c r="A10" i="11"/>
  <c r="A20" i="11" s="1"/>
  <c r="A16" i="11"/>
  <c r="A26" i="11" s="1"/>
  <c r="C15" i="10"/>
  <c r="B15" i="10"/>
  <c r="A15" i="10"/>
  <c r="C14" i="10"/>
  <c r="B14" i="10"/>
  <c r="A14" i="10"/>
  <c r="C13" i="10"/>
  <c r="B13" i="10"/>
  <c r="A13" i="10"/>
  <c r="C12" i="10"/>
  <c r="B12" i="10"/>
  <c r="A12" i="10"/>
  <c r="C11" i="10"/>
  <c r="B11" i="10"/>
  <c r="A11" i="10"/>
  <c r="A18" i="9"/>
  <c r="A17" i="9"/>
  <c r="A16" i="9"/>
  <c r="A15" i="9"/>
  <c r="A14" i="9"/>
  <c r="F8" i="9"/>
  <c r="E8" i="9"/>
  <c r="D8" i="9"/>
  <c r="F7" i="9"/>
  <c r="F17" i="9" s="1"/>
  <c r="E7" i="9"/>
  <c r="D7" i="9"/>
  <c r="D16" i="9" s="1"/>
  <c r="B15" i="8"/>
  <c r="F13" i="8"/>
  <c r="B13" i="8"/>
  <c r="A13" i="8"/>
  <c r="F12" i="8"/>
  <c r="B12" i="8"/>
  <c r="A12" i="8"/>
  <c r="F11" i="8"/>
  <c r="B11" i="8"/>
  <c r="A11" i="8"/>
  <c r="F10" i="8"/>
  <c r="B10" i="8"/>
  <c r="A10" i="8"/>
  <c r="F9" i="8"/>
  <c r="F15" i="8" s="1"/>
  <c r="B9" i="8"/>
  <c r="A9" i="8"/>
  <c r="F8" i="8"/>
  <c r="C8" i="8"/>
  <c r="C9" i="8" s="1"/>
  <c r="E8" i="8"/>
  <c r="D16" i="7"/>
  <c r="D35" i="5"/>
  <c r="F34" i="5"/>
  <c r="G33" i="5"/>
  <c r="G35" i="5" s="1"/>
  <c r="F33" i="5"/>
  <c r="E32" i="5"/>
  <c r="D30" i="5"/>
  <c r="F29" i="5"/>
  <c r="F28" i="5"/>
  <c r="F27" i="5"/>
  <c r="E26" i="5"/>
  <c r="D24" i="5"/>
  <c r="F23" i="5"/>
  <c r="G22" i="5"/>
  <c r="F22" i="5"/>
  <c r="F21" i="5"/>
  <c r="E20" i="5"/>
  <c r="F18" i="5"/>
  <c r="E18" i="5"/>
  <c r="D18" i="5"/>
  <c r="F16" i="5"/>
  <c r="E16" i="5"/>
  <c r="D16" i="5"/>
  <c r="G11" i="5"/>
  <c r="K10" i="5"/>
  <c r="I10" i="5"/>
  <c r="D9" i="5"/>
  <c r="H17" i="4"/>
  <c r="E17" i="4"/>
  <c r="H16" i="4"/>
  <c r="E16" i="4"/>
  <c r="H15" i="4"/>
  <c r="E15" i="4"/>
  <c r="H14" i="4"/>
  <c r="E14" i="4"/>
  <c r="H13" i="4"/>
  <c r="E13" i="4"/>
  <c r="E18" i="4" s="1"/>
  <c r="E16" i="3"/>
  <c r="E15" i="3"/>
  <c r="E14" i="3"/>
  <c r="E13" i="3"/>
  <c r="H1" i="3"/>
  <c r="L2" i="4" s="1"/>
  <c r="J1" i="5" s="1"/>
  <c r="G12" i="2"/>
  <c r="C11" i="2"/>
  <c r="B11" i="2"/>
  <c r="S11" i="11" l="1"/>
  <c r="E6" i="9"/>
  <c r="N16" i="11"/>
  <c r="H18" i="4"/>
  <c r="I40" i="13"/>
  <c r="I47" i="13" s="1"/>
  <c r="F40" i="13"/>
  <c r="F47" i="13" s="1"/>
  <c r="H16" i="11"/>
  <c r="P16" i="11"/>
  <c r="J16" i="11"/>
  <c r="R16" i="11"/>
  <c r="G16" i="11"/>
  <c r="S14" i="11"/>
  <c r="I16" i="11"/>
  <c r="Q16" i="11"/>
  <c r="O16" i="11"/>
  <c r="M16" i="11"/>
  <c r="K16" i="11"/>
  <c r="S12" i="11"/>
  <c r="L16" i="11"/>
  <c r="S13" i="11"/>
  <c r="F14" i="9"/>
  <c r="C16" i="10"/>
  <c r="G27" i="5"/>
  <c r="G30" i="5" s="1"/>
  <c r="G21" i="5"/>
  <c r="G24" i="5" s="1"/>
  <c r="E14" i="9"/>
  <c r="E17" i="9"/>
  <c r="E15" i="9"/>
  <c r="E18" i="9"/>
  <c r="E16" i="9"/>
  <c r="H16" i="9" s="1"/>
  <c r="C13" i="8"/>
  <c r="F21" i="12"/>
  <c r="F33" i="12" s="1"/>
  <c r="F25" i="12"/>
  <c r="F29" i="12"/>
  <c r="F35" i="12" s="1"/>
  <c r="F16" i="4" s="1"/>
  <c r="E21" i="12"/>
  <c r="E33" i="12" s="1"/>
  <c r="C12" i="8"/>
  <c r="F16" i="9"/>
  <c r="D18" i="9"/>
  <c r="C19" i="12"/>
  <c r="G21" i="12"/>
  <c r="G33" i="12" s="1"/>
  <c r="C23" i="12"/>
  <c r="E24" i="12"/>
  <c r="G25" i="12"/>
  <c r="G35" i="12" s="1"/>
  <c r="F17" i="4" s="1"/>
  <c r="C27" i="12"/>
  <c r="G29" i="12"/>
  <c r="G16" i="5"/>
  <c r="G18" i="5"/>
  <c r="C11" i="8"/>
  <c r="D13" i="10" s="1"/>
  <c r="D15" i="9"/>
  <c r="D19" i="12"/>
  <c r="D31" i="12" s="1"/>
  <c r="D27" i="12"/>
  <c r="D8" i="8"/>
  <c r="C10" i="8"/>
  <c r="F18" i="9"/>
  <c r="C26" i="12"/>
  <c r="C32" i="12"/>
  <c r="C15" i="2"/>
  <c r="F15" i="9"/>
  <c r="D17" i="9"/>
  <c r="S10" i="11"/>
  <c r="D26" i="12"/>
  <c r="D14" i="9"/>
  <c r="D11" i="10" s="1"/>
  <c r="C21" i="12"/>
  <c r="E22" i="12"/>
  <c r="C25" i="12"/>
  <c r="E26" i="12"/>
  <c r="C29" i="12"/>
  <c r="E30" i="12"/>
  <c r="E29" i="12"/>
  <c r="D35" i="12" l="1"/>
  <c r="F14" i="4" s="1"/>
  <c r="H15" i="9"/>
  <c r="F19" i="9"/>
  <c r="D9" i="8"/>
  <c r="D11" i="8"/>
  <c r="E19" i="9"/>
  <c r="S16" i="11"/>
  <c r="H17" i="9"/>
  <c r="D6" i="9"/>
  <c r="C31" i="12"/>
  <c r="E35" i="12"/>
  <c r="F15" i="4" s="1"/>
  <c r="H18" i="9"/>
  <c r="D12" i="10"/>
  <c r="D14" i="10"/>
  <c r="C33" i="12"/>
  <c r="F6" i="9"/>
  <c r="C15" i="8"/>
  <c r="D19" i="9"/>
  <c r="H14" i="9"/>
  <c r="D15" i="10"/>
  <c r="H19" i="9" l="1"/>
  <c r="C35" i="12"/>
  <c r="F13" i="4" s="1"/>
  <c r="D16" i="10"/>
  <c r="F18" i="4"/>
  <c r="E13" i="10"/>
  <c r="D12" i="8"/>
  <c r="E14" i="10" s="1"/>
  <c r="E11" i="10"/>
  <c r="D13" i="8"/>
  <c r="E15" i="10" s="1"/>
  <c r="D10" i="8"/>
  <c r="D15" i="8" l="1"/>
  <c r="E12" i="8"/>
  <c r="F14" i="10" s="1"/>
  <c r="E13" i="8"/>
  <c r="F15" i="10" s="1"/>
  <c r="E9" i="8"/>
  <c r="E12" i="10"/>
  <c r="E11" i="8"/>
  <c r="G11" i="8" s="1"/>
  <c r="G12" i="8" l="1"/>
  <c r="F13" i="10"/>
  <c r="F12" i="11" s="1"/>
  <c r="F14" i="11"/>
  <c r="H15" i="10"/>
  <c r="H14" i="10"/>
  <c r="F13" i="11"/>
  <c r="G9" i="8"/>
  <c r="G13" i="8"/>
  <c r="F11" i="10"/>
  <c r="E10" i="8"/>
  <c r="G10" i="8" s="1"/>
  <c r="E16" i="10"/>
  <c r="H13" i="10" l="1"/>
  <c r="E15" i="8"/>
  <c r="G15" i="8"/>
  <c r="T14" i="11"/>
  <c r="L24" i="11"/>
  <c r="R24" i="11"/>
  <c r="I24" i="11"/>
  <c r="H24" i="11"/>
  <c r="J24" i="11"/>
  <c r="N24" i="11"/>
  <c r="O24" i="11"/>
  <c r="M24" i="11"/>
  <c r="P24" i="11"/>
  <c r="G24" i="11"/>
  <c r="Q24" i="11"/>
  <c r="K24" i="11"/>
  <c r="T12" i="11"/>
  <c r="N22" i="11"/>
  <c r="O22" i="11"/>
  <c r="M22" i="11"/>
  <c r="J22" i="11"/>
  <c r="Q22" i="11"/>
  <c r="K22" i="11"/>
  <c r="L22" i="11"/>
  <c r="P22" i="11"/>
  <c r="H22" i="11"/>
  <c r="G22" i="11"/>
  <c r="I22" i="11"/>
  <c r="R22" i="11"/>
  <c r="F12" i="10"/>
  <c r="F16" i="10" s="1"/>
  <c r="F10" i="11"/>
  <c r="H11" i="10"/>
  <c r="T13" i="11"/>
  <c r="K23" i="11"/>
  <c r="J23" i="11"/>
  <c r="I23" i="11"/>
  <c r="N23" i="11"/>
  <c r="O23" i="11"/>
  <c r="M23" i="11"/>
  <c r="P23" i="11"/>
  <c r="Q23" i="11"/>
  <c r="R23" i="11"/>
  <c r="L23" i="11"/>
  <c r="H23" i="11"/>
  <c r="G23" i="11"/>
  <c r="T10" i="11" l="1"/>
  <c r="K20" i="11"/>
  <c r="L20" i="11"/>
  <c r="I20" i="11"/>
  <c r="J20" i="11"/>
  <c r="G20" i="11"/>
  <c r="R20" i="11"/>
  <c r="H20" i="11"/>
  <c r="Q20" i="11"/>
  <c r="N20" i="11"/>
  <c r="O20" i="11"/>
  <c r="M20" i="11"/>
  <c r="P20" i="11"/>
  <c r="S23" i="11"/>
  <c r="H12" i="10"/>
  <c r="H16" i="10" s="1"/>
  <c r="D11" i="2" s="1"/>
  <c r="F11" i="11"/>
  <c r="S22" i="11"/>
  <c r="S24" i="11"/>
  <c r="D15" i="2" l="1"/>
  <c r="S20" i="11"/>
  <c r="T11" i="11"/>
  <c r="T16" i="11" s="1"/>
  <c r="R21" i="11"/>
  <c r="R26" i="11" s="1"/>
  <c r="M21" i="11"/>
  <c r="M26" i="11" s="1"/>
  <c r="K21" i="11"/>
  <c r="K26" i="11" s="1"/>
  <c r="L21" i="11"/>
  <c r="L26" i="11" s="1"/>
  <c r="P21" i="11"/>
  <c r="P26" i="11" s="1"/>
  <c r="O21" i="11"/>
  <c r="O26" i="11" s="1"/>
  <c r="H21" i="11"/>
  <c r="H26" i="11" s="1"/>
  <c r="J21" i="11"/>
  <c r="J26" i="11" s="1"/>
  <c r="G21" i="11"/>
  <c r="G26" i="11" s="1"/>
  <c r="I21" i="11"/>
  <c r="I26" i="11" s="1"/>
  <c r="Q21" i="11"/>
  <c r="Q26" i="11" s="1"/>
  <c r="N21" i="11"/>
  <c r="N26" i="11" s="1"/>
  <c r="F16" i="1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21" i="11" l="1"/>
  <c r="S26" i="11" s="1"/>
  <c r="E11" i="2" s="1"/>
  <c r="E15" i="2" l="1"/>
  <c r="F11" i="2"/>
  <c r="F15" i="2" s="1"/>
  <c r="G11" i="2" l="1"/>
  <c r="I12" i="2" l="1"/>
  <c r="I15" i="2" s="1"/>
  <c r="F16" i="3" s="1"/>
  <c r="H12" i="2"/>
  <c r="H15" i="2" s="1"/>
  <c r="F12" i="3" s="1"/>
  <c r="G15" i="2"/>
  <c r="H16" i="3" l="1"/>
  <c r="G16" i="3"/>
  <c r="K17" i="4" s="1"/>
  <c r="H12" i="3"/>
  <c r="G12" i="3"/>
  <c r="K13" i="4" s="1"/>
  <c r="F14" i="3"/>
  <c r="F13" i="3"/>
  <c r="F15" i="3"/>
  <c r="H13" i="3" l="1"/>
  <c r="G13" i="3"/>
  <c r="K14" i="4" s="1"/>
  <c r="H15" i="3"/>
  <c r="G15" i="3"/>
  <c r="K15" i="4" s="1"/>
  <c r="H14" i="3"/>
  <c r="G14" i="3"/>
  <c r="K16" i="4" s="1"/>
  <c r="H16" i="5"/>
  <c r="I16" i="5" s="1"/>
  <c r="J16" i="5" s="1"/>
  <c r="K16" i="5" s="1"/>
  <c r="L13" i="4"/>
  <c r="H33" i="5"/>
  <c r="I33" i="5" s="1"/>
  <c r="I35" i="5" s="1"/>
  <c r="J35" i="5" s="1"/>
  <c r="K35" i="5" s="1"/>
  <c r="H34" i="5"/>
  <c r="L17" i="4"/>
  <c r="M17" i="4" s="1"/>
  <c r="H28" i="5" l="1"/>
  <c r="H29" i="5"/>
  <c r="H27" i="5"/>
  <c r="I27" i="5" s="1"/>
  <c r="I30" i="5" s="1"/>
  <c r="J30" i="5" s="1"/>
  <c r="K30" i="5" s="1"/>
  <c r="L16" i="4"/>
  <c r="M16" i="4" s="1"/>
  <c r="M13" i="4"/>
  <c r="H22" i="5"/>
  <c r="I22" i="5" s="1"/>
  <c r="H21" i="5"/>
  <c r="I21" i="5" s="1"/>
  <c r="H23" i="5"/>
  <c r="L15" i="4"/>
  <c r="M15" i="4" s="1"/>
  <c r="H18" i="5"/>
  <c r="I18" i="5" s="1"/>
  <c r="J18" i="5" s="1"/>
  <c r="K18" i="5" s="1"/>
  <c r="L14" i="4"/>
  <c r="M14" i="4" s="1"/>
  <c r="L18" i="4" l="1"/>
  <c r="M18" i="4" s="1"/>
  <c r="I24" i="5"/>
  <c r="J24" i="5" s="1"/>
  <c r="K24" i="5" s="1"/>
</calcChain>
</file>

<file path=xl/sharedStrings.xml><?xml version="1.0" encoding="utf-8"?>
<sst xmlns="http://schemas.openxmlformats.org/spreadsheetml/2006/main" count="385" uniqueCount="213">
  <si>
    <t>CASCADE NATURAL GAS CORPORATION</t>
  </si>
  <si>
    <t>EXHIBIT A</t>
  </si>
  <si>
    <t>TABLE OF CONTENTS</t>
  </si>
  <si>
    <t>Description</t>
  </si>
  <si>
    <t>Page</t>
  </si>
  <si>
    <t>CPA Calculation of Per Therm Rates to Amortize Deferred Accounts</t>
  </si>
  <si>
    <t>CPA Derivation of Proposed Rate Level Within</t>
  </si>
  <si>
    <t>CPA Amount of Change by Rate Schedule</t>
  </si>
  <si>
    <t>CPA Proposed Typical Monthly Bill by Class</t>
  </si>
  <si>
    <t>Cascade Natural Gas Corporation</t>
  </si>
  <si>
    <t>CPA CALCULATION OF PER THERM RATES TO AMORTIZE DEFERRED ACCOUNTS</t>
  </si>
  <si>
    <t>CPA Exhibit A</t>
  </si>
  <si>
    <t>State of Washington</t>
  </si>
  <si>
    <t>Page 1 of 4</t>
  </si>
  <si>
    <t>PROPOSED TECH. ADJUSTMENTS</t>
  </si>
  <si>
    <t>CORE</t>
  </si>
  <si>
    <t>Line No.</t>
  </si>
  <si>
    <t>Consolidated Account</t>
  </si>
  <si>
    <t>Account Balance 7/31/2024</t>
  </si>
  <si>
    <t>Interest Assignments &amp; Amortization through 10/31/2024</t>
  </si>
  <si>
    <t>Interest Accruals Through Am.</t>
  </si>
  <si>
    <t>Revenue Sensitive costs</t>
  </si>
  <si>
    <t>Amount</t>
  </si>
  <si>
    <t>503/504</t>
  </si>
  <si>
    <t>All Other Core</t>
  </si>
  <si>
    <t>Proposed Period of Am.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</si>
  <si>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</si>
  <si>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</si>
  <si>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</si>
  <si>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</si>
  <si>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</si>
  <si>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</si>
  <si>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</si>
  <si>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</si>
  <si>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</si>
  <si>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(i)</t>
  </si>
  <si>
    <t>(j)</t>
  </si>
  <si>
    <t>Conservation Program Deferrals</t>
  </si>
  <si>
    <t>Divide by</t>
  </si>
  <si>
    <t>1 Year</t>
  </si>
  <si>
    <t>Core</t>
  </si>
  <si>
    <t xml:space="preserve">TOTAL </t>
  </si>
  <si>
    <t>Page 2 of 4</t>
  </si>
  <si>
    <t>CPA DERIVATION OF PROPOSED RATE LEVEL WITHIN</t>
  </si>
  <si>
    <t>RATE ADDITION SCHEDULE NO. 596</t>
  </si>
  <si>
    <t>Line</t>
  </si>
  <si>
    <t>Rate Schedule</t>
  </si>
  <si>
    <t>Reverse Prior Conservation Rate Adj.</t>
  </si>
  <si>
    <t>Conservation Related Temporary Rate Adj.</t>
  </si>
  <si>
    <t>Incremental R/S 596 Rate Change</t>
  </si>
  <si>
    <t>Posted R/S 596 Tariff Rate</t>
  </si>
  <si>
    <t>No.</t>
  </si>
  <si>
    <t>(f)</t>
  </si>
  <si>
    <t xml:space="preserve">  CORE MARKET RATE SCHEDULES</t>
  </si>
  <si>
    <t>Residential</t>
  </si>
  <si>
    <t>Commercial</t>
  </si>
  <si>
    <t>Com-Ind Dual Service</t>
  </si>
  <si>
    <t>Industrial Firm</t>
  </si>
  <si>
    <t>Industrial Interr.</t>
  </si>
  <si>
    <t>CPA AMOUNT OF CHANGE BY RATE SCHEDULE</t>
  </si>
  <si>
    <t>Bills and Revenues Based Upon the Twelve Months Ended 7/31/24</t>
  </si>
  <si>
    <t>Page 3 of 4</t>
  </si>
  <si>
    <t xml:space="preserve">   </t>
  </si>
  <si>
    <t>Per Therm</t>
  </si>
  <si>
    <t>Rate</t>
  </si>
  <si>
    <t>Average</t>
  </si>
  <si>
    <t>Forecasted</t>
  </si>
  <si>
    <t xml:space="preserve">  Actual</t>
  </si>
  <si>
    <t>Conservation</t>
  </si>
  <si>
    <t>Amount of</t>
  </si>
  <si>
    <t>Percentage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</si>
  <si>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</si>
  <si>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</si>
  <si>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</si>
  <si>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</si>
  <si>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</si>
  <si>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</si>
  <si>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</si>
  <si>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</si>
  <si>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 xml:space="preserve"> CORE MARKET RATE SCHEDULES</t>
  </si>
  <si>
    <t xml:space="preserve">    Residential</t>
  </si>
  <si>
    <t>503</t>
  </si>
  <si>
    <t xml:space="preserve">    Commercial</t>
  </si>
  <si>
    <t>504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</si>
  <si>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</si>
  <si>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</si>
  <si>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</si>
  <si>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</si>
  <si>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</si>
  <si>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</si>
  <si>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>Total Core</t>
  </si>
  <si>
    <t>Page 4 of 4</t>
  </si>
  <si>
    <t>CPA PROPOSED TYPICAL MONTHLY BILL BY  CLASS</t>
  </si>
  <si>
    <t>FOR TWELVE MONTHS ENDED 6/30/08</t>
  </si>
  <si>
    <t>Proposed</t>
  </si>
  <si>
    <t>Typical</t>
  </si>
  <si>
    <t>Current</t>
  </si>
  <si>
    <t>Monthly</t>
  </si>
  <si>
    <t>Basic</t>
  </si>
  <si>
    <t>CPA Effect</t>
  </si>
  <si>
    <t>Bill</t>
  </si>
  <si>
    <t>CPA Effects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</si>
  <si>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</si>
  <si>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</si>
  <si>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</si>
  <si>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</si>
  <si>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</si>
  <si>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</si>
  <si>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</si>
  <si>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</si>
  <si>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</si>
  <si>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</si>
  <si>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</si>
  <si>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</si>
  <si>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</si>
  <si>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</si>
  <si>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</si>
  <si>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</si>
  <si>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Large Volume, Schedule 511</t>
  </si>
  <si>
    <t>First 20,000 therms</t>
  </si>
  <si>
    <t>Next 80,000 therms</t>
  </si>
  <si>
    <t>Over 100,000 therms</t>
  </si>
  <si>
    <t>Total 511</t>
  </si>
  <si>
    <t>Industrial Interruptible, Schedule 570</t>
  </si>
  <si>
    <t>First 30,000 therms</t>
  </si>
  <si>
    <t>Over 30,000 therms</t>
  </si>
  <si>
    <t>Total 570</t>
  </si>
  <si>
    <t>Deferral Balances at 7/31/2024</t>
  </si>
  <si>
    <t>Account Number</t>
  </si>
  <si>
    <t>Rolled Into</t>
  </si>
  <si>
    <t>Customer
Class</t>
  </si>
  <si>
    <t>Status</t>
  </si>
  <si>
    <t>Interest</t>
  </si>
  <si>
    <t>Deferral</t>
  </si>
  <si>
    <t>Amort.</t>
  </si>
  <si>
    <t>Yes</t>
  </si>
  <si>
    <t>No</t>
  </si>
  <si>
    <t>Consolidated</t>
  </si>
  <si>
    <t>Balance 7/31/24</t>
  </si>
  <si>
    <t>47WA.1823.47020430</t>
  </si>
  <si>
    <t>CORE Conservation</t>
  </si>
  <si>
    <t xml:space="preserve">Commercial Conservation Program </t>
  </si>
  <si>
    <t>47WA.1823.47020431</t>
  </si>
  <si>
    <t>Low Income Weatherization Program</t>
  </si>
  <si>
    <t>47WA.1823.47020444</t>
  </si>
  <si>
    <t>Washington Conservation Administration &amp; Program Delivery Fees</t>
  </si>
  <si>
    <t>47WA.1823.47020449</t>
  </si>
  <si>
    <t xml:space="preserve">Washington Residential Conservation Program </t>
  </si>
  <si>
    <t>47WA.1823.47020478</t>
  </si>
  <si>
    <t>Consolidated Technical Adjustments - Conservation</t>
  </si>
  <si>
    <t>Consolidation of accounts related to core conservation.</t>
  </si>
  <si>
    <t>Annual and Monthly Interest Rate</t>
  </si>
  <si>
    <t>DATE</t>
  </si>
  <si>
    <t>Total Interest</t>
  </si>
  <si>
    <t>ANNUAL INTEREST RATE</t>
  </si>
  <si>
    <t xml:space="preserve">through </t>
  </si>
  <si>
    <t>MONTHLY INTEREST RATE</t>
  </si>
  <si>
    <t>Acct</t>
  </si>
  <si>
    <t>Estimated Amortization Thru 10/31/2024 on Balances Currently Amortizing</t>
  </si>
  <si>
    <t>Estimated</t>
  </si>
  <si>
    <t>FIRM THERMS</t>
  </si>
  <si>
    <t>CORE THERMS</t>
  </si>
  <si>
    <t>ALL THERMS</t>
  </si>
  <si>
    <t xml:space="preserve"> AMORT</t>
  </si>
  <si>
    <t>Amortization thru</t>
  </si>
  <si>
    <t>ACCT NO</t>
  </si>
  <si>
    <t>RATE</t>
  </si>
  <si>
    <t>Amortization</t>
  </si>
  <si>
    <t>Total Monthly CPA Amortization</t>
  </si>
  <si>
    <t>ESTIMATED BALANCES FOR DEFERRED ACCOUNTS PERIOD ENDING: 10/31/2024</t>
  </si>
  <si>
    <t>Interest &amp;</t>
  </si>
  <si>
    <t>ENDING</t>
  </si>
  <si>
    <t>Amort. Thru</t>
  </si>
  <si>
    <t>BALANCE</t>
  </si>
  <si>
    <t>-</t>
  </si>
  <si>
    <t>TOTAL</t>
  </si>
  <si>
    <t>INTEREST CALCULATIONS FOR AMORTIZATION PERIOD 11/1/2024 TO 10/31/2025</t>
  </si>
  <si>
    <t>Amortization Calculations</t>
  </si>
  <si>
    <t>Proposed Amortization by Month</t>
  </si>
  <si>
    <t>Proposed Amortization
Rate</t>
  </si>
  <si>
    <t>10/31/2024
Balance</t>
  </si>
  <si>
    <t>Total Amortization</t>
  </si>
  <si>
    <t>Remaining
Balance</t>
  </si>
  <si>
    <t>Interest During Amortization</t>
  </si>
  <si>
    <t>Interest Rate:</t>
  </si>
  <si>
    <t>CONSERVATION</t>
  </si>
  <si>
    <t>TEST PERIOD VOLUME - WEATHER NORMALIZED</t>
  </si>
  <si>
    <t>Actual</t>
  </si>
  <si>
    <t xml:space="preserve">12 month </t>
  </si>
  <si>
    <t>total</t>
  </si>
  <si>
    <t>ACTUAL BILL, THERMS, AND REVENUE</t>
  </si>
  <si>
    <t>BASED UPON THE  TWELVE MONTHS ENDED 7/31/2024</t>
  </si>
  <si>
    <t xml:space="preserve"> Actual</t>
  </si>
  <si>
    <t>General Service</t>
  </si>
  <si>
    <t>EOM</t>
  </si>
  <si>
    <t>LM</t>
  </si>
  <si>
    <t>Total Residential</t>
  </si>
  <si>
    <t>Large Volume</t>
  </si>
  <si>
    <t>Less Company Use</t>
  </si>
  <si>
    <t>Total Commercial</t>
  </si>
  <si>
    <t>Total Industrial Firm</t>
  </si>
  <si>
    <t>Interruptible</t>
  </si>
  <si>
    <t>General</t>
  </si>
  <si>
    <t>Total Institut. Interr.</t>
  </si>
  <si>
    <t>Subtotal  Core</t>
  </si>
  <si>
    <t xml:space="preserve"> NONCORE MARKET RATE SCHEDULES</t>
  </si>
  <si>
    <t xml:space="preserve"> Distribution</t>
  </si>
  <si>
    <t>663</t>
  </si>
  <si>
    <t>Special Contracts</t>
  </si>
  <si>
    <t>9xx</t>
  </si>
  <si>
    <t>Subtotal  Noncore</t>
  </si>
  <si>
    <t>TOTAL CORE AND NONCORE</t>
  </si>
  <si>
    <t>CNGC Advice W24-09-05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</si>
</sst>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  <numFmt numFmtId="167" formatCode="_(* #,##0_);_(* \(#,##0\);_(* &quot;-&quot;??_);_(@_)"/>
    <numFmt numFmtId="168" formatCode="0.00000"/>
    <numFmt numFmtId="169" formatCode="0.0000000%"/>
    <numFmt numFmtId="170" formatCode="_(* #,##0.00000_);_(* \(#,##0.00000\);_(* &quot;-&quot;??_);_(@_)"/>
    <numFmt numFmtId="171" formatCode="&quot;$&quot;#,##0"/>
    <numFmt numFmtId="172" formatCode="&quot;$&quot;#,##0.00000"/>
    <numFmt numFmtId="173" formatCode="&quot;$&quot;#,##0.00"/>
    <numFmt numFmtId="174" formatCode="&quot;$&quot;#,##0.00000_);\(&quot;$&quot;#,##0.00000\)"/>
    <numFmt numFmtId="175" formatCode="0.000%"/>
    <numFmt numFmtId="176" formatCode="0.000000_)"/>
    <numFmt numFmtId="177" formatCode="[$-409]mmm\-yy;@"/>
    <numFmt numFmtId="178" formatCode="mm/dd/yy"/>
    <numFmt numFmtId="179" formatCode="#,##0.00000_);\(#,##0.00000\)"/>
    <numFmt numFmtId="180" formatCode="0.0000%"/>
    <numFmt numFmtId="181" formatCode="0_);\(0\)"/>
  </numFmts>
  <fonts count="19" x14ac:knownFonts="1">
    <font>
      <sz val="8"/>
      <name val="Helv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ourier"/>
      <family val="3"/>
    </font>
    <font>
      <i/>
      <sz val="12"/>
      <name val="Times New Roman"/>
      <family val="1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rgb="FF3F3F76"/>
      <name val="Arial"/>
      <family val="2"/>
    </font>
    <font>
      <sz val="11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name val="Helv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164" fontId="0" fillId="0" borderId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2" borderId="1" applyNumberFormat="0" applyAlignment="0" applyProtection="0"/>
    <xf numFmtId="164" fontId="3" fillId="0" borderId="0"/>
    <xf numFmtId="0" fontId="8" fillId="0" borderId="0"/>
    <xf numFmtId="164" fontId="10" fillId="0" borderId="0"/>
    <xf numFmtId="164" fontId="10" fillId="0" borderId="0"/>
    <xf numFmtId="164" fontId="10" fillId="0" borderId="0"/>
  </cellStyleXfs>
  <cellXfs count="326">
    <xf numFmtId="164" fontId="0" fillId="0" borderId="0" xfId="0"/>
    <xf numFmtId="164" fontId="5" fillId="0" borderId="0" xfId="0" applyFont="1" applyAlignment="1">
      <alignment horizontal="center"/>
    </xf>
    <xf numFmtId="164" fontId="6" fillId="0" borderId="0" xfId="0" applyFont="1"/>
    <xf numFmtId="164" fontId="6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7" fillId="0" borderId="0" xfId="5" applyFont="1"/>
    <xf numFmtId="164" fontId="6" fillId="0" borderId="0" xfId="0" quotePrefix="1" applyFont="1" applyAlignment="1" applyProtection="1">
      <alignment horizontal="center"/>
    </xf>
    <xf numFmtId="164" fontId="7" fillId="0" borderId="0" xfId="5" applyFont="1" applyAlignment="1">
      <alignment horizontal="left"/>
    </xf>
    <xf numFmtId="164" fontId="4" fillId="0" borderId="0" xfId="0" applyFont="1" applyAlignment="1">
      <alignment horizontal="centerContinuous"/>
    </xf>
    <xf numFmtId="164" fontId="6" fillId="0" borderId="0" xfId="0" applyFont="1" applyAlignment="1">
      <alignment horizontal="centerContinuous"/>
    </xf>
    <xf numFmtId="164" fontId="6" fillId="0" borderId="0" xfId="0" applyFont="1" applyAlignment="1">
      <alignment horizontal="right" readingOrder="1"/>
    </xf>
    <xf numFmtId="164" fontId="6" fillId="0" borderId="0" xfId="0" applyFont="1" applyAlignment="1" applyProtection="1">
      <alignment horizontal="center"/>
    </xf>
    <xf numFmtId="164" fontId="6" fillId="0" borderId="0" xfId="0" applyFont="1" applyAlignment="1">
      <alignment horizontal="center" wrapText="1"/>
    </xf>
    <xf numFmtId="164" fontId="6" fillId="0" borderId="0" xfId="0" applyFont="1" applyAlignment="1" applyProtection="1">
      <alignment horizontal="center" wrapText="1"/>
    </xf>
    <xf numFmtId="164" fontId="6" fillId="0" borderId="0" xfId="0" quotePrefix="1" applyFont="1" applyAlignment="1">
      <alignment horizontal="center" wrapText="1"/>
    </xf>
    <xf numFmtId="164" fontId="6" fillId="0" borderId="6" xfId="0" applyFont="1" applyBorder="1" applyAlignment="1" applyProtection="1">
      <alignment horizontal="center" wrapText="1"/>
    </xf>
    <xf numFmtId="164" fontId="6" fillId="0" borderId="7" xfId="0" applyFont="1" applyBorder="1" applyAlignment="1" applyProtection="1">
      <alignment horizontal="center" wrapText="1"/>
    </xf>
    <xf numFmtId="164" fontId="6" fillId="0" borderId="0" xfId="0" quotePrefix="1" applyFont="1" applyAlignment="1" applyProtection="1">
      <alignment horizontal="center" wrapText="1"/>
    </xf>
    <xf numFmtId="164" fontId="6" fillId="0" borderId="8" xfId="0" applyFont="1" applyBorder="1" applyAlignment="1">
      <alignment horizontal="center"/>
    </xf>
    <xf numFmtId="164" fontId="6" fillId="0" borderId="8" xfId="0" applyFont="1" applyBorder="1" applyAlignment="1" applyProtection="1">
      <alignment horizontal="center"/>
    </xf>
    <xf numFmtId="164" fontId="6" fillId="0" borderId="9" xfId="0" applyFont="1" applyBorder="1" applyAlignment="1" applyProtection="1">
      <alignment horizontal="center"/>
    </xf>
    <xf numFmtId="164" fontId="6" fillId="0" borderId="10" xfId="0" applyFont="1" applyBorder="1" applyAlignment="1" applyProtection="1">
      <alignment horizontal="center"/>
    </xf>
    <xf numFmtId="164" fontId="6" fillId="0" borderId="0" xfId="0" applyFont="1" applyAlignment="1" applyProtection="1">
      <alignment horizontal="centerContinuous"/>
    </xf>
    <xf numFmtId="165" fontId="6" fillId="0" borderId="0" xfId="2" applyNumberFormat="1" applyFont="1" applyFill="1" applyBorder="1" applyAlignment="1" applyProtection="1">
      <alignment horizontal="center"/>
    </xf>
    <xf numFmtId="164" fontId="6" fillId="0" borderId="6" xfId="0" applyFont="1" applyBorder="1" applyAlignment="1" applyProtection="1">
      <alignment horizontal="center"/>
    </xf>
    <xf numFmtId="164" fontId="6" fillId="0" borderId="7" xfId="0" applyFont="1" applyBorder="1" applyAlignment="1" applyProtection="1">
      <alignment horizontal="center"/>
    </xf>
    <xf numFmtId="164" fontId="6" fillId="0" borderId="0" xfId="0" applyFont="1" applyAlignment="1" applyProtection="1">
      <alignment horizontal="left"/>
    </xf>
    <xf numFmtId="165" fontId="6" fillId="0" borderId="0" xfId="0" applyNumberFormat="1" applyFont="1" applyProtection="1"/>
    <xf numFmtId="165" fontId="6" fillId="0" borderId="0" xfId="2" applyNumberFormat="1" applyFont="1" applyFill="1" applyProtection="1"/>
    <xf numFmtId="166" fontId="6" fillId="0" borderId="6" xfId="2" applyNumberFormat="1" applyFont="1" applyFill="1" applyBorder="1"/>
    <xf numFmtId="166" fontId="6" fillId="0" borderId="7" xfId="2" applyNumberFormat="1" applyFont="1" applyFill="1" applyBorder="1"/>
    <xf numFmtId="167" fontId="6" fillId="0" borderId="0" xfId="1" applyNumberFormat="1" applyFont="1" applyFill="1" applyProtection="1"/>
    <xf numFmtId="166" fontId="6" fillId="0" borderId="6" xfId="2" applyNumberFormat="1" applyFont="1" applyFill="1" applyBorder="1" applyProtection="1"/>
    <xf numFmtId="166" fontId="6" fillId="0" borderId="7" xfId="2" applyNumberFormat="1" applyFont="1" applyFill="1" applyBorder="1" applyProtection="1"/>
    <xf numFmtId="165" fontId="6" fillId="0" borderId="0" xfId="0" applyNumberFormat="1" applyFont="1"/>
    <xf numFmtId="7" fontId="4" fillId="0" borderId="0" xfId="0" applyNumberFormat="1" applyFont="1" applyAlignment="1" applyProtection="1">
      <alignment horizontal="right"/>
    </xf>
    <xf numFmtId="165" fontId="4" fillId="0" borderId="0" xfId="2" applyNumberFormat="1" applyFont="1" applyFill="1" applyProtection="1"/>
    <xf numFmtId="166" fontId="4" fillId="0" borderId="11" xfId="2" applyNumberFormat="1" applyFont="1" applyFill="1" applyBorder="1" applyProtection="1"/>
    <xf numFmtId="166" fontId="4" fillId="0" borderId="12" xfId="2" applyNumberFormat="1" applyFont="1" applyFill="1" applyBorder="1" applyProtection="1"/>
    <xf numFmtId="168" fontId="6" fillId="0" borderId="0" xfId="0" applyNumberFormat="1" applyFont="1"/>
    <xf numFmtId="0" fontId="9" fillId="0" borderId="0" xfId="6" applyFont="1"/>
    <xf numFmtId="0" fontId="6" fillId="0" borderId="0" xfId="6" applyFo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0" fontId="9" fillId="0" borderId="0" xfId="6" applyFont="1" applyAlignment="1">
      <alignment wrapText="1"/>
    </xf>
    <xf numFmtId="164" fontId="6" fillId="0" borderId="13" xfId="5" applyFont="1" applyBorder="1" applyAlignment="1">
      <alignment horizontal="center"/>
    </xf>
    <xf numFmtId="0" fontId="6" fillId="0" borderId="14" xfId="6" applyFont="1" applyBorder="1" applyAlignment="1">
      <alignment horizontal="center" wrapText="1"/>
    </xf>
    <xf numFmtId="0" fontId="6" fillId="0" borderId="13" xfId="6" applyFont="1" applyBorder="1" applyAlignment="1">
      <alignment horizontal="center" wrapText="1"/>
    </xf>
    <xf numFmtId="0" fontId="6" fillId="0" borderId="15" xfId="6" applyFont="1" applyBorder="1" applyAlignment="1">
      <alignment horizontal="center" wrapText="1"/>
    </xf>
    <xf numFmtId="0" fontId="6" fillId="0" borderId="0" xfId="6" applyFont="1" applyAlignment="1">
      <alignment horizontal="center" wrapText="1"/>
    </xf>
    <xf numFmtId="0" fontId="9" fillId="0" borderId="0" xfId="6" applyFont="1" applyAlignment="1">
      <alignment horizontal="center" wrapText="1"/>
    </xf>
    <xf numFmtId="164" fontId="6" fillId="0" borderId="16" xfId="5" applyFont="1" applyBorder="1" applyAlignment="1">
      <alignment horizontal="center"/>
    </xf>
    <xf numFmtId="0" fontId="6" fillId="0" borderId="17" xfId="6" applyFont="1" applyBorder="1" applyAlignment="1">
      <alignment horizontal="center"/>
    </xf>
    <xf numFmtId="0" fontId="6" fillId="0" borderId="18" xfId="6" quotePrefix="1" applyFont="1" applyBorder="1" applyAlignment="1">
      <alignment horizontal="center"/>
    </xf>
    <xf numFmtId="0" fontId="6" fillId="0" borderId="8" xfId="6" quotePrefix="1" applyFont="1" applyBorder="1" applyAlignment="1">
      <alignment horizontal="center"/>
    </xf>
    <xf numFmtId="0" fontId="6" fillId="0" borderId="17" xfId="6" quotePrefix="1" applyFont="1" applyBorder="1" applyAlignment="1">
      <alignment horizontal="center"/>
    </xf>
    <xf numFmtId="0" fontId="9" fillId="0" borderId="16" xfId="6" applyFont="1" applyBorder="1"/>
    <xf numFmtId="0" fontId="4" fillId="0" borderId="19" xfId="6" applyFont="1" applyBorder="1" applyAlignment="1">
      <alignment horizontal="left"/>
    </xf>
    <xf numFmtId="0" fontId="6" fillId="0" borderId="19" xfId="6" applyFont="1" applyBorder="1"/>
    <xf numFmtId="0" fontId="6" fillId="0" borderId="20" xfId="6" applyFont="1" applyBorder="1"/>
    <xf numFmtId="0" fontId="6" fillId="0" borderId="0" xfId="6" applyFont="1" applyAlignment="1">
      <alignment horizontal="left"/>
    </xf>
    <xf numFmtId="0" fontId="6" fillId="0" borderId="16" xfId="6" quotePrefix="1" applyFont="1" applyBorder="1" applyAlignment="1">
      <alignment horizontal="center"/>
    </xf>
    <xf numFmtId="166" fontId="6" fillId="0" borderId="16" xfId="2" applyNumberFormat="1" applyFont="1" applyFill="1" applyBorder="1"/>
    <xf numFmtId="166" fontId="6" fillId="0" borderId="0" xfId="6" applyNumberFormat="1" applyFont="1"/>
    <xf numFmtId="166" fontId="6" fillId="0" borderId="16" xfId="6" applyNumberFormat="1" applyFont="1" applyBorder="1"/>
    <xf numFmtId="164" fontId="6" fillId="0" borderId="0" xfId="8" applyFont="1" applyAlignment="1">
      <alignment horizontal="center"/>
    </xf>
    <xf numFmtId="166" fontId="9" fillId="0" borderId="0" xfId="2" applyNumberFormat="1" applyFont="1" applyFill="1" applyBorder="1"/>
    <xf numFmtId="166" fontId="9" fillId="0" borderId="0" xfId="2" applyNumberFormat="1" applyFont="1" applyFill="1"/>
    <xf numFmtId="0" fontId="6" fillId="0" borderId="16" xfId="6" applyFont="1" applyBorder="1" applyAlignment="1">
      <alignment horizontal="center"/>
    </xf>
    <xf numFmtId="164" fontId="6" fillId="0" borderId="18" xfId="5" applyFont="1" applyBorder="1" applyAlignment="1">
      <alignment horizontal="center"/>
    </xf>
    <xf numFmtId="0" fontId="6" fillId="0" borderId="8" xfId="6" applyFont="1" applyBorder="1" applyAlignment="1">
      <alignment horizontal="left"/>
    </xf>
    <xf numFmtId="0" fontId="6" fillId="0" borderId="18" xfId="6" applyFont="1" applyBorder="1"/>
    <xf numFmtId="0" fontId="6" fillId="0" borderId="8" xfId="6" applyFont="1" applyBorder="1"/>
    <xf numFmtId="166" fontId="6" fillId="0" borderId="0" xfId="2" applyNumberFormat="1" applyFont="1" applyFill="1" applyBorder="1"/>
    <xf numFmtId="164" fontId="6" fillId="0" borderId="0" xfId="5" applyFont="1" applyAlignment="1">
      <alignment horizontal="center"/>
    </xf>
    <xf numFmtId="0" fontId="11" fillId="0" borderId="0" xfId="6" quotePrefix="1" applyFont="1" applyAlignment="1">
      <alignment horizontal="left"/>
    </xf>
    <xf numFmtId="167" fontId="6" fillId="0" borderId="0" xfId="1" applyNumberFormat="1" applyFont="1" applyFill="1"/>
    <xf numFmtId="44" fontId="6" fillId="0" borderId="0" xfId="2" applyFont="1" applyFill="1"/>
    <xf numFmtId="44" fontId="9" fillId="0" borderId="0" xfId="2" applyFont="1" applyFill="1"/>
    <xf numFmtId="169" fontId="9" fillId="0" borderId="0" xfId="3" applyNumberFormat="1" applyFont="1" applyFill="1" applyBorder="1" applyAlignment="1">
      <alignment horizontal="right"/>
    </xf>
    <xf numFmtId="0" fontId="9" fillId="0" borderId="0" xfId="6" applyFont="1" applyAlignment="1">
      <alignment horizontal="right"/>
    </xf>
    <xf numFmtId="164" fontId="6" fillId="0" borderId="0" xfId="5" applyFont="1"/>
    <xf numFmtId="164" fontId="6" fillId="0" borderId="0" xfId="5" applyFont="1" applyAlignment="1">
      <alignment horizontal="centerContinuous"/>
    </xf>
    <xf numFmtId="164" fontId="6" fillId="0" borderId="21" xfId="5" applyFont="1" applyBorder="1"/>
    <xf numFmtId="164" fontId="6" fillId="0" borderId="14" xfId="5" applyFont="1" applyBorder="1"/>
    <xf numFmtId="164" fontId="6" fillId="0" borderId="21" xfId="5" applyFont="1" applyBorder="1" applyAlignment="1">
      <alignment horizontal="center"/>
    </xf>
    <xf numFmtId="164" fontId="6" fillId="0" borderId="22" xfId="5" applyFont="1" applyBorder="1"/>
    <xf numFmtId="170" fontId="6" fillId="0" borderId="13" xfId="5" applyNumberFormat="1" applyFont="1" applyBorder="1" applyAlignment="1">
      <alignment horizontal="centerContinuous"/>
    </xf>
    <xf numFmtId="164" fontId="6" fillId="0" borderId="13" xfId="5" applyFont="1" applyBorder="1"/>
    <xf numFmtId="164" fontId="6" fillId="0" borderId="22" xfId="5" quotePrefix="1" applyFont="1" applyBorder="1"/>
    <xf numFmtId="164" fontId="6" fillId="0" borderId="22" xfId="5" applyFont="1" applyBorder="1" applyAlignment="1">
      <alignment horizontal="center"/>
    </xf>
    <xf numFmtId="170" fontId="6" fillId="0" borderId="16" xfId="5" applyNumberFormat="1" applyFont="1" applyBorder="1" applyAlignment="1">
      <alignment horizontal="centerContinuous"/>
    </xf>
    <xf numFmtId="164" fontId="6" fillId="0" borderId="22" xfId="5" applyFont="1" applyBorder="1" applyAlignment="1">
      <alignment horizontal="centerContinuous"/>
    </xf>
    <xf numFmtId="170" fontId="6" fillId="0" borderId="18" xfId="5" applyNumberFormat="1" applyFont="1" applyBorder="1" applyAlignment="1">
      <alignment horizontal="center"/>
    </xf>
    <xf numFmtId="164" fontId="6" fillId="0" borderId="24" xfId="5" applyFont="1" applyBorder="1" applyAlignment="1">
      <alignment horizontal="center"/>
    </xf>
    <xf numFmtId="164" fontId="4" fillId="0" borderId="19" xfId="5" applyFont="1" applyBorder="1" applyAlignment="1">
      <alignment horizontal="left"/>
    </xf>
    <xf numFmtId="164" fontId="6" fillId="0" borderId="19" xfId="5" applyFont="1" applyBorder="1"/>
    <xf numFmtId="37" fontId="6" fillId="0" borderId="19" xfId="5" applyNumberFormat="1" applyFont="1" applyBorder="1"/>
    <xf numFmtId="170" fontId="6" fillId="0" borderId="19" xfId="5" applyNumberFormat="1" applyFont="1" applyBorder="1"/>
    <xf numFmtId="164" fontId="6" fillId="0" borderId="0" xfId="5" applyFont="1" applyAlignment="1">
      <alignment horizontal="left"/>
    </xf>
    <xf numFmtId="167" fontId="6" fillId="0" borderId="0" xfId="1" applyNumberFormat="1" applyFont="1" applyFill="1" applyBorder="1" applyProtection="1"/>
    <xf numFmtId="167" fontId="6" fillId="0" borderId="16" xfId="1" applyNumberFormat="1" applyFont="1" applyFill="1" applyBorder="1" applyProtection="1"/>
    <xf numFmtId="167" fontId="6" fillId="0" borderId="13" xfId="1" applyNumberFormat="1" applyFont="1" applyFill="1" applyBorder="1" applyProtection="1"/>
    <xf numFmtId="166" fontId="6" fillId="0" borderId="13" xfId="2" applyNumberFormat="1" applyFont="1" applyFill="1" applyBorder="1" applyProtection="1"/>
    <xf numFmtId="165" fontId="6" fillId="0" borderId="22" xfId="2" applyNumberFormat="1" applyFont="1" applyFill="1" applyBorder="1" applyProtection="1"/>
    <xf numFmtId="10" fontId="6" fillId="0" borderId="13" xfId="5" applyNumberFormat="1" applyFont="1" applyBorder="1"/>
    <xf numFmtId="164" fontId="6" fillId="0" borderId="22" xfId="5" quotePrefix="1" applyFont="1" applyBorder="1" applyAlignment="1">
      <alignment horizontal="left"/>
    </xf>
    <xf numFmtId="37" fontId="6" fillId="0" borderId="22" xfId="5" applyNumberFormat="1" applyFont="1" applyBorder="1"/>
    <xf numFmtId="37" fontId="6" fillId="0" borderId="0" xfId="5" applyNumberFormat="1" applyFont="1"/>
    <xf numFmtId="166" fontId="6" fillId="0" borderId="16" xfId="2" applyNumberFormat="1" applyFont="1" applyFill="1" applyBorder="1" applyProtection="1"/>
    <xf numFmtId="10" fontId="6" fillId="0" borderId="16" xfId="5" applyNumberFormat="1" applyFont="1" applyBorder="1"/>
    <xf numFmtId="167" fontId="6" fillId="0" borderId="18" xfId="1" applyNumberFormat="1" applyFont="1" applyFill="1" applyBorder="1" applyProtection="1"/>
    <xf numFmtId="166" fontId="6" fillId="0" borderId="18" xfId="2" applyNumberFormat="1" applyFont="1" applyFill="1" applyBorder="1" applyProtection="1"/>
    <xf numFmtId="10" fontId="6" fillId="0" borderId="18" xfId="5" applyNumberFormat="1" applyFont="1" applyBorder="1"/>
    <xf numFmtId="164" fontId="4" fillId="0" borderId="19" xfId="5" applyFont="1" applyBorder="1"/>
    <xf numFmtId="164" fontId="4" fillId="0" borderId="20" xfId="5" applyFont="1" applyBorder="1"/>
    <xf numFmtId="167" fontId="4" fillId="0" borderId="19" xfId="1" applyNumberFormat="1" applyFont="1" applyFill="1" applyBorder="1" applyProtection="1"/>
    <xf numFmtId="167" fontId="4" fillId="0" borderId="25" xfId="1" applyNumberFormat="1" applyFont="1" applyFill="1" applyBorder="1" applyProtection="1"/>
    <xf numFmtId="37" fontId="4" fillId="0" borderId="22" xfId="5" applyNumberFormat="1" applyFont="1" applyBorder="1"/>
    <xf numFmtId="37" fontId="4" fillId="0" borderId="0" xfId="5" applyNumberFormat="1" applyFont="1"/>
    <xf numFmtId="166" fontId="4" fillId="0" borderId="25" xfId="2" applyNumberFormat="1" applyFont="1" applyFill="1" applyBorder="1" applyProtection="1"/>
    <xf numFmtId="165" fontId="4" fillId="0" borderId="25" xfId="2" applyNumberFormat="1" applyFont="1" applyFill="1" applyBorder="1" applyProtection="1"/>
    <xf numFmtId="10" fontId="4" fillId="0" borderId="18" xfId="5" applyNumberFormat="1" applyFont="1" applyBorder="1"/>
    <xf numFmtId="164" fontId="4" fillId="0" borderId="0" xfId="5" applyFont="1"/>
    <xf numFmtId="170" fontId="6" fillId="0" borderId="0" xfId="5" applyNumberFormat="1" applyFont="1"/>
    <xf numFmtId="164" fontId="6" fillId="0" borderId="0" xfId="9" applyFont="1"/>
    <xf numFmtId="164" fontId="6" fillId="0" borderId="0" xfId="9" applyFont="1" applyAlignment="1">
      <alignment horizontal="left"/>
    </xf>
    <xf numFmtId="164" fontId="4" fillId="0" borderId="0" xfId="9" applyFont="1" applyAlignment="1">
      <alignment horizontal="centerContinuous"/>
    </xf>
    <xf numFmtId="164" fontId="6" fillId="0" borderId="0" xfId="9" applyFont="1" applyAlignment="1">
      <alignment horizontal="centerContinuous"/>
    </xf>
    <xf numFmtId="164" fontId="4" fillId="0" borderId="0" xfId="7" applyFont="1"/>
    <xf numFmtId="164" fontId="6" fillId="0" borderId="0" xfId="9" applyFont="1" applyAlignment="1">
      <alignment horizontal="center"/>
    </xf>
    <xf numFmtId="164" fontId="6" fillId="0" borderId="13" xfId="9" applyFont="1" applyBorder="1" applyAlignment="1">
      <alignment horizontal="center"/>
    </xf>
    <xf numFmtId="14" fontId="6" fillId="0" borderId="0" xfId="9" applyNumberFormat="1" applyFont="1" applyAlignment="1">
      <alignment horizontal="center"/>
    </xf>
    <xf numFmtId="14" fontId="6" fillId="0" borderId="16" xfId="9" applyNumberFormat="1" applyFont="1" applyBorder="1" applyAlignment="1">
      <alignment horizontal="center"/>
    </xf>
    <xf numFmtId="164" fontId="6" fillId="0" borderId="0" xfId="9" applyFont="1" applyAlignment="1">
      <alignment horizontal="right"/>
    </xf>
    <xf numFmtId="164" fontId="4" fillId="0" borderId="16" xfId="9" applyFont="1" applyBorder="1" applyAlignment="1">
      <alignment horizontal="centerContinuous"/>
    </xf>
    <xf numFmtId="164" fontId="6" fillId="0" borderId="8" xfId="9" applyFont="1" applyBorder="1" applyAlignment="1">
      <alignment horizontal="center"/>
    </xf>
    <xf numFmtId="164" fontId="6" fillId="0" borderId="18" xfId="9" applyFont="1" applyBorder="1" applyAlignment="1">
      <alignment horizontal="centerContinuous"/>
    </xf>
    <xf numFmtId="164" fontId="6" fillId="0" borderId="16" xfId="9" applyFont="1" applyBorder="1" applyAlignment="1">
      <alignment horizontal="centerContinuous"/>
    </xf>
    <xf numFmtId="164" fontId="6" fillId="0" borderId="16" xfId="9" applyFont="1" applyBorder="1" applyAlignment="1">
      <alignment horizontal="center"/>
    </xf>
    <xf numFmtId="1" fontId="6" fillId="0" borderId="0" xfId="9" applyNumberFormat="1" applyFont="1" applyAlignment="1">
      <alignment horizontal="center"/>
    </xf>
    <xf numFmtId="171" fontId="6" fillId="0" borderId="0" xfId="9" applyNumberFormat="1" applyFont="1" applyAlignment="1">
      <alignment horizontal="center"/>
    </xf>
    <xf numFmtId="172" fontId="6" fillId="0" borderId="0" xfId="9" applyNumberFormat="1" applyFont="1" applyAlignment="1">
      <alignment horizontal="center"/>
    </xf>
    <xf numFmtId="7" fontId="6" fillId="0" borderId="0" xfId="9" applyNumberFormat="1" applyFont="1"/>
    <xf numFmtId="7" fontId="6" fillId="0" borderId="0" xfId="9" applyNumberFormat="1" applyFont="1" applyAlignment="1">
      <alignment horizontal="center"/>
    </xf>
    <xf numFmtId="173" fontId="6" fillId="0" borderId="0" xfId="9" applyNumberFormat="1" applyFont="1" applyAlignment="1">
      <alignment horizontal="center"/>
    </xf>
    <xf numFmtId="10" fontId="6" fillId="0" borderId="16" xfId="3" applyNumberFormat="1" applyFont="1" applyFill="1" applyBorder="1" applyAlignment="1" applyProtection="1">
      <alignment horizontal="center"/>
    </xf>
    <xf numFmtId="10" fontId="6" fillId="0" borderId="0" xfId="9" applyNumberFormat="1" applyFont="1"/>
    <xf numFmtId="174" fontId="6" fillId="0" borderId="0" xfId="9" applyNumberFormat="1" applyFont="1"/>
    <xf numFmtId="3" fontId="6" fillId="0" borderId="0" xfId="9" applyNumberFormat="1" applyFont="1" applyAlignment="1">
      <alignment horizontal="center"/>
    </xf>
    <xf numFmtId="7" fontId="6" fillId="0" borderId="0" xfId="2" applyNumberFormat="1" applyFont="1" applyFill="1"/>
    <xf numFmtId="10" fontId="6" fillId="0" borderId="18" xfId="3" applyNumberFormat="1" applyFont="1" applyFill="1" applyBorder="1" applyAlignment="1" applyProtection="1">
      <alignment horizontal="center"/>
    </xf>
    <xf numFmtId="164" fontId="9" fillId="0" borderId="0" xfId="0" applyFont="1"/>
    <xf numFmtId="164" fontId="12" fillId="0" borderId="0" xfId="0" quotePrefix="1" applyFont="1" applyAlignment="1" applyProtection="1">
      <alignment horizontal="left"/>
    </xf>
    <xf numFmtId="164" fontId="12" fillId="0" borderId="0" xfId="0" applyFont="1" applyAlignment="1" applyProtection="1">
      <alignment horizontal="left"/>
    </xf>
    <xf numFmtId="164" fontId="13" fillId="0" borderId="0" xfId="0" applyFont="1" applyAlignment="1">
      <alignment horizontal="center"/>
    </xf>
    <xf numFmtId="164" fontId="12" fillId="0" borderId="8" xfId="0" applyFont="1" applyBorder="1" applyAlignment="1">
      <alignment horizontal="center" wrapText="1"/>
    </xf>
    <xf numFmtId="14" fontId="12" fillId="0" borderId="8" xfId="0" applyNumberFormat="1" applyFont="1" applyBorder="1" applyAlignment="1">
      <alignment horizontal="center" wrapText="1"/>
    </xf>
    <xf numFmtId="164" fontId="9" fillId="0" borderId="0" xfId="0" applyFont="1" applyAlignment="1">
      <alignment horizontal="center"/>
    </xf>
    <xf numFmtId="165" fontId="9" fillId="0" borderId="0" xfId="2" applyNumberFormat="1" applyFont="1" applyFill="1"/>
    <xf numFmtId="167" fontId="9" fillId="0" borderId="0" xfId="1" applyNumberFormat="1" applyFont="1" applyFill="1"/>
    <xf numFmtId="165" fontId="12" fillId="0" borderId="8" xfId="0" applyNumberFormat="1" applyFont="1" applyBorder="1" applyAlignment="1">
      <alignment horizontal="center" wrapText="1"/>
    </xf>
    <xf numFmtId="44" fontId="12" fillId="0" borderId="21" xfId="2" applyFont="1" applyFill="1" applyBorder="1"/>
    <xf numFmtId="44" fontId="9" fillId="0" borderId="0" xfId="2" applyFont="1" applyFill="1" applyBorder="1"/>
    <xf numFmtId="43" fontId="9" fillId="0" borderId="0" xfId="1" applyFont="1" applyFill="1"/>
    <xf numFmtId="164" fontId="9" fillId="0" borderId="0" xfId="0" quotePrefix="1" applyFont="1"/>
    <xf numFmtId="164" fontId="12" fillId="0" borderId="0" xfId="7" applyFont="1"/>
    <xf numFmtId="164" fontId="12" fillId="0" borderId="0" xfId="0" applyFont="1"/>
    <xf numFmtId="17" fontId="12" fillId="0" borderId="0" xfId="0" applyNumberFormat="1" applyFont="1" applyAlignment="1" applyProtection="1">
      <alignment horizontal="right"/>
    </xf>
    <xf numFmtId="164" fontId="12" fillId="0" borderId="0" xfId="0" applyFont="1" applyAlignment="1">
      <alignment horizontal="center"/>
    </xf>
    <xf numFmtId="164" fontId="13" fillId="0" borderId="0" xfId="0" applyFont="1" applyAlignment="1" applyProtection="1">
      <alignment horizontal="left"/>
    </xf>
    <xf numFmtId="175" fontId="13" fillId="0" borderId="0" xfId="0" applyNumberFormat="1" applyFont="1" applyProtection="1"/>
    <xf numFmtId="176" fontId="13" fillId="0" borderId="0" xfId="0" applyNumberFormat="1" applyFont="1" applyProtection="1"/>
    <xf numFmtId="14" fontId="13" fillId="0" borderId="0" xfId="0" applyNumberFormat="1" applyFont="1" applyAlignment="1">
      <alignment horizontal="centerContinuous"/>
    </xf>
    <xf numFmtId="164" fontId="14" fillId="0" borderId="0" xfId="0" applyFont="1" applyAlignment="1" applyProtection="1">
      <alignment horizontal="center"/>
    </xf>
    <xf numFmtId="164" fontId="14" fillId="0" borderId="0" xfId="0" applyFont="1" applyAlignment="1">
      <alignment horizontal="center"/>
    </xf>
    <xf numFmtId="164" fontId="9" fillId="0" borderId="0" xfId="0" applyFont="1" applyAlignment="1" applyProtection="1">
      <alignment horizontal="left"/>
    </xf>
    <xf numFmtId="165" fontId="9" fillId="0" borderId="0" xfId="2" applyNumberFormat="1" applyFont="1" applyFill="1" applyProtection="1"/>
    <xf numFmtId="165" fontId="9" fillId="0" borderId="26" xfId="2" applyNumberFormat="1" applyFont="1" applyFill="1" applyBorder="1"/>
    <xf numFmtId="7" fontId="9" fillId="0" borderId="0" xfId="1" applyNumberFormat="1" applyFont="1" applyFill="1" applyBorder="1"/>
    <xf numFmtId="177" fontId="12" fillId="0" borderId="0" xfId="0" applyNumberFormat="1" applyFont="1"/>
    <xf numFmtId="10" fontId="13" fillId="0" borderId="0" xfId="3" applyNumberFormat="1" applyFont="1" applyFill="1"/>
    <xf numFmtId="165" fontId="9" fillId="0" borderId="0" xfId="0" applyNumberFormat="1" applyFont="1"/>
    <xf numFmtId="17" fontId="9" fillId="0" borderId="0" xfId="0" applyNumberFormat="1" applyFont="1" applyAlignment="1" applyProtection="1">
      <alignment horizontal="left"/>
    </xf>
    <xf numFmtId="17" fontId="9" fillId="0" borderId="0" xfId="0" quotePrefix="1" applyNumberFormat="1" applyFont="1" applyAlignment="1" applyProtection="1">
      <alignment horizontal="left"/>
    </xf>
    <xf numFmtId="37" fontId="9" fillId="0" borderId="0" xfId="0" applyNumberFormat="1" applyFont="1" applyProtection="1"/>
    <xf numFmtId="164" fontId="9" fillId="0" borderId="0" xfId="0" applyFont="1" applyAlignment="1">
      <alignment horizontal="right"/>
    </xf>
    <xf numFmtId="164" fontId="9" fillId="0" borderId="0" xfId="0" applyFont="1" applyProtection="1"/>
    <xf numFmtId="17" fontId="12" fillId="0" borderId="0" xfId="0" quotePrefix="1" applyNumberFormat="1" applyFont="1" applyAlignment="1" applyProtection="1">
      <alignment horizontal="center"/>
    </xf>
    <xf numFmtId="164" fontId="9" fillId="0" borderId="0" xfId="0" applyFont="1" applyAlignment="1" applyProtection="1">
      <alignment horizontal="right"/>
    </xf>
    <xf numFmtId="164" fontId="9" fillId="0" borderId="0" xfId="0" applyFont="1" applyAlignment="1" applyProtection="1">
      <alignment horizontal="center"/>
    </xf>
    <xf numFmtId="178" fontId="12" fillId="0" borderId="0" xfId="0" applyNumberFormat="1" applyFont="1" applyAlignment="1" applyProtection="1">
      <alignment horizontal="center"/>
    </xf>
    <xf numFmtId="37" fontId="12" fillId="0" borderId="0" xfId="0" applyNumberFormat="1" applyFont="1" applyAlignment="1" applyProtection="1">
      <alignment horizontal="center"/>
    </xf>
    <xf numFmtId="164" fontId="12" fillId="0" borderId="0" xfId="0" applyFont="1" applyAlignment="1" applyProtection="1">
      <alignment horizontal="center"/>
    </xf>
    <xf numFmtId="164" fontId="12" fillId="0" borderId="8" xfId="0" applyFont="1" applyBorder="1" applyAlignment="1" applyProtection="1">
      <alignment horizontal="center"/>
    </xf>
    <xf numFmtId="164" fontId="12" fillId="0" borderId="8" xfId="0" applyFont="1" applyBorder="1" applyAlignment="1">
      <alignment horizontal="center"/>
    </xf>
    <xf numFmtId="14" fontId="12" fillId="0" borderId="8" xfId="0" applyNumberFormat="1" applyFont="1" applyBorder="1" applyAlignment="1">
      <alignment horizontal="center"/>
    </xf>
    <xf numFmtId="179" fontId="9" fillId="0" borderId="1" xfId="4" applyNumberFormat="1" applyFont="1" applyFill="1"/>
    <xf numFmtId="44" fontId="9" fillId="0" borderId="0" xfId="2" applyFont="1" applyFill="1" applyProtection="1"/>
    <xf numFmtId="165" fontId="12" fillId="0" borderId="26" xfId="2" applyNumberFormat="1" applyFont="1" applyFill="1" applyBorder="1"/>
    <xf numFmtId="14" fontId="12" fillId="0" borderId="0" xfId="0" applyNumberFormat="1" applyFont="1" applyAlignment="1" applyProtection="1">
      <alignment horizontal="center"/>
    </xf>
    <xf numFmtId="164" fontId="12" fillId="0" borderId="0" xfId="0" applyFont="1" applyAlignment="1">
      <alignment horizontal="centerContinuous"/>
    </xf>
    <xf numFmtId="164" fontId="9" fillId="0" borderId="0" xfId="0" applyFont="1" applyAlignment="1" applyProtection="1">
      <alignment horizontal="fill"/>
    </xf>
    <xf numFmtId="7" fontId="9" fillId="0" borderId="0" xfId="0" applyNumberFormat="1" applyFont="1" applyProtection="1"/>
    <xf numFmtId="165" fontId="12" fillId="0" borderId="26" xfId="2" applyNumberFormat="1" applyFont="1" applyFill="1" applyBorder="1" applyProtection="1"/>
    <xf numFmtId="44" fontId="9" fillId="0" borderId="0" xfId="0" applyNumberFormat="1" applyFont="1" applyProtection="1"/>
    <xf numFmtId="3" fontId="9" fillId="0" borderId="0" xfId="0" applyNumberFormat="1" applyFont="1"/>
    <xf numFmtId="37" fontId="9" fillId="0" borderId="0" xfId="0" applyNumberFormat="1" applyFont="1"/>
    <xf numFmtId="3" fontId="12" fillId="0" borderId="26" xfId="2" applyNumberFormat="1" applyFont="1" applyFill="1" applyBorder="1" applyProtection="1"/>
    <xf numFmtId="4" fontId="9" fillId="0" borderId="0" xfId="0" applyNumberFormat="1" applyFont="1"/>
    <xf numFmtId="39" fontId="9" fillId="0" borderId="0" xfId="0" applyNumberFormat="1" applyFont="1"/>
    <xf numFmtId="164" fontId="12" fillId="0" borderId="0" xfId="0" quotePrefix="1" applyFont="1"/>
    <xf numFmtId="164" fontId="9" fillId="0" borderId="8" xfId="0" applyFont="1" applyBorder="1" applyAlignment="1">
      <alignment horizontal="center"/>
    </xf>
    <xf numFmtId="164" fontId="9" fillId="0" borderId="8" xfId="0" applyFont="1" applyBorder="1" applyAlignment="1">
      <alignment horizontal="center" vertical="center" wrapText="1"/>
    </xf>
    <xf numFmtId="17" fontId="9" fillId="0" borderId="8" xfId="0" applyNumberFormat="1" applyFont="1" applyBorder="1" applyAlignment="1">
      <alignment horizontal="center"/>
    </xf>
    <xf numFmtId="164" fontId="9" fillId="0" borderId="8" xfId="0" quotePrefix="1" applyFont="1" applyBorder="1" applyAlignment="1">
      <alignment horizontal="center" wrapText="1"/>
    </xf>
    <xf numFmtId="164" fontId="9" fillId="0" borderId="8" xfId="0" applyFont="1" applyBorder="1" applyAlignment="1">
      <alignment horizontal="center" wrapText="1"/>
    </xf>
    <xf numFmtId="166" fontId="12" fillId="0" borderId="0" xfId="2" applyNumberFormat="1" applyFont="1" applyFill="1"/>
    <xf numFmtId="165" fontId="12" fillId="0" borderId="0" xfId="2" applyNumberFormat="1" applyFont="1" applyFill="1"/>
    <xf numFmtId="164" fontId="12" fillId="0" borderId="0" xfId="0" applyFont="1" applyAlignment="1">
      <alignment horizontal="right"/>
    </xf>
    <xf numFmtId="10" fontId="12" fillId="0" borderId="0" xfId="3" applyNumberFormat="1" applyFont="1" applyFill="1"/>
    <xf numFmtId="180" fontId="12" fillId="0" borderId="0" xfId="3" applyNumberFormat="1" applyFont="1" applyFill="1"/>
    <xf numFmtId="165" fontId="9" fillId="0" borderId="0" xfId="1" applyNumberFormat="1" applyFont="1" applyFill="1" applyBorder="1"/>
    <xf numFmtId="165" fontId="9" fillId="0" borderId="0" xfId="1" applyNumberFormat="1" applyFont="1" applyFill="1"/>
    <xf numFmtId="164" fontId="9" fillId="0" borderId="27" xfId="0" applyFont="1" applyBorder="1"/>
    <xf numFmtId="164" fontId="9" fillId="0" borderId="27" xfId="0" applyFont="1" applyBorder="1" applyAlignment="1">
      <alignment horizontal="center"/>
    </xf>
    <xf numFmtId="164" fontId="9" fillId="0" borderId="28" xfId="0" applyFont="1" applyBorder="1" applyAlignment="1">
      <alignment horizontal="center" wrapText="1"/>
    </xf>
    <xf numFmtId="10" fontId="12" fillId="0" borderId="0" xfId="0" applyNumberFormat="1" applyFont="1"/>
    <xf numFmtId="164" fontId="16" fillId="0" borderId="0" xfId="0" applyFont="1"/>
    <xf numFmtId="17" fontId="9" fillId="3" borderId="25" xfId="4" applyNumberFormat="1" applyFont="1" applyFill="1" applyBorder="1"/>
    <xf numFmtId="37" fontId="1" fillId="3" borderId="25" xfId="0" applyNumberFormat="1" applyFont="1" applyFill="1" applyBorder="1"/>
    <xf numFmtId="167" fontId="9" fillId="3" borderId="20" xfId="4" applyNumberFormat="1" applyFont="1" applyFill="1" applyBorder="1"/>
    <xf numFmtId="3" fontId="17" fillId="3" borderId="25" xfId="0" applyNumberFormat="1" applyFont="1" applyFill="1" applyBorder="1"/>
    <xf numFmtId="37" fontId="1" fillId="3" borderId="16" xfId="0" applyNumberFormat="1" applyFont="1" applyFill="1" applyBorder="1"/>
    <xf numFmtId="167" fontId="1" fillId="3" borderId="25" xfId="1" applyNumberFormat="1" applyFont="1" applyFill="1" applyBorder="1"/>
    <xf numFmtId="37" fontId="1" fillId="3" borderId="18" xfId="0" applyNumberFormat="1" applyFont="1" applyFill="1" applyBorder="1"/>
    <xf numFmtId="167" fontId="1" fillId="3" borderId="18" xfId="1" applyNumberFormat="1" applyFont="1" applyFill="1" applyBorder="1"/>
    <xf numFmtId="17" fontId="9" fillId="3" borderId="0" xfId="0" applyNumberFormat="1" applyFont="1" applyFill="1"/>
    <xf numFmtId="167" fontId="2" fillId="3" borderId="0" xfId="4" applyNumberFormat="1" applyFont="1" applyFill="1" applyBorder="1" applyAlignment="1"/>
    <xf numFmtId="167" fontId="2" fillId="3" borderId="0" xfId="4" applyNumberFormat="1" applyFont="1" applyFill="1" applyBorder="1"/>
    <xf numFmtId="3" fontId="17" fillId="3" borderId="0" xfId="0" applyNumberFormat="1" applyFont="1" applyFill="1"/>
    <xf numFmtId="17" fontId="9" fillId="0" borderId="0" xfId="0" applyNumberFormat="1" applyFont="1"/>
    <xf numFmtId="3" fontId="9" fillId="0" borderId="0" xfId="1" applyNumberFormat="1" applyFont="1" applyFill="1"/>
    <xf numFmtId="164" fontId="18" fillId="0" borderId="0" xfId="0" applyFont="1" applyAlignment="1">
      <alignment horizontal="center"/>
    </xf>
    <xf numFmtId="3" fontId="12" fillId="0" borderId="0" xfId="1" applyNumberFormat="1" applyFont="1" applyFill="1" applyAlignment="1">
      <alignment horizontal="center"/>
    </xf>
    <xf numFmtId="164" fontId="9" fillId="0" borderId="0" xfId="7" quotePrefix="1" applyFont="1" applyAlignment="1">
      <alignment horizontal="left"/>
    </xf>
    <xf numFmtId="164" fontId="9" fillId="0" borderId="0" xfId="7" applyFont="1" applyAlignment="1">
      <alignment horizontal="center"/>
    </xf>
    <xf numFmtId="164" fontId="9" fillId="0" borderId="0" xfId="7" applyFont="1"/>
    <xf numFmtId="164" fontId="9" fillId="0" borderId="13" xfId="7" applyFont="1" applyBorder="1" applyAlignment="1">
      <alignment horizontal="center"/>
    </xf>
    <xf numFmtId="164" fontId="9" fillId="0" borderId="21" xfId="7" applyFont="1" applyBorder="1"/>
    <xf numFmtId="164" fontId="9" fillId="0" borderId="16" xfId="7" applyFont="1" applyBorder="1" applyAlignment="1">
      <alignment horizontal="center"/>
    </xf>
    <xf numFmtId="164" fontId="9" fillId="0" borderId="0" xfId="7" applyFont="1" applyAlignment="1">
      <alignment horizontal="left"/>
    </xf>
    <xf numFmtId="164" fontId="9" fillId="0" borderId="18" xfId="7" applyFont="1" applyBorder="1" applyAlignment="1">
      <alignment horizontal="center"/>
    </xf>
    <xf numFmtId="164" fontId="9" fillId="0" borderId="19" xfId="7" applyFont="1" applyBorder="1" applyAlignment="1">
      <alignment horizontal="center"/>
    </xf>
    <xf numFmtId="164" fontId="12" fillId="0" borderId="19" xfId="7" applyFont="1" applyBorder="1" applyAlignment="1">
      <alignment horizontal="left"/>
    </xf>
    <xf numFmtId="164" fontId="9" fillId="0" borderId="19" xfId="7" applyFont="1" applyBorder="1"/>
    <xf numFmtId="37" fontId="9" fillId="0" borderId="19" xfId="7" applyNumberFormat="1" applyFont="1" applyBorder="1"/>
    <xf numFmtId="164" fontId="9" fillId="0" borderId="15" xfId="7" applyFont="1" applyBorder="1" applyAlignment="1">
      <alignment horizontal="left"/>
    </xf>
    <xf numFmtId="164" fontId="9" fillId="0" borderId="14" xfId="7" applyFont="1" applyBorder="1"/>
    <xf numFmtId="164" fontId="9" fillId="0" borderId="14" xfId="7" applyFont="1" applyBorder="1" applyAlignment="1">
      <alignment horizontal="center"/>
    </xf>
    <xf numFmtId="164" fontId="9" fillId="0" borderId="13" xfId="7" applyFont="1" applyBorder="1"/>
    <xf numFmtId="164" fontId="9" fillId="0" borderId="29" xfId="7" applyFont="1" applyBorder="1" applyAlignment="1">
      <alignment horizontal="left" indent="1"/>
    </xf>
    <xf numFmtId="164" fontId="9" fillId="0" borderId="22" xfId="7" applyFont="1" applyBorder="1"/>
    <xf numFmtId="164" fontId="9" fillId="0" borderId="22" xfId="7" applyFont="1" applyBorder="1" applyAlignment="1">
      <alignment horizontal="center"/>
    </xf>
    <xf numFmtId="37" fontId="9" fillId="0" borderId="22" xfId="0" applyNumberFormat="1" applyFont="1" applyBorder="1" applyProtection="1"/>
    <xf numFmtId="37" fontId="9" fillId="0" borderId="16" xfId="7" applyNumberFormat="1" applyFont="1" applyBorder="1"/>
    <xf numFmtId="165" fontId="9" fillId="0" borderId="16" xfId="2" applyNumberFormat="1" applyFont="1" applyFill="1" applyBorder="1"/>
    <xf numFmtId="37" fontId="9" fillId="0" borderId="0" xfId="7" applyNumberFormat="1" applyFont="1"/>
    <xf numFmtId="43" fontId="9" fillId="0" borderId="0" xfId="1" applyFont="1" applyFill="1" applyBorder="1" applyProtection="1"/>
    <xf numFmtId="164" fontId="9" fillId="0" borderId="29" xfId="8" applyFont="1" applyBorder="1"/>
    <xf numFmtId="164" fontId="9" fillId="0" borderId="23" xfId="8" applyFont="1" applyBorder="1"/>
    <xf numFmtId="164" fontId="9" fillId="0" borderId="8" xfId="7" applyFont="1" applyBorder="1"/>
    <xf numFmtId="37" fontId="9" fillId="0" borderId="17" xfId="0" applyNumberFormat="1" applyFont="1" applyBorder="1" applyProtection="1"/>
    <xf numFmtId="37" fontId="9" fillId="0" borderId="18" xfId="7" applyNumberFormat="1" applyFont="1" applyBorder="1"/>
    <xf numFmtId="165" fontId="9" fillId="0" borderId="18" xfId="2" applyNumberFormat="1" applyFont="1" applyFill="1" applyBorder="1" applyProtection="1"/>
    <xf numFmtId="164" fontId="12" fillId="0" borderId="19" xfId="7" applyFont="1" applyBorder="1" applyAlignment="1">
      <alignment horizontal="left" indent="1"/>
    </xf>
    <xf numFmtId="164" fontId="12" fillId="0" borderId="17" xfId="7" applyFont="1" applyBorder="1"/>
    <xf numFmtId="164" fontId="12" fillId="0" borderId="20" xfId="7" applyFont="1" applyBorder="1" applyAlignment="1">
      <alignment horizontal="center"/>
    </xf>
    <xf numFmtId="37" fontId="12" fillId="0" borderId="19" xfId="7" applyNumberFormat="1" applyFont="1" applyBorder="1"/>
    <xf numFmtId="37" fontId="12" fillId="0" borderId="25" xfId="7" applyNumberFormat="1" applyFont="1" applyBorder="1"/>
    <xf numFmtId="37" fontId="12" fillId="0" borderId="0" xfId="7" applyNumberFormat="1" applyFont="1"/>
    <xf numFmtId="165" fontId="12" fillId="0" borderId="25" xfId="2" applyNumberFormat="1" applyFont="1" applyFill="1" applyBorder="1"/>
    <xf numFmtId="10" fontId="12" fillId="0" borderId="0" xfId="1" applyNumberFormat="1" applyFont="1" applyFill="1" applyBorder="1" applyProtection="1"/>
    <xf numFmtId="10" fontId="9" fillId="0" borderId="0" xfId="7" applyNumberFormat="1" applyFont="1"/>
    <xf numFmtId="164" fontId="9" fillId="0" borderId="0" xfId="7" applyFont="1" applyAlignment="1">
      <alignment horizontal="left" indent="1"/>
    </xf>
    <xf numFmtId="165" fontId="9" fillId="0" borderId="16" xfId="2" applyNumberFormat="1" applyFont="1" applyFill="1" applyBorder="1" applyProtection="1"/>
    <xf numFmtId="10" fontId="9" fillId="0" borderId="0" xfId="1" applyNumberFormat="1" applyFont="1" applyFill="1" applyBorder="1" applyProtection="1"/>
    <xf numFmtId="164" fontId="12" fillId="0" borderId="20" xfId="7" applyFont="1" applyBorder="1"/>
    <xf numFmtId="181" fontId="9" fillId="0" borderId="16" xfId="7" applyNumberFormat="1" applyFont="1" applyBorder="1"/>
    <xf numFmtId="165" fontId="12" fillId="0" borderId="25" xfId="2" applyNumberFormat="1" applyFont="1" applyFill="1" applyBorder="1" applyProtection="1"/>
    <xf numFmtId="164" fontId="12" fillId="0" borderId="0" xfId="7" applyFont="1" applyAlignment="1">
      <alignment horizontal="left" indent="1"/>
    </xf>
    <xf numFmtId="164" fontId="12" fillId="0" borderId="25" xfId="7" applyFont="1" applyBorder="1" applyAlignment="1">
      <alignment horizontal="center"/>
    </xf>
    <xf numFmtId="37" fontId="9" fillId="0" borderId="0" xfId="7" applyNumberFormat="1" applyFont="1" applyAlignment="1">
      <alignment horizontal="left"/>
    </xf>
    <xf numFmtId="44" fontId="9" fillId="0" borderId="13" xfId="2" applyFont="1" applyFill="1" applyBorder="1"/>
    <xf numFmtId="164" fontId="9" fillId="0" borderId="29" xfId="7" applyFont="1" applyBorder="1" applyAlignment="1">
      <alignment horizontal="left"/>
    </xf>
    <xf numFmtId="44" fontId="9" fillId="0" borderId="16" xfId="2" applyFont="1" applyFill="1" applyBorder="1"/>
    <xf numFmtId="37" fontId="9" fillId="0" borderId="23" xfId="7" applyNumberFormat="1" applyFont="1" applyBorder="1"/>
    <xf numFmtId="164" fontId="12" fillId="0" borderId="24" xfId="7" applyFont="1" applyBorder="1" applyAlignment="1">
      <alignment horizontal="left" indent="1"/>
    </xf>
    <xf numFmtId="37" fontId="12" fillId="0" borderId="8" xfId="7" applyNumberFormat="1" applyFont="1" applyBorder="1"/>
    <xf numFmtId="37" fontId="12" fillId="0" borderId="18" xfId="7" applyNumberFormat="1" applyFont="1" applyBorder="1"/>
    <xf numFmtId="165" fontId="12" fillId="0" borderId="18" xfId="2" applyNumberFormat="1" applyFont="1" applyFill="1" applyBorder="1"/>
    <xf numFmtId="164" fontId="12" fillId="0" borderId="19" xfId="7" applyFont="1" applyBorder="1"/>
    <xf numFmtId="164" fontId="9" fillId="0" borderId="0" xfId="7" quotePrefix="1" applyFont="1" applyAlignment="1">
      <alignment horizontal="center"/>
    </xf>
    <xf numFmtId="43" fontId="9" fillId="0" borderId="0" xfId="1" applyFont="1" applyFill="1" applyAlignment="1" applyProtection="1">
      <alignment horizontal="left"/>
    </xf>
    <xf numFmtId="164" fontId="12" fillId="0" borderId="0" xfId="7" quotePrefix="1" applyFont="1" applyAlignment="1">
      <alignment horizontal="left"/>
    </xf>
    <xf numFmtId="43" fontId="12" fillId="0" borderId="0" xfId="1" quotePrefix="1" applyFont="1" applyFill="1" applyAlignment="1">
      <alignment horizontal="left"/>
    </xf>
    <xf numFmtId="164" fontId="4" fillId="0" borderId="0" xfId="5" applyFont="1" applyAlignment="1">
      <alignment horizontal="center"/>
    </xf>
    <xf numFmtId="164" fontId="4" fillId="0" borderId="0" xfId="0" applyFont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5" xfId="0" applyFont="1" applyBorder="1" applyAlignment="1">
      <alignment horizontal="center"/>
    </xf>
    <xf numFmtId="164" fontId="4" fillId="0" borderId="0" xfId="0" applyFont="1" applyAlignment="1" applyProtection="1">
      <alignment horizontal="center"/>
    </xf>
    <xf numFmtId="164" fontId="4" fillId="0" borderId="0" xfId="0" applyFont="1" applyAlignment="1">
      <alignment horizontal="center" vertical="center" wrapText="1"/>
    </xf>
    <xf numFmtId="164" fontId="4" fillId="0" borderId="2" xfId="0" quotePrefix="1" applyFont="1" applyBorder="1" applyAlignment="1" applyProtection="1">
      <alignment horizontal="center"/>
    </xf>
    <xf numFmtId="164" fontId="4" fillId="0" borderId="3" xfId="0" applyFont="1" applyBorder="1" applyAlignment="1" applyProtection="1">
      <alignment horizontal="center"/>
    </xf>
    <xf numFmtId="164" fontId="4" fillId="0" borderId="0" xfId="7" applyFont="1" applyAlignment="1">
      <alignment horizontal="center"/>
    </xf>
    <xf numFmtId="164" fontId="4" fillId="0" borderId="0" xfId="5" quotePrefix="1" applyFont="1" applyAlignment="1">
      <alignment horizontal="center"/>
    </xf>
    <xf numFmtId="164" fontId="6" fillId="0" borderId="23" xfId="5" applyFont="1" applyBorder="1" applyAlignment="1">
      <alignment horizontal="center"/>
    </xf>
    <xf numFmtId="164" fontId="6" fillId="0" borderId="17" xfId="5" applyFont="1" applyBorder="1" applyAlignment="1">
      <alignment horizontal="center"/>
    </xf>
    <xf numFmtId="164" fontId="12" fillId="0" borderId="0" xfId="7" applyFont="1" applyAlignment="1">
      <alignment horizontal="center"/>
    </xf>
    <xf numFmtId="164" fontId="9" fillId="0" borderId="0" xfId="0" quotePrefix="1" applyFont="1" applyAlignment="1">
      <alignment horizontal="left"/>
    </xf>
    <xf numFmtId="164" fontId="12" fillId="0" borderId="0" xfId="7" applyFont="1" applyAlignment="1">
      <alignment horizontal="right"/>
    </xf>
    <xf numFmtId="164" fontId="12" fillId="0" borderId="0" xfId="0" quotePrefix="1" applyFont="1" applyAlignment="1">
      <alignment horizontal="center"/>
    </xf>
    <xf numFmtId="164" fontId="9" fillId="0" borderId="0" xfId="0" applyFont="1" applyAlignment="1">
      <alignment horizontal="center"/>
    </xf>
    <xf numFmtId="164" fontId="12" fillId="0" borderId="0" xfId="0" applyFont="1" applyAlignment="1" applyProtection="1">
      <alignment horizontal="center"/>
    </xf>
    <xf numFmtId="164" fontId="12" fillId="0" borderId="0" xfId="7" quotePrefix="1" applyFont="1" applyAlignment="1">
      <alignment horizontal="center"/>
    </xf>
    <xf numFmtId="164" fontId="9" fillId="0" borderId="0" xfId="7" applyFont="1"/>
  </cellXfs>
  <cellStyles count="10">
    <cellStyle name="Comma" xfId="1" builtinId="3"/>
    <cellStyle name="Currency" xfId="2" builtinId="4"/>
    <cellStyle name="Input" xfId="4" builtinId="20"/>
    <cellStyle name="Normal" xfId="0" builtinId="0"/>
    <cellStyle name="Normal 25 3" xfId="5" xr:uid="{A90EE03D-5B0C-4632-ABAC-C6E1184DEDD4}"/>
    <cellStyle name="Normal_Book2" xfId="6" xr:uid="{1461C2DA-4CC8-4F40-8290-D31A974FCA40}"/>
    <cellStyle name="Normal_CNGC Deferral Workpapers" xfId="7" xr:uid="{C5F74D4C-DFD6-49DE-80D7-F30AFB6DA962}"/>
    <cellStyle name="Normal_CNGC Deferral Workpapers 2" xfId="9" xr:uid="{6409F4BA-9D25-4060-8BAA-1EE40B4D4174}"/>
    <cellStyle name="Normal_RORO9912" xfId="8" xr:uid="{F41076B3-9916-4B34-9F5F-0A1D246B4CC8}"/>
    <cellStyle name="Percent" xfId="3" builtinId="5"/>
  </cellStyles>
  <dxfs count="0"/>
  <tableStyles count="1" defaultTableStyle="TableStyleMedium2" defaultPivotStyle="PivotStyleLight16">
    <tableStyle name="Invisible" pivot="0" table="0" count="0" xr9:uid="{9D334C36-F462-436B-8A16-8F12BBE4DA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S1G/GA/gascst99/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PATRICIA/tran/2000/Tran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tran/2001/Tran01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Cascade%20Deferral%20Filing%20Development%20WPs%20(August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7-2019%20DEFSUMWATAX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mickelso/AppData/Local/Microsoft/Windows/INetCache/Content.Outlook/38XAP6XV/Pieline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PGA\NEW-CNGC-Advice-W24-09-01-PGA-WP-09.13.22.xlsx" TargetMode="External"/><Relationship Id="rId1" Type="http://schemas.openxmlformats.org/officeDocument/2006/relationships/externalLinkPath" Target="/Dept/Rates/PGA%202024/WA%20PGA/PGA/NEW-CNGC-Advice-W24-09-01-PGA-WP-09.13.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4/WA%20PGA/PGA/NEW,%20CNGC%20Advice%20No.%20W21-09-02%20CPA%20WP,%209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A Rate Schedule Changes"/>
      <sheetName val="PGA TTA Table of Content"/>
      <sheetName val="PGA Demand Cost Allocation"/>
      <sheetName val="PGA Amount Change"/>
      <sheetName val="Effects of PGA Avg. Bill"/>
      <sheetName val="PGA Proposed Rate Adj."/>
      <sheetName val="TTA Summary of Def. Accts."/>
      <sheetName val="TTA Proposed Rate 590"/>
      <sheetName val="TTA Amount of Change"/>
      <sheetName val="Effects of TTA Avg. Bill"/>
      <sheetName val="Combined PGA TTA Avg Bill"/>
      <sheetName val="CPA Table of Contents"/>
      <sheetName val="CPA Summary of Def. Accts."/>
      <sheetName val="CPA Proposed Rate 596"/>
      <sheetName val="CPA Amount of Change"/>
      <sheetName val="Effects of CPA Avg. Bill"/>
      <sheetName val="582 Table of Contents"/>
      <sheetName val="Unprotected Cost Allocation"/>
      <sheetName val="Unpro. Amount Change"/>
      <sheetName val="Effects of UPT Avg. Bill"/>
      <sheetName val="Unprot. Proposed Rate Adj."/>
      <sheetName val="47WA.2540."/>
      <sheetName val="Workpapers---&gt;"/>
      <sheetName val="Balances at 7-31-2024"/>
      <sheetName val="Int calc thru 10-31-2024"/>
      <sheetName val="Amort Calc thru 10-31-2024"/>
      <sheetName val="EstimatedBalances"/>
      <sheetName val=" 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>
        <row r="16">
          <cell r="D16">
            <v>54</v>
          </cell>
          <cell r="E16">
            <v>5</v>
          </cell>
          <cell r="F16">
            <v>1.6048500000000001</v>
          </cell>
        </row>
        <row r="18">
          <cell r="D18">
            <v>271</v>
          </cell>
          <cell r="E18">
            <v>13</v>
          </cell>
          <cell r="F18">
            <v>1.5259</v>
          </cell>
        </row>
        <row r="20">
          <cell r="E20">
            <v>60</v>
          </cell>
        </row>
        <row r="21">
          <cell r="F21">
            <v>1.46</v>
          </cell>
        </row>
        <row r="22">
          <cell r="F22">
            <v>1.42069</v>
          </cell>
        </row>
        <row r="23">
          <cell r="F23">
            <v>1.41475</v>
          </cell>
        </row>
        <row r="24">
          <cell r="D24">
            <v>1992</v>
          </cell>
        </row>
        <row r="26">
          <cell r="E26">
            <v>125</v>
          </cell>
        </row>
        <row r="27">
          <cell r="F27">
            <v>1.41357</v>
          </cell>
        </row>
        <row r="28">
          <cell r="F28">
            <v>1.3748400000000001</v>
          </cell>
        </row>
        <row r="29">
          <cell r="F29">
            <v>1.2790299999999999</v>
          </cell>
        </row>
        <row r="30">
          <cell r="D30">
            <v>16639</v>
          </cell>
        </row>
        <row r="32">
          <cell r="E32">
            <v>163</v>
          </cell>
        </row>
        <row r="33">
          <cell r="F33">
            <v>1.3115399999999999</v>
          </cell>
        </row>
        <row r="34">
          <cell r="F34">
            <v>1.24617</v>
          </cell>
        </row>
        <row r="35">
          <cell r="D35">
            <v>23233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D6" t="str">
            <v>UG-210755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PA Summary of Def. Accts."/>
      <sheetName val="CPA Proposed Rate 596"/>
      <sheetName val="CPA Amount of Change"/>
      <sheetName val="CPA Cost by Class"/>
      <sheetName val="Effects of CPA Avg. Bill"/>
      <sheetName val="Pipeline Workpapers---&gt;"/>
      <sheetName val="Ex-1"/>
      <sheetName val="Ex-2"/>
      <sheetName val="Ex-3"/>
      <sheetName val="Ex-4"/>
      <sheetName val="Workpapers---&gt;"/>
      <sheetName val="Balances at 7-31-2021"/>
      <sheetName val="Int calc thru 10-31-2021"/>
      <sheetName val="Amort Calc thru 10-31-2021"/>
      <sheetName val="EstimatedBalances"/>
      <sheetName val="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122F-6F22-410E-9D67-23777B01005A}">
  <dimension ref="A1:E20"/>
  <sheetViews>
    <sheetView tabSelected="1" topLeftCell="A2" workbookViewId="0">
      <selection activeCell="G26" sqref="G26"/>
    </sheetView>
  </sheetViews>
  <sheetFormatPr defaultRowHeight="10.5" x14ac:dyDescent="0.15"/>
  <cols>
    <col min="1" max="1" width="73.33203125" bestFit="1" customWidth="1"/>
    <col min="5" max="5" width="9.33203125" style="4"/>
  </cols>
  <sheetData>
    <row r="1" spans="1:5" ht="15.75" x14ac:dyDescent="0.25">
      <c r="A1" s="306" t="s">
        <v>0</v>
      </c>
      <c r="B1" s="306"/>
      <c r="C1" s="306"/>
      <c r="D1" s="306"/>
      <c r="E1" s="306"/>
    </row>
    <row r="3" spans="1:5" ht="15.75" x14ac:dyDescent="0.25">
      <c r="A3" s="307" t="s">
        <v>1</v>
      </c>
      <c r="B3" s="307"/>
      <c r="C3" s="307"/>
      <c r="D3" s="307"/>
      <c r="E3" s="307"/>
    </row>
    <row r="6" spans="1:5" ht="15.75" x14ac:dyDescent="0.25">
      <c r="A6" s="307" t="s">
        <v>2</v>
      </c>
      <c r="B6" s="307"/>
      <c r="C6" s="307"/>
      <c r="D6" s="307"/>
      <c r="E6" s="307"/>
    </row>
    <row r="9" spans="1:5" ht="15.75" x14ac:dyDescent="0.25">
      <c r="A9" s="1" t="s">
        <v>3</v>
      </c>
      <c r="B9" s="2"/>
      <c r="C9" s="2"/>
      <c r="D9" s="2"/>
      <c r="E9" s="1" t="s">
        <v>4</v>
      </c>
    </row>
    <row r="10" spans="1:5" ht="15.75" x14ac:dyDescent="0.25">
      <c r="A10" s="2"/>
      <c r="B10" s="2"/>
      <c r="C10" s="2"/>
      <c r="D10" s="2"/>
      <c r="E10" s="3"/>
    </row>
    <row r="11" spans="1:5" ht="15.75" x14ac:dyDescent="0.25">
      <c r="A11" s="2" t="s">
        <v>5</v>
      </c>
      <c r="B11" s="2"/>
      <c r="C11" s="2"/>
      <c r="D11" s="2"/>
      <c r="E11" s="3">
        <v>1</v>
      </c>
    </row>
    <row r="12" spans="1:5" ht="15.75" x14ac:dyDescent="0.25">
      <c r="A12" s="2" t="s">
        <v>6</v>
      </c>
      <c r="B12" s="2"/>
      <c r="C12" s="2"/>
      <c r="D12" s="2"/>
      <c r="E12" s="3">
        <v>2</v>
      </c>
    </row>
    <row r="13" spans="1:5" ht="15.75" x14ac:dyDescent="0.25">
      <c r="A13" s="2" t="s">
        <v>7</v>
      </c>
      <c r="B13" s="2"/>
      <c r="C13" s="2"/>
      <c r="D13" s="2"/>
      <c r="E13" s="3">
        <v>3</v>
      </c>
    </row>
    <row r="14" spans="1:5" ht="15.75" x14ac:dyDescent="0.25">
      <c r="A14" s="2" t="s">
        <v>8</v>
      </c>
      <c r="B14" s="2"/>
      <c r="C14" s="2"/>
      <c r="D14" s="2"/>
      <c r="E14" s="3">
        <v>4</v>
      </c>
    </row>
    <row r="15" spans="1:5" ht="15.75" x14ac:dyDescent="0.25">
      <c r="B15" s="2"/>
      <c r="C15" s="2"/>
      <c r="D15" s="2"/>
      <c r="E15" s="3"/>
    </row>
    <row r="16" spans="1:5" ht="15.75" x14ac:dyDescent="0.25">
      <c r="B16" s="2"/>
      <c r="C16" s="2"/>
      <c r="D16" s="2"/>
      <c r="E16" s="3"/>
    </row>
    <row r="17" spans="2:5" ht="15.75" x14ac:dyDescent="0.25">
      <c r="B17" s="2"/>
      <c r="C17" s="2"/>
      <c r="D17" s="2"/>
      <c r="E17" s="3"/>
    </row>
    <row r="18" spans="2:5" ht="15.75" x14ac:dyDescent="0.25">
      <c r="B18" s="2"/>
      <c r="C18" s="2"/>
      <c r="D18" s="2"/>
      <c r="E18" s="3"/>
    </row>
    <row r="19" spans="2:5" ht="15.75" x14ac:dyDescent="0.25">
      <c r="B19" s="2"/>
      <c r="C19" s="2"/>
      <c r="D19" s="2"/>
      <c r="E19" s="3"/>
    </row>
    <row r="20" spans="2:5" ht="15.75" x14ac:dyDescent="0.25">
      <c r="B20" s="2"/>
      <c r="C20" s="2"/>
      <c r="D20" s="2"/>
      <c r="E20" s="3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5A4A-05FB-4DA2-8309-E88AA89CFCCD}">
  <sheetPr transitionEvaluation="1">
    <pageSetUpPr fitToPage="1"/>
  </sheetPr>
  <dimension ref="A1:K31"/>
  <sheetViews>
    <sheetView workbookViewId="0">
      <selection activeCell="K2" sqref="K2"/>
    </sheetView>
  </sheetViews>
  <sheetFormatPr defaultColWidth="18.33203125" defaultRowHeight="15" customHeight="1" x14ac:dyDescent="0.25"/>
  <cols>
    <col min="1" max="1" width="10.1640625" style="3" bestFit="1" customWidth="1"/>
    <col min="2" max="2" width="22.6640625" style="2" bestFit="1" customWidth="1"/>
    <col min="3" max="7" width="18.33203125" style="2"/>
    <col min="8" max="8" width="22.83203125" style="2" customWidth="1"/>
    <col min="9" max="9" width="25" style="2" customWidth="1"/>
    <col min="10" max="16384" width="18.33203125" style="2"/>
  </cols>
  <sheetData>
    <row r="1" spans="1:11" ht="15" customHeight="1" x14ac:dyDescent="0.25">
      <c r="D1" s="307" t="s">
        <v>9</v>
      </c>
      <c r="E1" s="307"/>
      <c r="F1" s="307"/>
      <c r="G1" s="307"/>
      <c r="H1" s="307"/>
      <c r="I1" s="307"/>
      <c r="J1" s="307"/>
      <c r="K1" s="5" t="s">
        <v>212</v>
      </c>
    </row>
    <row r="2" spans="1:11" ht="15" customHeight="1" x14ac:dyDescent="0.25">
      <c r="A2" s="6"/>
      <c r="D2" s="310" t="s">
        <v>10</v>
      </c>
      <c r="E2" s="310"/>
      <c r="F2" s="310"/>
      <c r="G2" s="310"/>
      <c r="H2" s="310"/>
      <c r="I2" s="310"/>
      <c r="J2" s="310"/>
      <c r="K2" s="7" t="s">
        <v>11</v>
      </c>
    </row>
    <row r="3" spans="1:11" ht="15" customHeight="1" x14ac:dyDescent="0.25">
      <c r="D3" s="307" t="s">
        <v>12</v>
      </c>
      <c r="E3" s="307"/>
      <c r="F3" s="307"/>
      <c r="G3" s="307"/>
      <c r="H3" s="307"/>
      <c r="I3" s="307"/>
      <c r="J3" s="307"/>
      <c r="K3" s="7" t="s">
        <v>13</v>
      </c>
    </row>
    <row r="4" spans="1:11" ht="15" customHeight="1" x14ac:dyDescent="0.25">
      <c r="D4" s="311"/>
      <c r="E4" s="311"/>
      <c r="F4" s="311"/>
      <c r="G4" s="311"/>
      <c r="H4" s="311"/>
      <c r="I4" s="311"/>
      <c r="J4" s="311"/>
      <c r="K4" s="7"/>
    </row>
    <row r="5" spans="1:11" ht="15" customHeight="1" thickBot="1" x14ac:dyDescent="0.3">
      <c r="D5" s="8"/>
      <c r="E5" s="9"/>
      <c r="F5" s="9"/>
      <c r="H5" s="9"/>
      <c r="I5" s="9"/>
      <c r="J5" s="9"/>
      <c r="K5" s="10"/>
    </row>
    <row r="6" spans="1:11" s="3" customFormat="1" ht="15" customHeight="1" x14ac:dyDescent="0.25">
      <c r="D6" s="11"/>
      <c r="H6" s="312" t="s">
        <v>14</v>
      </c>
      <c r="I6" s="313"/>
      <c r="K6" s="11"/>
    </row>
    <row r="7" spans="1:11" s="3" customFormat="1" ht="15.75" x14ac:dyDescent="0.25">
      <c r="G7" s="12"/>
      <c r="H7" s="308" t="s">
        <v>15</v>
      </c>
      <c r="I7" s="309"/>
      <c r="J7" s="11"/>
    </row>
    <row r="8" spans="1:11" s="3" customFormat="1" ht="78.75" x14ac:dyDescent="0.25">
      <c r="A8" s="13" t="s">
        <v>16</v>
      </c>
      <c r="B8" s="13" t="s">
        <v>17</v>
      </c>
      <c r="C8" s="12" t="s">
        <v>18</v>
      </c>
      <c r="D8" s="12" t="s">
        <v>19</v>
      </c>
      <c r="E8" s="14" t="s">
        <v>20</v>
      </c>
      <c r="F8" s="12" t="s">
        <v>21</v>
      </c>
      <c r="G8" s="11" t="s">
        <v>22</v>
      </c>
      <c r="H8" s="15" t="s">
        <v>23</v>
      </c>
      <c r="I8" s="16" t="s">
        <v>24</v>
      </c>
      <c r="J8" s="17" t="s">
        <v>25</v>
      </c>
      <c r="K8" s="11" t="s">
        <v>26</v>
      </c>
    </row>
    <row r="9" spans="1:11" ht="15" customHeight="1" x14ac:dyDescent="0.25">
      <c r="A9" s="18"/>
      <c r="B9" s="19" t="s">
        <v>27</v>
      </c>
      <c r="C9" s="19" t="s">
        <v>28</v>
      </c>
      <c r="D9" s="19" t="s">
        <v>29</v>
      </c>
      <c r="E9" s="19" t="s">
        <v>30</v>
      </c>
      <c r="F9" s="19" t="s">
        <v>31</v>
      </c>
      <c r="G9" s="19" t="s">
        <v>32</v>
      </c>
      <c r="H9" s="20" t="s">
        <v>33</v>
      </c>
      <c r="I9" s="21" t="s">
        <v>34</v>
      </c>
      <c r="J9" s="19" t="s">
        <v>35</v>
      </c>
      <c r="K9" s="19" t="s">
        <v>36</v>
      </c>
    </row>
    <row r="10" spans="1:11" ht="15" customHeight="1" x14ac:dyDescent="0.25">
      <c r="B10" s="22"/>
      <c r="C10" s="11"/>
      <c r="D10" s="23"/>
      <c r="E10" s="11"/>
      <c r="F10" s="11"/>
      <c r="G10" s="11"/>
      <c r="H10" s="24"/>
      <c r="I10" s="25"/>
      <c r="J10" s="11"/>
      <c r="K10" s="11"/>
    </row>
    <row r="11" spans="1:11" ht="15" customHeight="1" x14ac:dyDescent="0.25">
      <c r="A11" s="11">
        <v>1</v>
      </c>
      <c r="B11" s="26" t="str">
        <f>+'Balances at 7-31-2024'!A16</f>
        <v>CORE Conservation</v>
      </c>
      <c r="C11" s="27">
        <f>+'Balances at 7-31-2024'!D16</f>
        <v>17297075.32</v>
      </c>
      <c r="D11" s="28">
        <f>+EstimatedBalances!H16</f>
        <v>-1205302.2099999983</v>
      </c>
      <c r="E11" s="28">
        <f>+' Int during Amort'!S26</f>
        <v>539473.91006824386</v>
      </c>
      <c r="F11" s="28">
        <f>((C11+D11+E11)/(1-0.04423))-(C11+D11+E11)</f>
        <v>769641.28995220549</v>
      </c>
      <c r="G11" s="28">
        <f>SUM(C11:F11)</f>
        <v>17400888.310020451</v>
      </c>
      <c r="H11" s="29"/>
      <c r="I11" s="30"/>
      <c r="K11" s="2" t="s">
        <v>37</v>
      </c>
    </row>
    <row r="12" spans="1:11" ht="15" customHeight="1" x14ac:dyDescent="0.25">
      <c r="A12" s="11">
        <v>2</v>
      </c>
      <c r="C12" s="27"/>
      <c r="D12" s="28"/>
      <c r="E12" s="26" t="s">
        <v>38</v>
      </c>
      <c r="F12" s="26"/>
      <c r="G12" s="31">
        <f>+'Test Period Volumes'!I35</f>
        <v>276260819</v>
      </c>
      <c r="H12" s="32">
        <f>ROUND(G11/G12,5)</f>
        <v>6.2990000000000004E-2</v>
      </c>
      <c r="I12" s="33">
        <f>ROUND(G11/G12,5)</f>
        <v>6.2990000000000004E-2</v>
      </c>
      <c r="J12" s="11" t="s">
        <v>39</v>
      </c>
      <c r="K12" s="26" t="s">
        <v>40</v>
      </c>
    </row>
    <row r="13" spans="1:11" ht="15" customHeight="1" x14ac:dyDescent="0.25">
      <c r="A13" s="11"/>
      <c r="C13" s="27"/>
      <c r="D13" s="28"/>
      <c r="E13" s="28"/>
      <c r="F13" s="28"/>
      <c r="G13" s="31"/>
      <c r="H13" s="32"/>
      <c r="I13" s="33"/>
      <c r="J13" s="11"/>
      <c r="K13" s="26"/>
    </row>
    <row r="14" spans="1:11" ht="15" customHeight="1" x14ac:dyDescent="0.25">
      <c r="A14" s="11"/>
      <c r="C14" s="34"/>
      <c r="D14" s="28"/>
      <c r="E14" s="26"/>
      <c r="F14" s="26"/>
      <c r="G14" s="31"/>
      <c r="H14" s="32"/>
      <c r="I14" s="33"/>
      <c r="J14" s="11"/>
      <c r="K14" s="26"/>
    </row>
    <row r="15" spans="1:11" ht="22.5" customHeight="1" thickBot="1" x14ac:dyDescent="0.3">
      <c r="A15" s="11">
        <v>3</v>
      </c>
      <c r="B15" s="35" t="s">
        <v>41</v>
      </c>
      <c r="C15" s="36">
        <f>+C11</f>
        <v>17297075.32</v>
      </c>
      <c r="D15" s="36">
        <f>+D11</f>
        <v>-1205302.2099999983</v>
      </c>
      <c r="E15" s="36">
        <f t="shared" ref="E15:F15" si="0">+E11</f>
        <v>539473.91006824386</v>
      </c>
      <c r="F15" s="36">
        <f t="shared" si="0"/>
        <v>769641.28995220549</v>
      </c>
      <c r="G15" s="36">
        <f>+G11</f>
        <v>17400888.310020451</v>
      </c>
      <c r="H15" s="37">
        <f>+H12</f>
        <v>6.2990000000000004E-2</v>
      </c>
      <c r="I15" s="38">
        <f>+I12</f>
        <v>6.2990000000000004E-2</v>
      </c>
    </row>
    <row r="16" spans="1:11" ht="15" customHeight="1" x14ac:dyDescent="0.25">
      <c r="A16" s="11"/>
    </row>
    <row r="19" spans="1:9" ht="15" customHeight="1" x14ac:dyDescent="0.25">
      <c r="A19" s="11"/>
      <c r="I19" s="39"/>
    </row>
    <row r="22" spans="1:9" ht="15" customHeight="1" x14ac:dyDescent="0.25">
      <c r="A22" s="11"/>
    </row>
    <row r="25" spans="1:9" ht="15" customHeight="1" x14ac:dyDescent="0.25">
      <c r="A25" s="11"/>
    </row>
    <row r="27" spans="1:9" ht="15" customHeight="1" x14ac:dyDescent="0.25">
      <c r="A27" s="11"/>
    </row>
    <row r="29" spans="1:9" ht="15" customHeight="1" x14ac:dyDescent="0.25">
      <c r="A29" s="11"/>
    </row>
    <row r="30" spans="1:9" ht="15" customHeight="1" x14ac:dyDescent="0.25">
      <c r="A30" s="11"/>
    </row>
    <row r="31" spans="1:9" ht="15" customHeight="1" x14ac:dyDescent="0.25">
      <c r="A31" s="11"/>
    </row>
  </sheetData>
  <mergeCells count="6">
    <mergeCell ref="H7:I7"/>
    <mergeCell ref="D1:J1"/>
    <mergeCell ref="D2:J2"/>
    <mergeCell ref="D3:J3"/>
    <mergeCell ref="D4:J4"/>
    <mergeCell ref="H6:I6"/>
  </mergeCells>
  <printOptions horizontalCentered="1"/>
  <pageMargins left="0.2" right="0.2" top="1" bottom="0.17" header="0.35" footer="0.5"/>
  <pageSetup scale="75" orientation="landscape" r:id="rId1"/>
  <headerFooter scaleWithDoc="0"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FBC0-53C4-4D83-B508-C257D9CE9258}">
  <sheetPr>
    <pageSetUpPr fitToPage="1"/>
  </sheetPr>
  <dimension ref="B1:W27"/>
  <sheetViews>
    <sheetView view="pageBreakPreview" zoomScale="60" zoomScaleNormal="100" workbookViewId="0">
      <selection activeCell="F12" sqref="F12"/>
    </sheetView>
  </sheetViews>
  <sheetFormatPr defaultColWidth="10.6640625" defaultRowHeight="15" x14ac:dyDescent="0.25"/>
  <cols>
    <col min="1" max="1" width="10.6640625" style="40"/>
    <col min="2" max="2" width="5" style="40" customWidth="1"/>
    <col min="3" max="3" width="26" style="40" customWidth="1"/>
    <col min="4" max="4" width="14.1640625" style="40" customWidth="1"/>
    <col min="5" max="5" width="19.6640625" style="40" bestFit="1" customWidth="1"/>
    <col min="6" max="6" width="16" style="40" customWidth="1"/>
    <col min="7" max="7" width="18.33203125" style="40" customWidth="1"/>
    <col min="8" max="8" width="17.83203125" style="40" customWidth="1"/>
    <col min="9" max="9" width="16.1640625" style="40" customWidth="1"/>
    <col min="10" max="10" width="18" style="40" customWidth="1"/>
    <col min="11" max="11" width="16.1640625" style="40" customWidth="1"/>
    <col min="12" max="13" width="13.83203125" style="40" customWidth="1"/>
    <col min="14" max="14" width="14.83203125" style="40" customWidth="1"/>
    <col min="15" max="15" width="13.33203125" style="40" customWidth="1"/>
    <col min="16" max="16" width="19.6640625" style="40" customWidth="1"/>
    <col min="17" max="18" width="13.33203125" style="40" customWidth="1"/>
    <col min="19" max="19" width="16" style="40" customWidth="1"/>
    <col min="20" max="20" width="14.1640625" style="40" customWidth="1"/>
    <col min="21" max="21" width="17" style="40" customWidth="1"/>
    <col min="22" max="22" width="14.1640625" style="40" customWidth="1"/>
    <col min="23" max="16384" width="10.6640625" style="40"/>
  </cols>
  <sheetData>
    <row r="1" spans="2:16" ht="15.75" customHeight="1" x14ac:dyDescent="0.25">
      <c r="B1" s="41"/>
      <c r="C1" s="41"/>
      <c r="H1" s="5" t="str">
        <f>+'CPA Summary of Def. Accts.'!K1</f>
        <v>CNGC Advice W24-09-05</v>
      </c>
      <c r="I1" s="41"/>
    </row>
    <row r="2" spans="2:16" ht="15.75" customHeight="1" x14ac:dyDescent="0.25">
      <c r="B2" s="41"/>
      <c r="C2" s="41"/>
      <c r="H2" s="7" t="s">
        <v>11</v>
      </c>
      <c r="I2" s="41"/>
    </row>
    <row r="3" spans="2:16" ht="15.75" customHeight="1" x14ac:dyDescent="0.25">
      <c r="B3" s="41"/>
      <c r="C3" s="41"/>
      <c r="H3" s="7" t="s">
        <v>42</v>
      </c>
      <c r="I3" s="41"/>
    </row>
    <row r="4" spans="2:16" ht="15.75" customHeight="1" x14ac:dyDescent="0.25">
      <c r="B4" s="41"/>
      <c r="C4" s="41"/>
      <c r="D4" s="314" t="s">
        <v>9</v>
      </c>
      <c r="E4" s="314"/>
      <c r="F4" s="314"/>
      <c r="G4" s="314"/>
      <c r="H4" s="42"/>
      <c r="I4" s="42"/>
      <c r="J4" s="43"/>
      <c r="K4" s="43"/>
      <c r="L4" s="43"/>
      <c r="M4" s="43"/>
      <c r="N4" s="43"/>
      <c r="O4" s="43"/>
      <c r="P4" s="43"/>
    </row>
    <row r="5" spans="2:16" ht="15.75" customHeight="1" x14ac:dyDescent="0.25">
      <c r="B5" s="41"/>
      <c r="C5" s="314" t="s">
        <v>43</v>
      </c>
      <c r="D5" s="314"/>
      <c r="E5" s="314"/>
      <c r="F5" s="314"/>
      <c r="G5" s="314"/>
      <c r="H5" s="314"/>
      <c r="I5" s="42"/>
      <c r="J5" s="43"/>
      <c r="K5" s="43"/>
      <c r="L5" s="43"/>
      <c r="M5" s="43"/>
      <c r="N5" s="43"/>
      <c r="O5" s="43"/>
      <c r="P5" s="43"/>
    </row>
    <row r="6" spans="2:16" ht="15.75" customHeight="1" x14ac:dyDescent="0.25">
      <c r="B6" s="41"/>
      <c r="C6" s="41"/>
      <c r="D6" s="314" t="s">
        <v>44</v>
      </c>
      <c r="E6" s="314"/>
      <c r="F6" s="314"/>
      <c r="G6" s="314"/>
      <c r="H6" s="42"/>
      <c r="I6" s="42"/>
      <c r="J6" s="43"/>
      <c r="K6" s="43"/>
      <c r="L6" s="43"/>
      <c r="M6" s="43"/>
      <c r="N6" s="43"/>
      <c r="O6" s="43"/>
      <c r="P6" s="43"/>
    </row>
    <row r="7" spans="2:16" ht="15.75" customHeight="1" x14ac:dyDescent="0.25">
      <c r="B7" s="41"/>
      <c r="C7" s="41"/>
      <c r="D7" s="314" t="s">
        <v>12</v>
      </c>
      <c r="E7" s="314"/>
      <c r="F7" s="314"/>
      <c r="G7" s="314"/>
      <c r="H7" s="42"/>
      <c r="I7" s="42"/>
      <c r="J7" s="43"/>
      <c r="K7" s="43"/>
      <c r="L7" s="43"/>
      <c r="M7" s="43"/>
      <c r="N7" s="43"/>
      <c r="O7" s="43"/>
      <c r="P7" s="43"/>
    </row>
    <row r="8" spans="2:16" ht="15.75" x14ac:dyDescent="0.25">
      <c r="B8" s="41"/>
      <c r="C8" s="41"/>
      <c r="D8" s="41"/>
      <c r="E8" s="41"/>
      <c r="F8" s="41"/>
      <c r="G8" s="42"/>
      <c r="H8" s="41"/>
      <c r="I8" s="41"/>
    </row>
    <row r="9" spans="2:16" s="44" customFormat="1" ht="63" x14ac:dyDescent="0.25">
      <c r="B9" s="45" t="s">
        <v>45</v>
      </c>
      <c r="C9" s="46" t="s">
        <v>3</v>
      </c>
      <c r="D9" s="46" t="s">
        <v>46</v>
      </c>
      <c r="E9" s="47" t="s">
        <v>47</v>
      </c>
      <c r="F9" s="48" t="s">
        <v>48</v>
      </c>
      <c r="G9" s="47" t="s">
        <v>49</v>
      </c>
      <c r="H9" s="47" t="s">
        <v>50</v>
      </c>
      <c r="I9" s="49"/>
      <c r="J9" s="50"/>
      <c r="K9" s="50"/>
      <c r="L9" s="50"/>
    </row>
    <row r="10" spans="2:16" ht="15.75" x14ac:dyDescent="0.25">
      <c r="B10" s="51" t="s">
        <v>51</v>
      </c>
      <c r="C10" s="52" t="s">
        <v>27</v>
      </c>
      <c r="D10" s="52" t="s">
        <v>28</v>
      </c>
      <c r="E10" s="53" t="s">
        <v>29</v>
      </c>
      <c r="F10" s="54" t="s">
        <v>30</v>
      </c>
      <c r="G10" s="53" t="s">
        <v>31</v>
      </c>
      <c r="H10" s="55" t="s">
        <v>52</v>
      </c>
      <c r="I10" s="42"/>
      <c r="J10" s="43"/>
      <c r="K10" s="43"/>
      <c r="L10" s="43"/>
    </row>
    <row r="11" spans="2:16" ht="16.5" customHeight="1" x14ac:dyDescent="0.25">
      <c r="B11" s="56"/>
      <c r="C11" s="57" t="s">
        <v>53</v>
      </c>
      <c r="D11" s="58"/>
      <c r="E11" s="58"/>
      <c r="F11" s="58"/>
      <c r="G11" s="59"/>
      <c r="H11" s="58"/>
      <c r="I11" s="41"/>
    </row>
    <row r="12" spans="2:16" ht="15.75" x14ac:dyDescent="0.25">
      <c r="B12" s="51">
        <v>1</v>
      </c>
      <c r="C12" s="60" t="s">
        <v>54</v>
      </c>
      <c r="D12" s="61">
        <v>503</v>
      </c>
      <c r="E12" s="62">
        <v>-4.6559999999999997E-2</v>
      </c>
      <c r="F12" s="62">
        <f>+'CPA Summary of Def. Accts.'!H15</f>
        <v>6.2990000000000004E-2</v>
      </c>
      <c r="G12" s="63">
        <f t="shared" ref="G12:G16" si="0">SUM(E12:F12)</f>
        <v>1.6430000000000007E-2</v>
      </c>
      <c r="H12" s="64">
        <f t="shared" ref="H12:H16" si="1">+F12</f>
        <v>6.2990000000000004E-2</v>
      </c>
      <c r="I12" s="65"/>
      <c r="J12" s="66"/>
      <c r="K12" s="67"/>
      <c r="L12" s="67"/>
    </row>
    <row r="13" spans="2:16" ht="15.75" x14ac:dyDescent="0.25">
      <c r="B13" s="51">
        <v>2</v>
      </c>
      <c r="C13" s="60" t="s">
        <v>55</v>
      </c>
      <c r="D13" s="61">
        <v>504</v>
      </c>
      <c r="E13" s="62">
        <f>+E12</f>
        <v>-4.6559999999999997E-2</v>
      </c>
      <c r="F13" s="62">
        <f t="shared" ref="F13" si="2">F12</f>
        <v>6.2990000000000004E-2</v>
      </c>
      <c r="G13" s="63">
        <f t="shared" si="0"/>
        <v>1.6430000000000007E-2</v>
      </c>
      <c r="H13" s="64">
        <f t="shared" si="1"/>
        <v>6.2990000000000004E-2</v>
      </c>
      <c r="I13" s="65"/>
      <c r="J13" s="66"/>
      <c r="K13" s="67"/>
      <c r="L13" s="67"/>
    </row>
    <row r="14" spans="2:16" ht="15.75" x14ac:dyDescent="0.25">
      <c r="B14" s="51">
        <v>3</v>
      </c>
      <c r="C14" s="60" t="s">
        <v>56</v>
      </c>
      <c r="D14" s="68">
        <v>511</v>
      </c>
      <c r="E14" s="62">
        <f>+E12</f>
        <v>-4.6559999999999997E-2</v>
      </c>
      <c r="F14" s="62">
        <f>+F12</f>
        <v>6.2990000000000004E-2</v>
      </c>
      <c r="G14" s="63">
        <f t="shared" si="0"/>
        <v>1.6430000000000007E-2</v>
      </c>
      <c r="H14" s="64">
        <f t="shared" si="1"/>
        <v>6.2990000000000004E-2</v>
      </c>
      <c r="I14" s="65"/>
      <c r="J14" s="66"/>
      <c r="K14" s="67"/>
      <c r="L14" s="67"/>
    </row>
    <row r="15" spans="2:16" ht="15.75" x14ac:dyDescent="0.25">
      <c r="B15" s="51">
        <v>4</v>
      </c>
      <c r="C15" s="60" t="s">
        <v>57</v>
      </c>
      <c r="D15" s="68">
        <v>505</v>
      </c>
      <c r="E15" s="62">
        <f>+E12</f>
        <v>-4.6559999999999997E-2</v>
      </c>
      <c r="F15" s="62">
        <f>+F12</f>
        <v>6.2990000000000004E-2</v>
      </c>
      <c r="G15" s="63">
        <f t="shared" si="0"/>
        <v>1.6430000000000007E-2</v>
      </c>
      <c r="H15" s="64">
        <f t="shared" si="1"/>
        <v>6.2990000000000004E-2</v>
      </c>
      <c r="I15" s="65"/>
      <c r="J15" s="66"/>
      <c r="K15" s="67"/>
      <c r="L15" s="67"/>
    </row>
    <row r="16" spans="2:16" ht="15.75" x14ac:dyDescent="0.25">
      <c r="B16" s="51">
        <v>5</v>
      </c>
      <c r="C16" s="60" t="s">
        <v>58</v>
      </c>
      <c r="D16" s="68">
        <v>570</v>
      </c>
      <c r="E16" s="62">
        <f>+E12</f>
        <v>-4.6559999999999997E-2</v>
      </c>
      <c r="F16" s="62">
        <f>'CPA Summary of Def. Accts.'!I15</f>
        <v>6.2990000000000004E-2</v>
      </c>
      <c r="G16" s="63">
        <f t="shared" si="0"/>
        <v>1.6430000000000007E-2</v>
      </c>
      <c r="H16" s="64">
        <f t="shared" si="1"/>
        <v>6.2990000000000004E-2</v>
      </c>
      <c r="I16" s="65"/>
      <c r="J16" s="66"/>
      <c r="K16" s="67"/>
      <c r="L16" s="67"/>
    </row>
    <row r="17" spans="2:23" ht="15.75" x14ac:dyDescent="0.25">
      <c r="B17" s="69"/>
      <c r="C17" s="70"/>
      <c r="D17" s="71"/>
      <c r="E17" s="71"/>
      <c r="F17" s="71"/>
      <c r="G17" s="72"/>
      <c r="H17" s="71"/>
      <c r="I17" s="73"/>
      <c r="J17" s="66"/>
      <c r="K17" s="67"/>
      <c r="L17" s="67"/>
    </row>
    <row r="18" spans="2:23" ht="15.75" x14ac:dyDescent="0.25">
      <c r="B18" s="74"/>
      <c r="C18" s="60"/>
      <c r="D18" s="41"/>
      <c r="E18" s="41"/>
      <c r="F18" s="41"/>
      <c r="G18" s="41"/>
      <c r="H18" s="73"/>
      <c r="I18" s="73"/>
      <c r="J18" s="66"/>
      <c r="K18" s="66"/>
      <c r="L18" s="66"/>
    </row>
    <row r="19" spans="2:23" ht="15.75" x14ac:dyDescent="0.25">
      <c r="C19" s="75"/>
      <c r="D19" s="41"/>
      <c r="E19" s="41"/>
      <c r="F19" s="41"/>
      <c r="G19" s="41"/>
      <c r="H19" s="76"/>
      <c r="I19" s="41"/>
      <c r="R19" s="67"/>
      <c r="S19" s="67"/>
      <c r="T19" s="67"/>
      <c r="U19" s="67"/>
      <c r="V19" s="67"/>
      <c r="W19" s="67"/>
    </row>
    <row r="20" spans="2:23" ht="15.75" x14ac:dyDescent="0.25">
      <c r="D20" s="41"/>
      <c r="E20" s="41"/>
      <c r="F20" s="41"/>
      <c r="G20" s="42"/>
      <c r="H20" s="76"/>
      <c r="I20" s="41"/>
      <c r="R20" s="67"/>
      <c r="S20" s="67"/>
      <c r="T20" s="67"/>
      <c r="U20" s="67"/>
      <c r="V20" s="67"/>
    </row>
    <row r="21" spans="2:23" ht="15.75" x14ac:dyDescent="0.25">
      <c r="B21" s="41"/>
      <c r="C21" s="75"/>
      <c r="D21" s="41"/>
      <c r="E21" s="41"/>
      <c r="F21" s="41"/>
      <c r="G21" s="42"/>
      <c r="H21" s="76"/>
      <c r="I21" s="41"/>
      <c r="R21" s="67"/>
      <c r="S21" s="67"/>
      <c r="T21" s="67"/>
      <c r="U21" s="67"/>
      <c r="V21" s="67"/>
    </row>
    <row r="22" spans="2:23" ht="15.75" x14ac:dyDescent="0.25">
      <c r="B22" s="41"/>
      <c r="C22" s="60"/>
      <c r="D22" s="41"/>
      <c r="E22" s="41"/>
      <c r="F22" s="41"/>
      <c r="G22" s="42"/>
      <c r="H22" s="76"/>
      <c r="I22" s="41"/>
    </row>
    <row r="23" spans="2:23" ht="15.75" x14ac:dyDescent="0.25">
      <c r="B23" s="41"/>
      <c r="C23" s="60"/>
      <c r="D23" s="41"/>
      <c r="E23" s="41"/>
      <c r="F23" s="41"/>
      <c r="G23" s="42"/>
      <c r="H23" s="77"/>
      <c r="I23" s="77"/>
      <c r="J23" s="78"/>
    </row>
    <row r="24" spans="2:23" x14ac:dyDescent="0.25">
      <c r="G24" s="79"/>
      <c r="L24" s="78"/>
    </row>
    <row r="25" spans="2:23" x14ac:dyDescent="0.25">
      <c r="G25" s="80"/>
      <c r="L25" s="78"/>
    </row>
    <row r="26" spans="2:23" x14ac:dyDescent="0.25">
      <c r="L26" s="78"/>
    </row>
    <row r="27" spans="2:23" x14ac:dyDescent="0.25">
      <c r="L27" s="78"/>
    </row>
  </sheetData>
  <mergeCells count="4">
    <mergeCell ref="D4:G4"/>
    <mergeCell ref="C5:H5"/>
    <mergeCell ref="D6:G6"/>
    <mergeCell ref="D7:G7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DFC1-6A19-4B9A-885D-69B82053116E}">
  <sheetPr>
    <pageSetUpPr fitToPage="1"/>
  </sheetPr>
  <dimension ref="A2:Q18"/>
  <sheetViews>
    <sheetView workbookViewId="0">
      <selection activeCell="F12" sqref="F12"/>
    </sheetView>
  </sheetViews>
  <sheetFormatPr defaultRowHeight="15.75" x14ac:dyDescent="0.25"/>
  <cols>
    <col min="1" max="1" width="5.5" style="74" bestFit="1" customWidth="1"/>
    <col min="2" max="2" width="9.33203125" style="81"/>
    <col min="3" max="3" width="19.5" style="81" customWidth="1"/>
    <col min="4" max="4" width="13.5" style="81" customWidth="1"/>
    <col min="5" max="5" width="11.5" style="81" bestFit="1" customWidth="1"/>
    <col min="6" max="6" width="18.5" style="81" bestFit="1" customWidth="1"/>
    <col min="7" max="7" width="1.33203125" style="81" customWidth="1"/>
    <col min="8" max="8" width="16.33203125" style="81" bestFit="1" customWidth="1"/>
    <col min="9" max="10" width="1.33203125" style="81" customWidth="1"/>
    <col min="11" max="11" width="15.33203125" style="124" customWidth="1"/>
    <col min="12" max="12" width="24.1640625" style="81" bestFit="1" customWidth="1"/>
    <col min="13" max="13" width="12.83203125" style="81" bestFit="1" customWidth="1"/>
    <col min="14" max="250" width="9.33203125" style="81"/>
    <col min="251" max="251" width="5" style="81" customWidth="1"/>
    <col min="252" max="252" width="9.33203125" style="81"/>
    <col min="253" max="253" width="21.6640625" style="81" customWidth="1"/>
    <col min="254" max="254" width="13.5" style="81" customWidth="1"/>
    <col min="255" max="255" width="10.5" style="81" customWidth="1"/>
    <col min="256" max="256" width="15.1640625" style="81" customWidth="1"/>
    <col min="257" max="257" width="3.6640625" style="81" customWidth="1"/>
    <col min="258" max="258" width="13.1640625" style="81" customWidth="1"/>
    <col min="259" max="259" width="3.83203125" style="81" customWidth="1"/>
    <col min="260" max="260" width="15" style="81" customWidth="1"/>
    <col min="261" max="261" width="3.6640625" style="81" customWidth="1"/>
    <col min="262" max="263" width="13" style="81" customWidth="1"/>
    <col min="264" max="264" width="0" style="81" hidden="1" customWidth="1"/>
    <col min="265" max="266" width="9.33203125" style="81"/>
    <col min="267" max="267" width="15.83203125" style="81" customWidth="1"/>
    <col min="268" max="506" width="9.33203125" style="81"/>
    <col min="507" max="507" width="5" style="81" customWidth="1"/>
    <col min="508" max="508" width="9.33203125" style="81"/>
    <col min="509" max="509" width="21.6640625" style="81" customWidth="1"/>
    <col min="510" max="510" width="13.5" style="81" customWidth="1"/>
    <col min="511" max="511" width="10.5" style="81" customWidth="1"/>
    <col min="512" max="512" width="15.1640625" style="81" customWidth="1"/>
    <col min="513" max="513" width="3.6640625" style="81" customWidth="1"/>
    <col min="514" max="514" width="13.1640625" style="81" customWidth="1"/>
    <col min="515" max="515" width="3.83203125" style="81" customWidth="1"/>
    <col min="516" max="516" width="15" style="81" customWidth="1"/>
    <col min="517" max="517" width="3.6640625" style="81" customWidth="1"/>
    <col min="518" max="519" width="13" style="81" customWidth="1"/>
    <col min="520" max="520" width="0" style="81" hidden="1" customWidth="1"/>
    <col min="521" max="522" width="9.33203125" style="81"/>
    <col min="523" max="523" width="15.83203125" style="81" customWidth="1"/>
    <col min="524" max="762" width="9.33203125" style="81"/>
    <col min="763" max="763" width="5" style="81" customWidth="1"/>
    <col min="764" max="764" width="9.33203125" style="81"/>
    <col min="765" max="765" width="21.6640625" style="81" customWidth="1"/>
    <col min="766" max="766" width="13.5" style="81" customWidth="1"/>
    <col min="767" max="767" width="10.5" style="81" customWidth="1"/>
    <col min="768" max="768" width="15.1640625" style="81" customWidth="1"/>
    <col min="769" max="769" width="3.6640625" style="81" customWidth="1"/>
    <col min="770" max="770" width="13.1640625" style="81" customWidth="1"/>
    <col min="771" max="771" width="3.83203125" style="81" customWidth="1"/>
    <col min="772" max="772" width="15" style="81" customWidth="1"/>
    <col min="773" max="773" width="3.6640625" style="81" customWidth="1"/>
    <col min="774" max="775" width="13" style="81" customWidth="1"/>
    <col min="776" max="776" width="0" style="81" hidden="1" customWidth="1"/>
    <col min="777" max="778" width="9.33203125" style="81"/>
    <col min="779" max="779" width="15.83203125" style="81" customWidth="1"/>
    <col min="780" max="1018" width="9.33203125" style="81"/>
    <col min="1019" max="1019" width="5" style="81" customWidth="1"/>
    <col min="1020" max="1020" width="9.33203125" style="81"/>
    <col min="1021" max="1021" width="21.6640625" style="81" customWidth="1"/>
    <col min="1022" max="1022" width="13.5" style="81" customWidth="1"/>
    <col min="1023" max="1023" width="10.5" style="81" customWidth="1"/>
    <col min="1024" max="1024" width="15.1640625" style="81" customWidth="1"/>
    <col min="1025" max="1025" width="3.6640625" style="81" customWidth="1"/>
    <col min="1026" max="1026" width="13.1640625" style="81" customWidth="1"/>
    <col min="1027" max="1027" width="3.83203125" style="81" customWidth="1"/>
    <col min="1028" max="1028" width="15" style="81" customWidth="1"/>
    <col min="1029" max="1029" width="3.6640625" style="81" customWidth="1"/>
    <col min="1030" max="1031" width="13" style="81" customWidth="1"/>
    <col min="1032" max="1032" width="0" style="81" hidden="1" customWidth="1"/>
    <col min="1033" max="1034" width="9.33203125" style="81"/>
    <col min="1035" max="1035" width="15.83203125" style="81" customWidth="1"/>
    <col min="1036" max="1274" width="9.33203125" style="81"/>
    <col min="1275" max="1275" width="5" style="81" customWidth="1"/>
    <col min="1276" max="1276" width="9.33203125" style="81"/>
    <col min="1277" max="1277" width="21.6640625" style="81" customWidth="1"/>
    <col min="1278" max="1278" width="13.5" style="81" customWidth="1"/>
    <col min="1279" max="1279" width="10.5" style="81" customWidth="1"/>
    <col min="1280" max="1280" width="15.1640625" style="81" customWidth="1"/>
    <col min="1281" max="1281" width="3.6640625" style="81" customWidth="1"/>
    <col min="1282" max="1282" width="13.1640625" style="81" customWidth="1"/>
    <col min="1283" max="1283" width="3.83203125" style="81" customWidth="1"/>
    <col min="1284" max="1284" width="15" style="81" customWidth="1"/>
    <col min="1285" max="1285" width="3.6640625" style="81" customWidth="1"/>
    <col min="1286" max="1287" width="13" style="81" customWidth="1"/>
    <col min="1288" max="1288" width="0" style="81" hidden="1" customWidth="1"/>
    <col min="1289" max="1290" width="9.33203125" style="81"/>
    <col min="1291" max="1291" width="15.83203125" style="81" customWidth="1"/>
    <col min="1292" max="1530" width="9.33203125" style="81"/>
    <col min="1531" max="1531" width="5" style="81" customWidth="1"/>
    <col min="1532" max="1532" width="9.33203125" style="81"/>
    <col min="1533" max="1533" width="21.6640625" style="81" customWidth="1"/>
    <col min="1534" max="1534" width="13.5" style="81" customWidth="1"/>
    <col min="1535" max="1535" width="10.5" style="81" customWidth="1"/>
    <col min="1536" max="1536" width="15.1640625" style="81" customWidth="1"/>
    <col min="1537" max="1537" width="3.6640625" style="81" customWidth="1"/>
    <col min="1538" max="1538" width="13.1640625" style="81" customWidth="1"/>
    <col min="1539" max="1539" width="3.83203125" style="81" customWidth="1"/>
    <col min="1540" max="1540" width="15" style="81" customWidth="1"/>
    <col min="1541" max="1541" width="3.6640625" style="81" customWidth="1"/>
    <col min="1542" max="1543" width="13" style="81" customWidth="1"/>
    <col min="1544" max="1544" width="0" style="81" hidden="1" customWidth="1"/>
    <col min="1545" max="1546" width="9.33203125" style="81"/>
    <col min="1547" max="1547" width="15.83203125" style="81" customWidth="1"/>
    <col min="1548" max="1786" width="9.33203125" style="81"/>
    <col min="1787" max="1787" width="5" style="81" customWidth="1"/>
    <col min="1788" max="1788" width="9.33203125" style="81"/>
    <col min="1789" max="1789" width="21.6640625" style="81" customWidth="1"/>
    <col min="1790" max="1790" width="13.5" style="81" customWidth="1"/>
    <col min="1791" max="1791" width="10.5" style="81" customWidth="1"/>
    <col min="1792" max="1792" width="15.1640625" style="81" customWidth="1"/>
    <col min="1793" max="1793" width="3.6640625" style="81" customWidth="1"/>
    <col min="1794" max="1794" width="13.1640625" style="81" customWidth="1"/>
    <col min="1795" max="1795" width="3.83203125" style="81" customWidth="1"/>
    <col min="1796" max="1796" width="15" style="81" customWidth="1"/>
    <col min="1797" max="1797" width="3.6640625" style="81" customWidth="1"/>
    <col min="1798" max="1799" width="13" style="81" customWidth="1"/>
    <col min="1800" max="1800" width="0" style="81" hidden="1" customWidth="1"/>
    <col min="1801" max="1802" width="9.33203125" style="81"/>
    <col min="1803" max="1803" width="15.83203125" style="81" customWidth="1"/>
    <col min="1804" max="2042" width="9.33203125" style="81"/>
    <col min="2043" max="2043" width="5" style="81" customWidth="1"/>
    <col min="2044" max="2044" width="9.33203125" style="81"/>
    <col min="2045" max="2045" width="21.6640625" style="81" customWidth="1"/>
    <col min="2046" max="2046" width="13.5" style="81" customWidth="1"/>
    <col min="2047" max="2047" width="10.5" style="81" customWidth="1"/>
    <col min="2048" max="2048" width="15.1640625" style="81" customWidth="1"/>
    <col min="2049" max="2049" width="3.6640625" style="81" customWidth="1"/>
    <col min="2050" max="2050" width="13.1640625" style="81" customWidth="1"/>
    <col min="2051" max="2051" width="3.83203125" style="81" customWidth="1"/>
    <col min="2052" max="2052" width="15" style="81" customWidth="1"/>
    <col min="2053" max="2053" width="3.6640625" style="81" customWidth="1"/>
    <col min="2054" max="2055" width="13" style="81" customWidth="1"/>
    <col min="2056" max="2056" width="0" style="81" hidden="1" customWidth="1"/>
    <col min="2057" max="2058" width="9.33203125" style="81"/>
    <col min="2059" max="2059" width="15.83203125" style="81" customWidth="1"/>
    <col min="2060" max="2298" width="9.33203125" style="81"/>
    <col min="2299" max="2299" width="5" style="81" customWidth="1"/>
    <col min="2300" max="2300" width="9.33203125" style="81"/>
    <col min="2301" max="2301" width="21.6640625" style="81" customWidth="1"/>
    <col min="2302" max="2302" width="13.5" style="81" customWidth="1"/>
    <col min="2303" max="2303" width="10.5" style="81" customWidth="1"/>
    <col min="2304" max="2304" width="15.1640625" style="81" customWidth="1"/>
    <col min="2305" max="2305" width="3.6640625" style="81" customWidth="1"/>
    <col min="2306" max="2306" width="13.1640625" style="81" customWidth="1"/>
    <col min="2307" max="2307" width="3.83203125" style="81" customWidth="1"/>
    <col min="2308" max="2308" width="15" style="81" customWidth="1"/>
    <col min="2309" max="2309" width="3.6640625" style="81" customWidth="1"/>
    <col min="2310" max="2311" width="13" style="81" customWidth="1"/>
    <col min="2312" max="2312" width="0" style="81" hidden="1" customWidth="1"/>
    <col min="2313" max="2314" width="9.33203125" style="81"/>
    <col min="2315" max="2315" width="15.83203125" style="81" customWidth="1"/>
    <col min="2316" max="2554" width="9.33203125" style="81"/>
    <col min="2555" max="2555" width="5" style="81" customWidth="1"/>
    <col min="2556" max="2556" width="9.33203125" style="81"/>
    <col min="2557" max="2557" width="21.6640625" style="81" customWidth="1"/>
    <col min="2558" max="2558" width="13.5" style="81" customWidth="1"/>
    <col min="2559" max="2559" width="10.5" style="81" customWidth="1"/>
    <col min="2560" max="2560" width="15.1640625" style="81" customWidth="1"/>
    <col min="2561" max="2561" width="3.6640625" style="81" customWidth="1"/>
    <col min="2562" max="2562" width="13.1640625" style="81" customWidth="1"/>
    <col min="2563" max="2563" width="3.83203125" style="81" customWidth="1"/>
    <col min="2564" max="2564" width="15" style="81" customWidth="1"/>
    <col min="2565" max="2565" width="3.6640625" style="81" customWidth="1"/>
    <col min="2566" max="2567" width="13" style="81" customWidth="1"/>
    <col min="2568" max="2568" width="0" style="81" hidden="1" customWidth="1"/>
    <col min="2569" max="2570" width="9.33203125" style="81"/>
    <col min="2571" max="2571" width="15.83203125" style="81" customWidth="1"/>
    <col min="2572" max="2810" width="9.33203125" style="81"/>
    <col min="2811" max="2811" width="5" style="81" customWidth="1"/>
    <col min="2812" max="2812" width="9.33203125" style="81"/>
    <col min="2813" max="2813" width="21.6640625" style="81" customWidth="1"/>
    <col min="2814" max="2814" width="13.5" style="81" customWidth="1"/>
    <col min="2815" max="2815" width="10.5" style="81" customWidth="1"/>
    <col min="2816" max="2816" width="15.1640625" style="81" customWidth="1"/>
    <col min="2817" max="2817" width="3.6640625" style="81" customWidth="1"/>
    <col min="2818" max="2818" width="13.1640625" style="81" customWidth="1"/>
    <col min="2819" max="2819" width="3.83203125" style="81" customWidth="1"/>
    <col min="2820" max="2820" width="15" style="81" customWidth="1"/>
    <col min="2821" max="2821" width="3.6640625" style="81" customWidth="1"/>
    <col min="2822" max="2823" width="13" style="81" customWidth="1"/>
    <col min="2824" max="2824" width="0" style="81" hidden="1" customWidth="1"/>
    <col min="2825" max="2826" width="9.33203125" style="81"/>
    <col min="2827" max="2827" width="15.83203125" style="81" customWidth="1"/>
    <col min="2828" max="3066" width="9.33203125" style="81"/>
    <col min="3067" max="3067" width="5" style="81" customWidth="1"/>
    <col min="3068" max="3068" width="9.33203125" style="81"/>
    <col min="3069" max="3069" width="21.6640625" style="81" customWidth="1"/>
    <col min="3070" max="3070" width="13.5" style="81" customWidth="1"/>
    <col min="3071" max="3071" width="10.5" style="81" customWidth="1"/>
    <col min="3072" max="3072" width="15.1640625" style="81" customWidth="1"/>
    <col min="3073" max="3073" width="3.6640625" style="81" customWidth="1"/>
    <col min="3074" max="3074" width="13.1640625" style="81" customWidth="1"/>
    <col min="3075" max="3075" width="3.83203125" style="81" customWidth="1"/>
    <col min="3076" max="3076" width="15" style="81" customWidth="1"/>
    <col min="3077" max="3077" width="3.6640625" style="81" customWidth="1"/>
    <col min="3078" max="3079" width="13" style="81" customWidth="1"/>
    <col min="3080" max="3080" width="0" style="81" hidden="1" customWidth="1"/>
    <col min="3081" max="3082" width="9.33203125" style="81"/>
    <col min="3083" max="3083" width="15.83203125" style="81" customWidth="1"/>
    <col min="3084" max="3322" width="9.33203125" style="81"/>
    <col min="3323" max="3323" width="5" style="81" customWidth="1"/>
    <col min="3324" max="3324" width="9.33203125" style="81"/>
    <col min="3325" max="3325" width="21.6640625" style="81" customWidth="1"/>
    <col min="3326" max="3326" width="13.5" style="81" customWidth="1"/>
    <col min="3327" max="3327" width="10.5" style="81" customWidth="1"/>
    <col min="3328" max="3328" width="15.1640625" style="81" customWidth="1"/>
    <col min="3329" max="3329" width="3.6640625" style="81" customWidth="1"/>
    <col min="3330" max="3330" width="13.1640625" style="81" customWidth="1"/>
    <col min="3331" max="3331" width="3.83203125" style="81" customWidth="1"/>
    <col min="3332" max="3332" width="15" style="81" customWidth="1"/>
    <col min="3333" max="3333" width="3.6640625" style="81" customWidth="1"/>
    <col min="3334" max="3335" width="13" style="81" customWidth="1"/>
    <col min="3336" max="3336" width="0" style="81" hidden="1" customWidth="1"/>
    <col min="3337" max="3338" width="9.33203125" style="81"/>
    <col min="3339" max="3339" width="15.83203125" style="81" customWidth="1"/>
    <col min="3340" max="3578" width="9.33203125" style="81"/>
    <col min="3579" max="3579" width="5" style="81" customWidth="1"/>
    <col min="3580" max="3580" width="9.33203125" style="81"/>
    <col min="3581" max="3581" width="21.6640625" style="81" customWidth="1"/>
    <col min="3582" max="3582" width="13.5" style="81" customWidth="1"/>
    <col min="3583" max="3583" width="10.5" style="81" customWidth="1"/>
    <col min="3584" max="3584" width="15.1640625" style="81" customWidth="1"/>
    <col min="3585" max="3585" width="3.6640625" style="81" customWidth="1"/>
    <col min="3586" max="3586" width="13.1640625" style="81" customWidth="1"/>
    <col min="3587" max="3587" width="3.83203125" style="81" customWidth="1"/>
    <col min="3588" max="3588" width="15" style="81" customWidth="1"/>
    <col min="3589" max="3589" width="3.6640625" style="81" customWidth="1"/>
    <col min="3590" max="3591" width="13" style="81" customWidth="1"/>
    <col min="3592" max="3592" width="0" style="81" hidden="1" customWidth="1"/>
    <col min="3593" max="3594" width="9.33203125" style="81"/>
    <col min="3595" max="3595" width="15.83203125" style="81" customWidth="1"/>
    <col min="3596" max="3834" width="9.33203125" style="81"/>
    <col min="3835" max="3835" width="5" style="81" customWidth="1"/>
    <col min="3836" max="3836" width="9.33203125" style="81"/>
    <col min="3837" max="3837" width="21.6640625" style="81" customWidth="1"/>
    <col min="3838" max="3838" width="13.5" style="81" customWidth="1"/>
    <col min="3839" max="3839" width="10.5" style="81" customWidth="1"/>
    <col min="3840" max="3840" width="15.1640625" style="81" customWidth="1"/>
    <col min="3841" max="3841" width="3.6640625" style="81" customWidth="1"/>
    <col min="3842" max="3842" width="13.1640625" style="81" customWidth="1"/>
    <col min="3843" max="3843" width="3.83203125" style="81" customWidth="1"/>
    <col min="3844" max="3844" width="15" style="81" customWidth="1"/>
    <col min="3845" max="3845" width="3.6640625" style="81" customWidth="1"/>
    <col min="3846" max="3847" width="13" style="81" customWidth="1"/>
    <col min="3848" max="3848" width="0" style="81" hidden="1" customWidth="1"/>
    <col min="3849" max="3850" width="9.33203125" style="81"/>
    <col min="3851" max="3851" width="15.83203125" style="81" customWidth="1"/>
    <col min="3852" max="4090" width="9.33203125" style="81"/>
    <col min="4091" max="4091" width="5" style="81" customWidth="1"/>
    <col min="4092" max="4092" width="9.33203125" style="81"/>
    <col min="4093" max="4093" width="21.6640625" style="81" customWidth="1"/>
    <col min="4094" max="4094" width="13.5" style="81" customWidth="1"/>
    <col min="4095" max="4095" width="10.5" style="81" customWidth="1"/>
    <col min="4096" max="4096" width="15.1640625" style="81" customWidth="1"/>
    <col min="4097" max="4097" width="3.6640625" style="81" customWidth="1"/>
    <col min="4098" max="4098" width="13.1640625" style="81" customWidth="1"/>
    <col min="4099" max="4099" width="3.83203125" style="81" customWidth="1"/>
    <col min="4100" max="4100" width="15" style="81" customWidth="1"/>
    <col min="4101" max="4101" width="3.6640625" style="81" customWidth="1"/>
    <col min="4102" max="4103" width="13" style="81" customWidth="1"/>
    <col min="4104" max="4104" width="0" style="81" hidden="1" customWidth="1"/>
    <col min="4105" max="4106" width="9.33203125" style="81"/>
    <col min="4107" max="4107" width="15.83203125" style="81" customWidth="1"/>
    <col min="4108" max="4346" width="9.33203125" style="81"/>
    <col min="4347" max="4347" width="5" style="81" customWidth="1"/>
    <col min="4348" max="4348" width="9.33203125" style="81"/>
    <col min="4349" max="4349" width="21.6640625" style="81" customWidth="1"/>
    <col min="4350" max="4350" width="13.5" style="81" customWidth="1"/>
    <col min="4351" max="4351" width="10.5" style="81" customWidth="1"/>
    <col min="4352" max="4352" width="15.1640625" style="81" customWidth="1"/>
    <col min="4353" max="4353" width="3.6640625" style="81" customWidth="1"/>
    <col min="4354" max="4354" width="13.1640625" style="81" customWidth="1"/>
    <col min="4355" max="4355" width="3.83203125" style="81" customWidth="1"/>
    <col min="4356" max="4356" width="15" style="81" customWidth="1"/>
    <col min="4357" max="4357" width="3.6640625" style="81" customWidth="1"/>
    <col min="4358" max="4359" width="13" style="81" customWidth="1"/>
    <col min="4360" max="4360" width="0" style="81" hidden="1" customWidth="1"/>
    <col min="4361" max="4362" width="9.33203125" style="81"/>
    <col min="4363" max="4363" width="15.83203125" style="81" customWidth="1"/>
    <col min="4364" max="4602" width="9.33203125" style="81"/>
    <col min="4603" max="4603" width="5" style="81" customWidth="1"/>
    <col min="4604" max="4604" width="9.33203125" style="81"/>
    <col min="4605" max="4605" width="21.6640625" style="81" customWidth="1"/>
    <col min="4606" max="4606" width="13.5" style="81" customWidth="1"/>
    <col min="4607" max="4607" width="10.5" style="81" customWidth="1"/>
    <col min="4608" max="4608" width="15.1640625" style="81" customWidth="1"/>
    <col min="4609" max="4609" width="3.6640625" style="81" customWidth="1"/>
    <col min="4610" max="4610" width="13.1640625" style="81" customWidth="1"/>
    <col min="4611" max="4611" width="3.83203125" style="81" customWidth="1"/>
    <col min="4612" max="4612" width="15" style="81" customWidth="1"/>
    <col min="4613" max="4613" width="3.6640625" style="81" customWidth="1"/>
    <col min="4614" max="4615" width="13" style="81" customWidth="1"/>
    <col min="4616" max="4616" width="0" style="81" hidden="1" customWidth="1"/>
    <col min="4617" max="4618" width="9.33203125" style="81"/>
    <col min="4619" max="4619" width="15.83203125" style="81" customWidth="1"/>
    <col min="4620" max="4858" width="9.33203125" style="81"/>
    <col min="4859" max="4859" width="5" style="81" customWidth="1"/>
    <col min="4860" max="4860" width="9.33203125" style="81"/>
    <col min="4861" max="4861" width="21.6640625" style="81" customWidth="1"/>
    <col min="4862" max="4862" width="13.5" style="81" customWidth="1"/>
    <col min="4863" max="4863" width="10.5" style="81" customWidth="1"/>
    <col min="4864" max="4864" width="15.1640625" style="81" customWidth="1"/>
    <col min="4865" max="4865" width="3.6640625" style="81" customWidth="1"/>
    <col min="4866" max="4866" width="13.1640625" style="81" customWidth="1"/>
    <col min="4867" max="4867" width="3.83203125" style="81" customWidth="1"/>
    <col min="4868" max="4868" width="15" style="81" customWidth="1"/>
    <col min="4869" max="4869" width="3.6640625" style="81" customWidth="1"/>
    <col min="4870" max="4871" width="13" style="81" customWidth="1"/>
    <col min="4872" max="4872" width="0" style="81" hidden="1" customWidth="1"/>
    <col min="4873" max="4874" width="9.33203125" style="81"/>
    <col min="4875" max="4875" width="15.83203125" style="81" customWidth="1"/>
    <col min="4876" max="5114" width="9.33203125" style="81"/>
    <col min="5115" max="5115" width="5" style="81" customWidth="1"/>
    <col min="5116" max="5116" width="9.33203125" style="81"/>
    <col min="5117" max="5117" width="21.6640625" style="81" customWidth="1"/>
    <col min="5118" max="5118" width="13.5" style="81" customWidth="1"/>
    <col min="5119" max="5119" width="10.5" style="81" customWidth="1"/>
    <col min="5120" max="5120" width="15.1640625" style="81" customWidth="1"/>
    <col min="5121" max="5121" width="3.6640625" style="81" customWidth="1"/>
    <col min="5122" max="5122" width="13.1640625" style="81" customWidth="1"/>
    <col min="5123" max="5123" width="3.83203125" style="81" customWidth="1"/>
    <col min="5124" max="5124" width="15" style="81" customWidth="1"/>
    <col min="5125" max="5125" width="3.6640625" style="81" customWidth="1"/>
    <col min="5126" max="5127" width="13" style="81" customWidth="1"/>
    <col min="5128" max="5128" width="0" style="81" hidden="1" customWidth="1"/>
    <col min="5129" max="5130" width="9.33203125" style="81"/>
    <col min="5131" max="5131" width="15.83203125" style="81" customWidth="1"/>
    <col min="5132" max="5370" width="9.33203125" style="81"/>
    <col min="5371" max="5371" width="5" style="81" customWidth="1"/>
    <col min="5372" max="5372" width="9.33203125" style="81"/>
    <col min="5373" max="5373" width="21.6640625" style="81" customWidth="1"/>
    <col min="5374" max="5374" width="13.5" style="81" customWidth="1"/>
    <col min="5375" max="5375" width="10.5" style="81" customWidth="1"/>
    <col min="5376" max="5376" width="15.1640625" style="81" customWidth="1"/>
    <col min="5377" max="5377" width="3.6640625" style="81" customWidth="1"/>
    <col min="5378" max="5378" width="13.1640625" style="81" customWidth="1"/>
    <col min="5379" max="5379" width="3.83203125" style="81" customWidth="1"/>
    <col min="5380" max="5380" width="15" style="81" customWidth="1"/>
    <col min="5381" max="5381" width="3.6640625" style="81" customWidth="1"/>
    <col min="5382" max="5383" width="13" style="81" customWidth="1"/>
    <col min="5384" max="5384" width="0" style="81" hidden="1" customWidth="1"/>
    <col min="5385" max="5386" width="9.33203125" style="81"/>
    <col min="5387" max="5387" width="15.83203125" style="81" customWidth="1"/>
    <col min="5388" max="5626" width="9.33203125" style="81"/>
    <col min="5627" max="5627" width="5" style="81" customWidth="1"/>
    <col min="5628" max="5628" width="9.33203125" style="81"/>
    <col min="5629" max="5629" width="21.6640625" style="81" customWidth="1"/>
    <col min="5630" max="5630" width="13.5" style="81" customWidth="1"/>
    <col min="5631" max="5631" width="10.5" style="81" customWidth="1"/>
    <col min="5632" max="5632" width="15.1640625" style="81" customWidth="1"/>
    <col min="5633" max="5633" width="3.6640625" style="81" customWidth="1"/>
    <col min="5634" max="5634" width="13.1640625" style="81" customWidth="1"/>
    <col min="5635" max="5635" width="3.83203125" style="81" customWidth="1"/>
    <col min="5636" max="5636" width="15" style="81" customWidth="1"/>
    <col min="5637" max="5637" width="3.6640625" style="81" customWidth="1"/>
    <col min="5638" max="5639" width="13" style="81" customWidth="1"/>
    <col min="5640" max="5640" width="0" style="81" hidden="1" customWidth="1"/>
    <col min="5641" max="5642" width="9.33203125" style="81"/>
    <col min="5643" max="5643" width="15.83203125" style="81" customWidth="1"/>
    <col min="5644" max="5882" width="9.33203125" style="81"/>
    <col min="5883" max="5883" width="5" style="81" customWidth="1"/>
    <col min="5884" max="5884" width="9.33203125" style="81"/>
    <col min="5885" max="5885" width="21.6640625" style="81" customWidth="1"/>
    <col min="5886" max="5886" width="13.5" style="81" customWidth="1"/>
    <col min="5887" max="5887" width="10.5" style="81" customWidth="1"/>
    <col min="5888" max="5888" width="15.1640625" style="81" customWidth="1"/>
    <col min="5889" max="5889" width="3.6640625" style="81" customWidth="1"/>
    <col min="5890" max="5890" width="13.1640625" style="81" customWidth="1"/>
    <col min="5891" max="5891" width="3.83203125" style="81" customWidth="1"/>
    <col min="5892" max="5892" width="15" style="81" customWidth="1"/>
    <col min="5893" max="5893" width="3.6640625" style="81" customWidth="1"/>
    <col min="5894" max="5895" width="13" style="81" customWidth="1"/>
    <col min="5896" max="5896" width="0" style="81" hidden="1" customWidth="1"/>
    <col min="5897" max="5898" width="9.33203125" style="81"/>
    <col min="5899" max="5899" width="15.83203125" style="81" customWidth="1"/>
    <col min="5900" max="6138" width="9.33203125" style="81"/>
    <col min="6139" max="6139" width="5" style="81" customWidth="1"/>
    <col min="6140" max="6140" width="9.33203125" style="81"/>
    <col min="6141" max="6141" width="21.6640625" style="81" customWidth="1"/>
    <col min="6142" max="6142" width="13.5" style="81" customWidth="1"/>
    <col min="6143" max="6143" width="10.5" style="81" customWidth="1"/>
    <col min="6144" max="6144" width="15.1640625" style="81" customWidth="1"/>
    <col min="6145" max="6145" width="3.6640625" style="81" customWidth="1"/>
    <col min="6146" max="6146" width="13.1640625" style="81" customWidth="1"/>
    <col min="6147" max="6147" width="3.83203125" style="81" customWidth="1"/>
    <col min="6148" max="6148" width="15" style="81" customWidth="1"/>
    <col min="6149" max="6149" width="3.6640625" style="81" customWidth="1"/>
    <col min="6150" max="6151" width="13" style="81" customWidth="1"/>
    <col min="6152" max="6152" width="0" style="81" hidden="1" customWidth="1"/>
    <col min="6153" max="6154" width="9.33203125" style="81"/>
    <col min="6155" max="6155" width="15.83203125" style="81" customWidth="1"/>
    <col min="6156" max="6394" width="9.33203125" style="81"/>
    <col min="6395" max="6395" width="5" style="81" customWidth="1"/>
    <col min="6396" max="6396" width="9.33203125" style="81"/>
    <col min="6397" max="6397" width="21.6640625" style="81" customWidth="1"/>
    <col min="6398" max="6398" width="13.5" style="81" customWidth="1"/>
    <col min="6399" max="6399" width="10.5" style="81" customWidth="1"/>
    <col min="6400" max="6400" width="15.1640625" style="81" customWidth="1"/>
    <col min="6401" max="6401" width="3.6640625" style="81" customWidth="1"/>
    <col min="6402" max="6402" width="13.1640625" style="81" customWidth="1"/>
    <col min="6403" max="6403" width="3.83203125" style="81" customWidth="1"/>
    <col min="6404" max="6404" width="15" style="81" customWidth="1"/>
    <col min="6405" max="6405" width="3.6640625" style="81" customWidth="1"/>
    <col min="6406" max="6407" width="13" style="81" customWidth="1"/>
    <col min="6408" max="6408" width="0" style="81" hidden="1" customWidth="1"/>
    <col min="6409" max="6410" width="9.33203125" style="81"/>
    <col min="6411" max="6411" width="15.83203125" style="81" customWidth="1"/>
    <col min="6412" max="6650" width="9.33203125" style="81"/>
    <col min="6651" max="6651" width="5" style="81" customWidth="1"/>
    <col min="6652" max="6652" width="9.33203125" style="81"/>
    <col min="6653" max="6653" width="21.6640625" style="81" customWidth="1"/>
    <col min="6654" max="6654" width="13.5" style="81" customWidth="1"/>
    <col min="6655" max="6655" width="10.5" style="81" customWidth="1"/>
    <col min="6656" max="6656" width="15.1640625" style="81" customWidth="1"/>
    <col min="6657" max="6657" width="3.6640625" style="81" customWidth="1"/>
    <col min="6658" max="6658" width="13.1640625" style="81" customWidth="1"/>
    <col min="6659" max="6659" width="3.83203125" style="81" customWidth="1"/>
    <col min="6660" max="6660" width="15" style="81" customWidth="1"/>
    <col min="6661" max="6661" width="3.6640625" style="81" customWidth="1"/>
    <col min="6662" max="6663" width="13" style="81" customWidth="1"/>
    <col min="6664" max="6664" width="0" style="81" hidden="1" customWidth="1"/>
    <col min="6665" max="6666" width="9.33203125" style="81"/>
    <col min="6667" max="6667" width="15.83203125" style="81" customWidth="1"/>
    <col min="6668" max="6906" width="9.33203125" style="81"/>
    <col min="6907" max="6907" width="5" style="81" customWidth="1"/>
    <col min="6908" max="6908" width="9.33203125" style="81"/>
    <col min="6909" max="6909" width="21.6640625" style="81" customWidth="1"/>
    <col min="6910" max="6910" width="13.5" style="81" customWidth="1"/>
    <col min="6911" max="6911" width="10.5" style="81" customWidth="1"/>
    <col min="6912" max="6912" width="15.1640625" style="81" customWidth="1"/>
    <col min="6913" max="6913" width="3.6640625" style="81" customWidth="1"/>
    <col min="6914" max="6914" width="13.1640625" style="81" customWidth="1"/>
    <col min="6915" max="6915" width="3.83203125" style="81" customWidth="1"/>
    <col min="6916" max="6916" width="15" style="81" customWidth="1"/>
    <col min="6917" max="6917" width="3.6640625" style="81" customWidth="1"/>
    <col min="6918" max="6919" width="13" style="81" customWidth="1"/>
    <col min="6920" max="6920" width="0" style="81" hidden="1" customWidth="1"/>
    <col min="6921" max="6922" width="9.33203125" style="81"/>
    <col min="6923" max="6923" width="15.83203125" style="81" customWidth="1"/>
    <col min="6924" max="7162" width="9.33203125" style="81"/>
    <col min="7163" max="7163" width="5" style="81" customWidth="1"/>
    <col min="7164" max="7164" width="9.33203125" style="81"/>
    <col min="7165" max="7165" width="21.6640625" style="81" customWidth="1"/>
    <col min="7166" max="7166" width="13.5" style="81" customWidth="1"/>
    <col min="7167" max="7167" width="10.5" style="81" customWidth="1"/>
    <col min="7168" max="7168" width="15.1640625" style="81" customWidth="1"/>
    <col min="7169" max="7169" width="3.6640625" style="81" customWidth="1"/>
    <col min="7170" max="7170" width="13.1640625" style="81" customWidth="1"/>
    <col min="7171" max="7171" width="3.83203125" style="81" customWidth="1"/>
    <col min="7172" max="7172" width="15" style="81" customWidth="1"/>
    <col min="7173" max="7173" width="3.6640625" style="81" customWidth="1"/>
    <col min="7174" max="7175" width="13" style="81" customWidth="1"/>
    <col min="7176" max="7176" width="0" style="81" hidden="1" customWidth="1"/>
    <col min="7177" max="7178" width="9.33203125" style="81"/>
    <col min="7179" max="7179" width="15.83203125" style="81" customWidth="1"/>
    <col min="7180" max="7418" width="9.33203125" style="81"/>
    <col min="7419" max="7419" width="5" style="81" customWidth="1"/>
    <col min="7420" max="7420" width="9.33203125" style="81"/>
    <col min="7421" max="7421" width="21.6640625" style="81" customWidth="1"/>
    <col min="7422" max="7422" width="13.5" style="81" customWidth="1"/>
    <col min="7423" max="7423" width="10.5" style="81" customWidth="1"/>
    <col min="7424" max="7424" width="15.1640625" style="81" customWidth="1"/>
    <col min="7425" max="7425" width="3.6640625" style="81" customWidth="1"/>
    <col min="7426" max="7426" width="13.1640625" style="81" customWidth="1"/>
    <col min="7427" max="7427" width="3.83203125" style="81" customWidth="1"/>
    <col min="7428" max="7428" width="15" style="81" customWidth="1"/>
    <col min="7429" max="7429" width="3.6640625" style="81" customWidth="1"/>
    <col min="7430" max="7431" width="13" style="81" customWidth="1"/>
    <col min="7432" max="7432" width="0" style="81" hidden="1" customWidth="1"/>
    <col min="7433" max="7434" width="9.33203125" style="81"/>
    <col min="7435" max="7435" width="15.83203125" style="81" customWidth="1"/>
    <col min="7436" max="7674" width="9.33203125" style="81"/>
    <col min="7675" max="7675" width="5" style="81" customWidth="1"/>
    <col min="7676" max="7676" width="9.33203125" style="81"/>
    <col min="7677" max="7677" width="21.6640625" style="81" customWidth="1"/>
    <col min="7678" max="7678" width="13.5" style="81" customWidth="1"/>
    <col min="7679" max="7679" width="10.5" style="81" customWidth="1"/>
    <col min="7680" max="7680" width="15.1640625" style="81" customWidth="1"/>
    <col min="7681" max="7681" width="3.6640625" style="81" customWidth="1"/>
    <col min="7682" max="7682" width="13.1640625" style="81" customWidth="1"/>
    <col min="7683" max="7683" width="3.83203125" style="81" customWidth="1"/>
    <col min="7684" max="7684" width="15" style="81" customWidth="1"/>
    <col min="7685" max="7685" width="3.6640625" style="81" customWidth="1"/>
    <col min="7686" max="7687" width="13" style="81" customWidth="1"/>
    <col min="7688" max="7688" width="0" style="81" hidden="1" customWidth="1"/>
    <col min="7689" max="7690" width="9.33203125" style="81"/>
    <col min="7691" max="7691" width="15.83203125" style="81" customWidth="1"/>
    <col min="7692" max="7930" width="9.33203125" style="81"/>
    <col min="7931" max="7931" width="5" style="81" customWidth="1"/>
    <col min="7932" max="7932" width="9.33203125" style="81"/>
    <col min="7933" max="7933" width="21.6640625" style="81" customWidth="1"/>
    <col min="7934" max="7934" width="13.5" style="81" customWidth="1"/>
    <col min="7935" max="7935" width="10.5" style="81" customWidth="1"/>
    <col min="7936" max="7936" width="15.1640625" style="81" customWidth="1"/>
    <col min="7937" max="7937" width="3.6640625" style="81" customWidth="1"/>
    <col min="7938" max="7938" width="13.1640625" style="81" customWidth="1"/>
    <col min="7939" max="7939" width="3.83203125" style="81" customWidth="1"/>
    <col min="7940" max="7940" width="15" style="81" customWidth="1"/>
    <col min="7941" max="7941" width="3.6640625" style="81" customWidth="1"/>
    <col min="7942" max="7943" width="13" style="81" customWidth="1"/>
    <col min="7944" max="7944" width="0" style="81" hidden="1" customWidth="1"/>
    <col min="7945" max="7946" width="9.33203125" style="81"/>
    <col min="7947" max="7947" width="15.83203125" style="81" customWidth="1"/>
    <col min="7948" max="8186" width="9.33203125" style="81"/>
    <col min="8187" max="8187" width="5" style="81" customWidth="1"/>
    <col min="8188" max="8188" width="9.33203125" style="81"/>
    <col min="8189" max="8189" width="21.6640625" style="81" customWidth="1"/>
    <col min="8190" max="8190" width="13.5" style="81" customWidth="1"/>
    <col min="8191" max="8191" width="10.5" style="81" customWidth="1"/>
    <col min="8192" max="8192" width="15.1640625" style="81" customWidth="1"/>
    <col min="8193" max="8193" width="3.6640625" style="81" customWidth="1"/>
    <col min="8194" max="8194" width="13.1640625" style="81" customWidth="1"/>
    <col min="8195" max="8195" width="3.83203125" style="81" customWidth="1"/>
    <col min="8196" max="8196" width="15" style="81" customWidth="1"/>
    <col min="8197" max="8197" width="3.6640625" style="81" customWidth="1"/>
    <col min="8198" max="8199" width="13" style="81" customWidth="1"/>
    <col min="8200" max="8200" width="0" style="81" hidden="1" customWidth="1"/>
    <col min="8201" max="8202" width="9.33203125" style="81"/>
    <col min="8203" max="8203" width="15.83203125" style="81" customWidth="1"/>
    <col min="8204" max="8442" width="9.33203125" style="81"/>
    <col min="8443" max="8443" width="5" style="81" customWidth="1"/>
    <col min="8444" max="8444" width="9.33203125" style="81"/>
    <col min="8445" max="8445" width="21.6640625" style="81" customWidth="1"/>
    <col min="8446" max="8446" width="13.5" style="81" customWidth="1"/>
    <col min="8447" max="8447" width="10.5" style="81" customWidth="1"/>
    <col min="8448" max="8448" width="15.1640625" style="81" customWidth="1"/>
    <col min="8449" max="8449" width="3.6640625" style="81" customWidth="1"/>
    <col min="8450" max="8450" width="13.1640625" style="81" customWidth="1"/>
    <col min="8451" max="8451" width="3.83203125" style="81" customWidth="1"/>
    <col min="8452" max="8452" width="15" style="81" customWidth="1"/>
    <col min="8453" max="8453" width="3.6640625" style="81" customWidth="1"/>
    <col min="8454" max="8455" width="13" style="81" customWidth="1"/>
    <col min="8456" max="8456" width="0" style="81" hidden="1" customWidth="1"/>
    <col min="8457" max="8458" width="9.33203125" style="81"/>
    <col min="8459" max="8459" width="15.83203125" style="81" customWidth="1"/>
    <col min="8460" max="8698" width="9.33203125" style="81"/>
    <col min="8699" max="8699" width="5" style="81" customWidth="1"/>
    <col min="8700" max="8700" width="9.33203125" style="81"/>
    <col min="8701" max="8701" width="21.6640625" style="81" customWidth="1"/>
    <col min="8702" max="8702" width="13.5" style="81" customWidth="1"/>
    <col min="8703" max="8703" width="10.5" style="81" customWidth="1"/>
    <col min="8704" max="8704" width="15.1640625" style="81" customWidth="1"/>
    <col min="8705" max="8705" width="3.6640625" style="81" customWidth="1"/>
    <col min="8706" max="8706" width="13.1640625" style="81" customWidth="1"/>
    <col min="8707" max="8707" width="3.83203125" style="81" customWidth="1"/>
    <col min="8708" max="8708" width="15" style="81" customWidth="1"/>
    <col min="8709" max="8709" width="3.6640625" style="81" customWidth="1"/>
    <col min="8710" max="8711" width="13" style="81" customWidth="1"/>
    <col min="8712" max="8712" width="0" style="81" hidden="1" customWidth="1"/>
    <col min="8713" max="8714" width="9.33203125" style="81"/>
    <col min="8715" max="8715" width="15.83203125" style="81" customWidth="1"/>
    <col min="8716" max="8954" width="9.33203125" style="81"/>
    <col min="8955" max="8955" width="5" style="81" customWidth="1"/>
    <col min="8956" max="8956" width="9.33203125" style="81"/>
    <col min="8957" max="8957" width="21.6640625" style="81" customWidth="1"/>
    <col min="8958" max="8958" width="13.5" style="81" customWidth="1"/>
    <col min="8959" max="8959" width="10.5" style="81" customWidth="1"/>
    <col min="8960" max="8960" width="15.1640625" style="81" customWidth="1"/>
    <col min="8961" max="8961" width="3.6640625" style="81" customWidth="1"/>
    <col min="8962" max="8962" width="13.1640625" style="81" customWidth="1"/>
    <col min="8963" max="8963" width="3.83203125" style="81" customWidth="1"/>
    <col min="8964" max="8964" width="15" style="81" customWidth="1"/>
    <col min="8965" max="8965" width="3.6640625" style="81" customWidth="1"/>
    <col min="8966" max="8967" width="13" style="81" customWidth="1"/>
    <col min="8968" max="8968" width="0" style="81" hidden="1" customWidth="1"/>
    <col min="8969" max="8970" width="9.33203125" style="81"/>
    <col min="8971" max="8971" width="15.83203125" style="81" customWidth="1"/>
    <col min="8972" max="9210" width="9.33203125" style="81"/>
    <col min="9211" max="9211" width="5" style="81" customWidth="1"/>
    <col min="9212" max="9212" width="9.33203125" style="81"/>
    <col min="9213" max="9213" width="21.6640625" style="81" customWidth="1"/>
    <col min="9214" max="9214" width="13.5" style="81" customWidth="1"/>
    <col min="9215" max="9215" width="10.5" style="81" customWidth="1"/>
    <col min="9216" max="9216" width="15.1640625" style="81" customWidth="1"/>
    <col min="9217" max="9217" width="3.6640625" style="81" customWidth="1"/>
    <col min="9218" max="9218" width="13.1640625" style="81" customWidth="1"/>
    <col min="9219" max="9219" width="3.83203125" style="81" customWidth="1"/>
    <col min="9220" max="9220" width="15" style="81" customWidth="1"/>
    <col min="9221" max="9221" width="3.6640625" style="81" customWidth="1"/>
    <col min="9222" max="9223" width="13" style="81" customWidth="1"/>
    <col min="9224" max="9224" width="0" style="81" hidden="1" customWidth="1"/>
    <col min="9225" max="9226" width="9.33203125" style="81"/>
    <col min="9227" max="9227" width="15.83203125" style="81" customWidth="1"/>
    <col min="9228" max="9466" width="9.33203125" style="81"/>
    <col min="9467" max="9467" width="5" style="81" customWidth="1"/>
    <col min="9468" max="9468" width="9.33203125" style="81"/>
    <col min="9469" max="9469" width="21.6640625" style="81" customWidth="1"/>
    <col min="9470" max="9470" width="13.5" style="81" customWidth="1"/>
    <col min="9471" max="9471" width="10.5" style="81" customWidth="1"/>
    <col min="9472" max="9472" width="15.1640625" style="81" customWidth="1"/>
    <col min="9473" max="9473" width="3.6640625" style="81" customWidth="1"/>
    <col min="9474" max="9474" width="13.1640625" style="81" customWidth="1"/>
    <col min="9475" max="9475" width="3.83203125" style="81" customWidth="1"/>
    <col min="9476" max="9476" width="15" style="81" customWidth="1"/>
    <col min="9477" max="9477" width="3.6640625" style="81" customWidth="1"/>
    <col min="9478" max="9479" width="13" style="81" customWidth="1"/>
    <col min="9480" max="9480" width="0" style="81" hidden="1" customWidth="1"/>
    <col min="9481" max="9482" width="9.33203125" style="81"/>
    <col min="9483" max="9483" width="15.83203125" style="81" customWidth="1"/>
    <col min="9484" max="9722" width="9.33203125" style="81"/>
    <col min="9723" max="9723" width="5" style="81" customWidth="1"/>
    <col min="9724" max="9724" width="9.33203125" style="81"/>
    <col min="9725" max="9725" width="21.6640625" style="81" customWidth="1"/>
    <col min="9726" max="9726" width="13.5" style="81" customWidth="1"/>
    <col min="9727" max="9727" width="10.5" style="81" customWidth="1"/>
    <col min="9728" max="9728" width="15.1640625" style="81" customWidth="1"/>
    <col min="9729" max="9729" width="3.6640625" style="81" customWidth="1"/>
    <col min="9730" max="9730" width="13.1640625" style="81" customWidth="1"/>
    <col min="9731" max="9731" width="3.83203125" style="81" customWidth="1"/>
    <col min="9732" max="9732" width="15" style="81" customWidth="1"/>
    <col min="9733" max="9733" width="3.6640625" style="81" customWidth="1"/>
    <col min="9734" max="9735" width="13" style="81" customWidth="1"/>
    <col min="9736" max="9736" width="0" style="81" hidden="1" customWidth="1"/>
    <col min="9737" max="9738" width="9.33203125" style="81"/>
    <col min="9739" max="9739" width="15.83203125" style="81" customWidth="1"/>
    <col min="9740" max="9978" width="9.33203125" style="81"/>
    <col min="9979" max="9979" width="5" style="81" customWidth="1"/>
    <col min="9980" max="9980" width="9.33203125" style="81"/>
    <col min="9981" max="9981" width="21.6640625" style="81" customWidth="1"/>
    <col min="9982" max="9982" width="13.5" style="81" customWidth="1"/>
    <col min="9983" max="9983" width="10.5" style="81" customWidth="1"/>
    <col min="9984" max="9984" width="15.1640625" style="81" customWidth="1"/>
    <col min="9985" max="9985" width="3.6640625" style="81" customWidth="1"/>
    <col min="9986" max="9986" width="13.1640625" style="81" customWidth="1"/>
    <col min="9987" max="9987" width="3.83203125" style="81" customWidth="1"/>
    <col min="9988" max="9988" width="15" style="81" customWidth="1"/>
    <col min="9989" max="9989" width="3.6640625" style="81" customWidth="1"/>
    <col min="9990" max="9991" width="13" style="81" customWidth="1"/>
    <col min="9992" max="9992" width="0" style="81" hidden="1" customWidth="1"/>
    <col min="9993" max="9994" width="9.33203125" style="81"/>
    <col min="9995" max="9995" width="15.83203125" style="81" customWidth="1"/>
    <col min="9996" max="10234" width="9.33203125" style="81"/>
    <col min="10235" max="10235" width="5" style="81" customWidth="1"/>
    <col min="10236" max="10236" width="9.33203125" style="81"/>
    <col min="10237" max="10237" width="21.6640625" style="81" customWidth="1"/>
    <col min="10238" max="10238" width="13.5" style="81" customWidth="1"/>
    <col min="10239" max="10239" width="10.5" style="81" customWidth="1"/>
    <col min="10240" max="10240" width="15.1640625" style="81" customWidth="1"/>
    <col min="10241" max="10241" width="3.6640625" style="81" customWidth="1"/>
    <col min="10242" max="10242" width="13.1640625" style="81" customWidth="1"/>
    <col min="10243" max="10243" width="3.83203125" style="81" customWidth="1"/>
    <col min="10244" max="10244" width="15" style="81" customWidth="1"/>
    <col min="10245" max="10245" width="3.6640625" style="81" customWidth="1"/>
    <col min="10246" max="10247" width="13" style="81" customWidth="1"/>
    <col min="10248" max="10248" width="0" style="81" hidden="1" customWidth="1"/>
    <col min="10249" max="10250" width="9.33203125" style="81"/>
    <col min="10251" max="10251" width="15.83203125" style="81" customWidth="1"/>
    <col min="10252" max="10490" width="9.33203125" style="81"/>
    <col min="10491" max="10491" width="5" style="81" customWidth="1"/>
    <col min="10492" max="10492" width="9.33203125" style="81"/>
    <col min="10493" max="10493" width="21.6640625" style="81" customWidth="1"/>
    <col min="10494" max="10494" width="13.5" style="81" customWidth="1"/>
    <col min="10495" max="10495" width="10.5" style="81" customWidth="1"/>
    <col min="10496" max="10496" width="15.1640625" style="81" customWidth="1"/>
    <col min="10497" max="10497" width="3.6640625" style="81" customWidth="1"/>
    <col min="10498" max="10498" width="13.1640625" style="81" customWidth="1"/>
    <col min="10499" max="10499" width="3.83203125" style="81" customWidth="1"/>
    <col min="10500" max="10500" width="15" style="81" customWidth="1"/>
    <col min="10501" max="10501" width="3.6640625" style="81" customWidth="1"/>
    <col min="10502" max="10503" width="13" style="81" customWidth="1"/>
    <col min="10504" max="10504" width="0" style="81" hidden="1" customWidth="1"/>
    <col min="10505" max="10506" width="9.33203125" style="81"/>
    <col min="10507" max="10507" width="15.83203125" style="81" customWidth="1"/>
    <col min="10508" max="10746" width="9.33203125" style="81"/>
    <col min="10747" max="10747" width="5" style="81" customWidth="1"/>
    <col min="10748" max="10748" width="9.33203125" style="81"/>
    <col min="10749" max="10749" width="21.6640625" style="81" customWidth="1"/>
    <col min="10750" max="10750" width="13.5" style="81" customWidth="1"/>
    <col min="10751" max="10751" width="10.5" style="81" customWidth="1"/>
    <col min="10752" max="10752" width="15.1640625" style="81" customWidth="1"/>
    <col min="10753" max="10753" width="3.6640625" style="81" customWidth="1"/>
    <col min="10754" max="10754" width="13.1640625" style="81" customWidth="1"/>
    <col min="10755" max="10755" width="3.83203125" style="81" customWidth="1"/>
    <col min="10756" max="10756" width="15" style="81" customWidth="1"/>
    <col min="10757" max="10757" width="3.6640625" style="81" customWidth="1"/>
    <col min="10758" max="10759" width="13" style="81" customWidth="1"/>
    <col min="10760" max="10760" width="0" style="81" hidden="1" customWidth="1"/>
    <col min="10761" max="10762" width="9.33203125" style="81"/>
    <col min="10763" max="10763" width="15.83203125" style="81" customWidth="1"/>
    <col min="10764" max="11002" width="9.33203125" style="81"/>
    <col min="11003" max="11003" width="5" style="81" customWidth="1"/>
    <col min="11004" max="11004" width="9.33203125" style="81"/>
    <col min="11005" max="11005" width="21.6640625" style="81" customWidth="1"/>
    <col min="11006" max="11006" width="13.5" style="81" customWidth="1"/>
    <col min="11007" max="11007" width="10.5" style="81" customWidth="1"/>
    <col min="11008" max="11008" width="15.1640625" style="81" customWidth="1"/>
    <col min="11009" max="11009" width="3.6640625" style="81" customWidth="1"/>
    <col min="11010" max="11010" width="13.1640625" style="81" customWidth="1"/>
    <col min="11011" max="11011" width="3.83203125" style="81" customWidth="1"/>
    <col min="11012" max="11012" width="15" style="81" customWidth="1"/>
    <col min="11013" max="11013" width="3.6640625" style="81" customWidth="1"/>
    <col min="11014" max="11015" width="13" style="81" customWidth="1"/>
    <col min="11016" max="11016" width="0" style="81" hidden="1" customWidth="1"/>
    <col min="11017" max="11018" width="9.33203125" style="81"/>
    <col min="11019" max="11019" width="15.83203125" style="81" customWidth="1"/>
    <col min="11020" max="11258" width="9.33203125" style="81"/>
    <col min="11259" max="11259" width="5" style="81" customWidth="1"/>
    <col min="11260" max="11260" width="9.33203125" style="81"/>
    <col min="11261" max="11261" width="21.6640625" style="81" customWidth="1"/>
    <col min="11262" max="11262" width="13.5" style="81" customWidth="1"/>
    <col min="11263" max="11263" width="10.5" style="81" customWidth="1"/>
    <col min="11264" max="11264" width="15.1640625" style="81" customWidth="1"/>
    <col min="11265" max="11265" width="3.6640625" style="81" customWidth="1"/>
    <col min="11266" max="11266" width="13.1640625" style="81" customWidth="1"/>
    <col min="11267" max="11267" width="3.83203125" style="81" customWidth="1"/>
    <col min="11268" max="11268" width="15" style="81" customWidth="1"/>
    <col min="11269" max="11269" width="3.6640625" style="81" customWidth="1"/>
    <col min="11270" max="11271" width="13" style="81" customWidth="1"/>
    <col min="11272" max="11272" width="0" style="81" hidden="1" customWidth="1"/>
    <col min="11273" max="11274" width="9.33203125" style="81"/>
    <col min="11275" max="11275" width="15.83203125" style="81" customWidth="1"/>
    <col min="11276" max="11514" width="9.33203125" style="81"/>
    <col min="11515" max="11515" width="5" style="81" customWidth="1"/>
    <col min="11516" max="11516" width="9.33203125" style="81"/>
    <col min="11517" max="11517" width="21.6640625" style="81" customWidth="1"/>
    <col min="11518" max="11518" width="13.5" style="81" customWidth="1"/>
    <col min="11519" max="11519" width="10.5" style="81" customWidth="1"/>
    <col min="11520" max="11520" width="15.1640625" style="81" customWidth="1"/>
    <col min="11521" max="11521" width="3.6640625" style="81" customWidth="1"/>
    <col min="11522" max="11522" width="13.1640625" style="81" customWidth="1"/>
    <col min="11523" max="11523" width="3.83203125" style="81" customWidth="1"/>
    <col min="11524" max="11524" width="15" style="81" customWidth="1"/>
    <col min="11525" max="11525" width="3.6640625" style="81" customWidth="1"/>
    <col min="11526" max="11527" width="13" style="81" customWidth="1"/>
    <col min="11528" max="11528" width="0" style="81" hidden="1" customWidth="1"/>
    <col min="11529" max="11530" width="9.33203125" style="81"/>
    <col min="11531" max="11531" width="15.83203125" style="81" customWidth="1"/>
    <col min="11532" max="11770" width="9.33203125" style="81"/>
    <col min="11771" max="11771" width="5" style="81" customWidth="1"/>
    <col min="11772" max="11772" width="9.33203125" style="81"/>
    <col min="11773" max="11773" width="21.6640625" style="81" customWidth="1"/>
    <col min="11774" max="11774" width="13.5" style="81" customWidth="1"/>
    <col min="11775" max="11775" width="10.5" style="81" customWidth="1"/>
    <col min="11776" max="11776" width="15.1640625" style="81" customWidth="1"/>
    <col min="11777" max="11777" width="3.6640625" style="81" customWidth="1"/>
    <col min="11778" max="11778" width="13.1640625" style="81" customWidth="1"/>
    <col min="11779" max="11779" width="3.83203125" style="81" customWidth="1"/>
    <col min="11780" max="11780" width="15" style="81" customWidth="1"/>
    <col min="11781" max="11781" width="3.6640625" style="81" customWidth="1"/>
    <col min="11782" max="11783" width="13" style="81" customWidth="1"/>
    <col min="11784" max="11784" width="0" style="81" hidden="1" customWidth="1"/>
    <col min="11785" max="11786" width="9.33203125" style="81"/>
    <col min="11787" max="11787" width="15.83203125" style="81" customWidth="1"/>
    <col min="11788" max="12026" width="9.33203125" style="81"/>
    <col min="12027" max="12027" width="5" style="81" customWidth="1"/>
    <col min="12028" max="12028" width="9.33203125" style="81"/>
    <col min="12029" max="12029" width="21.6640625" style="81" customWidth="1"/>
    <col min="12030" max="12030" width="13.5" style="81" customWidth="1"/>
    <col min="12031" max="12031" width="10.5" style="81" customWidth="1"/>
    <col min="12032" max="12032" width="15.1640625" style="81" customWidth="1"/>
    <col min="12033" max="12033" width="3.6640625" style="81" customWidth="1"/>
    <col min="12034" max="12034" width="13.1640625" style="81" customWidth="1"/>
    <col min="12035" max="12035" width="3.83203125" style="81" customWidth="1"/>
    <col min="12036" max="12036" width="15" style="81" customWidth="1"/>
    <col min="12037" max="12037" width="3.6640625" style="81" customWidth="1"/>
    <col min="12038" max="12039" width="13" style="81" customWidth="1"/>
    <col min="12040" max="12040" width="0" style="81" hidden="1" customWidth="1"/>
    <col min="12041" max="12042" width="9.33203125" style="81"/>
    <col min="12043" max="12043" width="15.83203125" style="81" customWidth="1"/>
    <col min="12044" max="12282" width="9.33203125" style="81"/>
    <col min="12283" max="12283" width="5" style="81" customWidth="1"/>
    <col min="12284" max="12284" width="9.33203125" style="81"/>
    <col min="12285" max="12285" width="21.6640625" style="81" customWidth="1"/>
    <col min="12286" max="12286" width="13.5" style="81" customWidth="1"/>
    <col min="12287" max="12287" width="10.5" style="81" customWidth="1"/>
    <col min="12288" max="12288" width="15.1640625" style="81" customWidth="1"/>
    <col min="12289" max="12289" width="3.6640625" style="81" customWidth="1"/>
    <col min="12290" max="12290" width="13.1640625" style="81" customWidth="1"/>
    <col min="12291" max="12291" width="3.83203125" style="81" customWidth="1"/>
    <col min="12292" max="12292" width="15" style="81" customWidth="1"/>
    <col min="12293" max="12293" width="3.6640625" style="81" customWidth="1"/>
    <col min="12294" max="12295" width="13" style="81" customWidth="1"/>
    <col min="12296" max="12296" width="0" style="81" hidden="1" customWidth="1"/>
    <col min="12297" max="12298" width="9.33203125" style="81"/>
    <col min="12299" max="12299" width="15.83203125" style="81" customWidth="1"/>
    <col min="12300" max="12538" width="9.33203125" style="81"/>
    <col min="12539" max="12539" width="5" style="81" customWidth="1"/>
    <col min="12540" max="12540" width="9.33203125" style="81"/>
    <col min="12541" max="12541" width="21.6640625" style="81" customWidth="1"/>
    <col min="12542" max="12542" width="13.5" style="81" customWidth="1"/>
    <col min="12543" max="12543" width="10.5" style="81" customWidth="1"/>
    <col min="12544" max="12544" width="15.1640625" style="81" customWidth="1"/>
    <col min="12545" max="12545" width="3.6640625" style="81" customWidth="1"/>
    <col min="12546" max="12546" width="13.1640625" style="81" customWidth="1"/>
    <col min="12547" max="12547" width="3.83203125" style="81" customWidth="1"/>
    <col min="12548" max="12548" width="15" style="81" customWidth="1"/>
    <col min="12549" max="12549" width="3.6640625" style="81" customWidth="1"/>
    <col min="12550" max="12551" width="13" style="81" customWidth="1"/>
    <col min="12552" max="12552" width="0" style="81" hidden="1" customWidth="1"/>
    <col min="12553" max="12554" width="9.33203125" style="81"/>
    <col min="12555" max="12555" width="15.83203125" style="81" customWidth="1"/>
    <col min="12556" max="12794" width="9.33203125" style="81"/>
    <col min="12795" max="12795" width="5" style="81" customWidth="1"/>
    <col min="12796" max="12796" width="9.33203125" style="81"/>
    <col min="12797" max="12797" width="21.6640625" style="81" customWidth="1"/>
    <col min="12798" max="12798" width="13.5" style="81" customWidth="1"/>
    <col min="12799" max="12799" width="10.5" style="81" customWidth="1"/>
    <col min="12800" max="12800" width="15.1640625" style="81" customWidth="1"/>
    <col min="12801" max="12801" width="3.6640625" style="81" customWidth="1"/>
    <col min="12802" max="12802" width="13.1640625" style="81" customWidth="1"/>
    <col min="12803" max="12803" width="3.83203125" style="81" customWidth="1"/>
    <col min="12804" max="12804" width="15" style="81" customWidth="1"/>
    <col min="12805" max="12805" width="3.6640625" style="81" customWidth="1"/>
    <col min="12806" max="12807" width="13" style="81" customWidth="1"/>
    <col min="12808" max="12808" width="0" style="81" hidden="1" customWidth="1"/>
    <col min="12809" max="12810" width="9.33203125" style="81"/>
    <col min="12811" max="12811" width="15.83203125" style="81" customWidth="1"/>
    <col min="12812" max="13050" width="9.33203125" style="81"/>
    <col min="13051" max="13051" width="5" style="81" customWidth="1"/>
    <col min="13052" max="13052" width="9.33203125" style="81"/>
    <col min="13053" max="13053" width="21.6640625" style="81" customWidth="1"/>
    <col min="13054" max="13054" width="13.5" style="81" customWidth="1"/>
    <col min="13055" max="13055" width="10.5" style="81" customWidth="1"/>
    <col min="13056" max="13056" width="15.1640625" style="81" customWidth="1"/>
    <col min="13057" max="13057" width="3.6640625" style="81" customWidth="1"/>
    <col min="13058" max="13058" width="13.1640625" style="81" customWidth="1"/>
    <col min="13059" max="13059" width="3.83203125" style="81" customWidth="1"/>
    <col min="13060" max="13060" width="15" style="81" customWidth="1"/>
    <col min="13061" max="13061" width="3.6640625" style="81" customWidth="1"/>
    <col min="13062" max="13063" width="13" style="81" customWidth="1"/>
    <col min="13064" max="13064" width="0" style="81" hidden="1" customWidth="1"/>
    <col min="13065" max="13066" width="9.33203125" style="81"/>
    <col min="13067" max="13067" width="15.83203125" style="81" customWidth="1"/>
    <col min="13068" max="13306" width="9.33203125" style="81"/>
    <col min="13307" max="13307" width="5" style="81" customWidth="1"/>
    <col min="13308" max="13308" width="9.33203125" style="81"/>
    <col min="13309" max="13309" width="21.6640625" style="81" customWidth="1"/>
    <col min="13310" max="13310" width="13.5" style="81" customWidth="1"/>
    <col min="13311" max="13311" width="10.5" style="81" customWidth="1"/>
    <col min="13312" max="13312" width="15.1640625" style="81" customWidth="1"/>
    <col min="13313" max="13313" width="3.6640625" style="81" customWidth="1"/>
    <col min="13314" max="13314" width="13.1640625" style="81" customWidth="1"/>
    <col min="13315" max="13315" width="3.83203125" style="81" customWidth="1"/>
    <col min="13316" max="13316" width="15" style="81" customWidth="1"/>
    <col min="13317" max="13317" width="3.6640625" style="81" customWidth="1"/>
    <col min="13318" max="13319" width="13" style="81" customWidth="1"/>
    <col min="13320" max="13320" width="0" style="81" hidden="1" customWidth="1"/>
    <col min="13321" max="13322" width="9.33203125" style="81"/>
    <col min="13323" max="13323" width="15.83203125" style="81" customWidth="1"/>
    <col min="13324" max="13562" width="9.33203125" style="81"/>
    <col min="13563" max="13563" width="5" style="81" customWidth="1"/>
    <col min="13564" max="13564" width="9.33203125" style="81"/>
    <col min="13565" max="13565" width="21.6640625" style="81" customWidth="1"/>
    <col min="13566" max="13566" width="13.5" style="81" customWidth="1"/>
    <col min="13567" max="13567" width="10.5" style="81" customWidth="1"/>
    <col min="13568" max="13568" width="15.1640625" style="81" customWidth="1"/>
    <col min="13569" max="13569" width="3.6640625" style="81" customWidth="1"/>
    <col min="13570" max="13570" width="13.1640625" style="81" customWidth="1"/>
    <col min="13571" max="13571" width="3.83203125" style="81" customWidth="1"/>
    <col min="13572" max="13572" width="15" style="81" customWidth="1"/>
    <col min="13573" max="13573" width="3.6640625" style="81" customWidth="1"/>
    <col min="13574" max="13575" width="13" style="81" customWidth="1"/>
    <col min="13576" max="13576" width="0" style="81" hidden="1" customWidth="1"/>
    <col min="13577" max="13578" width="9.33203125" style="81"/>
    <col min="13579" max="13579" width="15.83203125" style="81" customWidth="1"/>
    <col min="13580" max="13818" width="9.33203125" style="81"/>
    <col min="13819" max="13819" width="5" style="81" customWidth="1"/>
    <col min="13820" max="13820" width="9.33203125" style="81"/>
    <col min="13821" max="13821" width="21.6640625" style="81" customWidth="1"/>
    <col min="13822" max="13822" width="13.5" style="81" customWidth="1"/>
    <col min="13823" max="13823" width="10.5" style="81" customWidth="1"/>
    <col min="13824" max="13824" width="15.1640625" style="81" customWidth="1"/>
    <col min="13825" max="13825" width="3.6640625" style="81" customWidth="1"/>
    <col min="13826" max="13826" width="13.1640625" style="81" customWidth="1"/>
    <col min="13827" max="13827" width="3.83203125" style="81" customWidth="1"/>
    <col min="13828" max="13828" width="15" style="81" customWidth="1"/>
    <col min="13829" max="13829" width="3.6640625" style="81" customWidth="1"/>
    <col min="13830" max="13831" width="13" style="81" customWidth="1"/>
    <col min="13832" max="13832" width="0" style="81" hidden="1" customWidth="1"/>
    <col min="13833" max="13834" width="9.33203125" style="81"/>
    <col min="13835" max="13835" width="15.83203125" style="81" customWidth="1"/>
    <col min="13836" max="14074" width="9.33203125" style="81"/>
    <col min="14075" max="14075" width="5" style="81" customWidth="1"/>
    <col min="14076" max="14076" width="9.33203125" style="81"/>
    <col min="14077" max="14077" width="21.6640625" style="81" customWidth="1"/>
    <col min="14078" max="14078" width="13.5" style="81" customWidth="1"/>
    <col min="14079" max="14079" width="10.5" style="81" customWidth="1"/>
    <col min="14080" max="14080" width="15.1640625" style="81" customWidth="1"/>
    <col min="14081" max="14081" width="3.6640625" style="81" customWidth="1"/>
    <col min="14082" max="14082" width="13.1640625" style="81" customWidth="1"/>
    <col min="14083" max="14083" width="3.83203125" style="81" customWidth="1"/>
    <col min="14084" max="14084" width="15" style="81" customWidth="1"/>
    <col min="14085" max="14085" width="3.6640625" style="81" customWidth="1"/>
    <col min="14086" max="14087" width="13" style="81" customWidth="1"/>
    <col min="14088" max="14088" width="0" style="81" hidden="1" customWidth="1"/>
    <col min="14089" max="14090" width="9.33203125" style="81"/>
    <col min="14091" max="14091" width="15.83203125" style="81" customWidth="1"/>
    <col min="14092" max="14330" width="9.33203125" style="81"/>
    <col min="14331" max="14331" width="5" style="81" customWidth="1"/>
    <col min="14332" max="14332" width="9.33203125" style="81"/>
    <col min="14333" max="14333" width="21.6640625" style="81" customWidth="1"/>
    <col min="14334" max="14334" width="13.5" style="81" customWidth="1"/>
    <col min="14335" max="14335" width="10.5" style="81" customWidth="1"/>
    <col min="14336" max="14336" width="15.1640625" style="81" customWidth="1"/>
    <col min="14337" max="14337" width="3.6640625" style="81" customWidth="1"/>
    <col min="14338" max="14338" width="13.1640625" style="81" customWidth="1"/>
    <col min="14339" max="14339" width="3.83203125" style="81" customWidth="1"/>
    <col min="14340" max="14340" width="15" style="81" customWidth="1"/>
    <col min="14341" max="14341" width="3.6640625" style="81" customWidth="1"/>
    <col min="14342" max="14343" width="13" style="81" customWidth="1"/>
    <col min="14344" max="14344" width="0" style="81" hidden="1" customWidth="1"/>
    <col min="14345" max="14346" width="9.33203125" style="81"/>
    <col min="14347" max="14347" width="15.83203125" style="81" customWidth="1"/>
    <col min="14348" max="14586" width="9.33203125" style="81"/>
    <col min="14587" max="14587" width="5" style="81" customWidth="1"/>
    <col min="14588" max="14588" width="9.33203125" style="81"/>
    <col min="14589" max="14589" width="21.6640625" style="81" customWidth="1"/>
    <col min="14590" max="14590" width="13.5" style="81" customWidth="1"/>
    <col min="14591" max="14591" width="10.5" style="81" customWidth="1"/>
    <col min="14592" max="14592" width="15.1640625" style="81" customWidth="1"/>
    <col min="14593" max="14593" width="3.6640625" style="81" customWidth="1"/>
    <col min="14594" max="14594" width="13.1640625" style="81" customWidth="1"/>
    <col min="14595" max="14595" width="3.83203125" style="81" customWidth="1"/>
    <col min="14596" max="14596" width="15" style="81" customWidth="1"/>
    <col min="14597" max="14597" width="3.6640625" style="81" customWidth="1"/>
    <col min="14598" max="14599" width="13" style="81" customWidth="1"/>
    <col min="14600" max="14600" width="0" style="81" hidden="1" customWidth="1"/>
    <col min="14601" max="14602" width="9.33203125" style="81"/>
    <col min="14603" max="14603" width="15.83203125" style="81" customWidth="1"/>
    <col min="14604" max="14842" width="9.33203125" style="81"/>
    <col min="14843" max="14843" width="5" style="81" customWidth="1"/>
    <col min="14844" max="14844" width="9.33203125" style="81"/>
    <col min="14845" max="14845" width="21.6640625" style="81" customWidth="1"/>
    <col min="14846" max="14846" width="13.5" style="81" customWidth="1"/>
    <col min="14847" max="14847" width="10.5" style="81" customWidth="1"/>
    <col min="14848" max="14848" width="15.1640625" style="81" customWidth="1"/>
    <col min="14849" max="14849" width="3.6640625" style="81" customWidth="1"/>
    <col min="14850" max="14850" width="13.1640625" style="81" customWidth="1"/>
    <col min="14851" max="14851" width="3.83203125" style="81" customWidth="1"/>
    <col min="14852" max="14852" width="15" style="81" customWidth="1"/>
    <col min="14853" max="14853" width="3.6640625" style="81" customWidth="1"/>
    <col min="14854" max="14855" width="13" style="81" customWidth="1"/>
    <col min="14856" max="14856" width="0" style="81" hidden="1" customWidth="1"/>
    <col min="14857" max="14858" width="9.33203125" style="81"/>
    <col min="14859" max="14859" width="15.83203125" style="81" customWidth="1"/>
    <col min="14860" max="15098" width="9.33203125" style="81"/>
    <col min="15099" max="15099" width="5" style="81" customWidth="1"/>
    <col min="15100" max="15100" width="9.33203125" style="81"/>
    <col min="15101" max="15101" width="21.6640625" style="81" customWidth="1"/>
    <col min="15102" max="15102" width="13.5" style="81" customWidth="1"/>
    <col min="15103" max="15103" width="10.5" style="81" customWidth="1"/>
    <col min="15104" max="15104" width="15.1640625" style="81" customWidth="1"/>
    <col min="15105" max="15105" width="3.6640625" style="81" customWidth="1"/>
    <col min="15106" max="15106" width="13.1640625" style="81" customWidth="1"/>
    <col min="15107" max="15107" width="3.83203125" style="81" customWidth="1"/>
    <col min="15108" max="15108" width="15" style="81" customWidth="1"/>
    <col min="15109" max="15109" width="3.6640625" style="81" customWidth="1"/>
    <col min="15110" max="15111" width="13" style="81" customWidth="1"/>
    <col min="15112" max="15112" width="0" style="81" hidden="1" customWidth="1"/>
    <col min="15113" max="15114" width="9.33203125" style="81"/>
    <col min="15115" max="15115" width="15.83203125" style="81" customWidth="1"/>
    <col min="15116" max="15354" width="9.33203125" style="81"/>
    <col min="15355" max="15355" width="5" style="81" customWidth="1"/>
    <col min="15356" max="15356" width="9.33203125" style="81"/>
    <col min="15357" max="15357" width="21.6640625" style="81" customWidth="1"/>
    <col min="15358" max="15358" width="13.5" style="81" customWidth="1"/>
    <col min="15359" max="15359" width="10.5" style="81" customWidth="1"/>
    <col min="15360" max="15360" width="15.1640625" style="81" customWidth="1"/>
    <col min="15361" max="15361" width="3.6640625" style="81" customWidth="1"/>
    <col min="15362" max="15362" width="13.1640625" style="81" customWidth="1"/>
    <col min="15363" max="15363" width="3.83203125" style="81" customWidth="1"/>
    <col min="15364" max="15364" width="15" style="81" customWidth="1"/>
    <col min="15365" max="15365" width="3.6640625" style="81" customWidth="1"/>
    <col min="15366" max="15367" width="13" style="81" customWidth="1"/>
    <col min="15368" max="15368" width="0" style="81" hidden="1" customWidth="1"/>
    <col min="15369" max="15370" width="9.33203125" style="81"/>
    <col min="15371" max="15371" width="15.83203125" style="81" customWidth="1"/>
    <col min="15372" max="15610" width="9.33203125" style="81"/>
    <col min="15611" max="15611" width="5" style="81" customWidth="1"/>
    <col min="15612" max="15612" width="9.33203125" style="81"/>
    <col min="15613" max="15613" width="21.6640625" style="81" customWidth="1"/>
    <col min="15614" max="15614" width="13.5" style="81" customWidth="1"/>
    <col min="15615" max="15615" width="10.5" style="81" customWidth="1"/>
    <col min="15616" max="15616" width="15.1640625" style="81" customWidth="1"/>
    <col min="15617" max="15617" width="3.6640625" style="81" customWidth="1"/>
    <col min="15618" max="15618" width="13.1640625" style="81" customWidth="1"/>
    <col min="15619" max="15619" width="3.83203125" style="81" customWidth="1"/>
    <col min="15620" max="15620" width="15" style="81" customWidth="1"/>
    <col min="15621" max="15621" width="3.6640625" style="81" customWidth="1"/>
    <col min="15622" max="15623" width="13" style="81" customWidth="1"/>
    <col min="15624" max="15624" width="0" style="81" hidden="1" customWidth="1"/>
    <col min="15625" max="15626" width="9.33203125" style="81"/>
    <col min="15627" max="15627" width="15.83203125" style="81" customWidth="1"/>
    <col min="15628" max="15866" width="9.33203125" style="81"/>
    <col min="15867" max="15867" width="5" style="81" customWidth="1"/>
    <col min="15868" max="15868" width="9.33203125" style="81"/>
    <col min="15869" max="15869" width="21.6640625" style="81" customWidth="1"/>
    <col min="15870" max="15870" width="13.5" style="81" customWidth="1"/>
    <col min="15871" max="15871" width="10.5" style="81" customWidth="1"/>
    <col min="15872" max="15872" width="15.1640625" style="81" customWidth="1"/>
    <col min="15873" max="15873" width="3.6640625" style="81" customWidth="1"/>
    <col min="15874" max="15874" width="13.1640625" style="81" customWidth="1"/>
    <col min="15875" max="15875" width="3.83203125" style="81" customWidth="1"/>
    <col min="15876" max="15876" width="15" style="81" customWidth="1"/>
    <col min="15877" max="15877" width="3.6640625" style="81" customWidth="1"/>
    <col min="15878" max="15879" width="13" style="81" customWidth="1"/>
    <col min="15880" max="15880" width="0" style="81" hidden="1" customWidth="1"/>
    <col min="15881" max="15882" width="9.33203125" style="81"/>
    <col min="15883" max="15883" width="15.83203125" style="81" customWidth="1"/>
    <col min="15884" max="16122" width="9.33203125" style="81"/>
    <col min="16123" max="16123" width="5" style="81" customWidth="1"/>
    <col min="16124" max="16124" width="9.33203125" style="81"/>
    <col min="16125" max="16125" width="21.6640625" style="81" customWidth="1"/>
    <col min="16126" max="16126" width="13.5" style="81" customWidth="1"/>
    <col min="16127" max="16127" width="10.5" style="81" customWidth="1"/>
    <col min="16128" max="16128" width="15.1640625" style="81" customWidth="1"/>
    <col min="16129" max="16129" width="3.6640625" style="81" customWidth="1"/>
    <col min="16130" max="16130" width="13.1640625" style="81" customWidth="1"/>
    <col min="16131" max="16131" width="3.83203125" style="81" customWidth="1"/>
    <col min="16132" max="16132" width="15" style="81" customWidth="1"/>
    <col min="16133" max="16133" width="3.6640625" style="81" customWidth="1"/>
    <col min="16134" max="16135" width="13" style="81" customWidth="1"/>
    <col min="16136" max="16136" width="0" style="81" hidden="1" customWidth="1"/>
    <col min="16137" max="16138" width="9.33203125" style="81"/>
    <col min="16139" max="16139" width="15.83203125" style="81" customWidth="1"/>
    <col min="16140" max="16384" width="9.33203125" style="81"/>
  </cols>
  <sheetData>
    <row r="2" spans="1:17" x14ac:dyDescent="0.25">
      <c r="A2" s="81"/>
      <c r="B2" s="82"/>
      <c r="C2" s="306" t="s">
        <v>9</v>
      </c>
      <c r="D2" s="306"/>
      <c r="E2" s="306"/>
      <c r="F2" s="306"/>
      <c r="G2" s="306"/>
      <c r="H2" s="306"/>
      <c r="I2" s="306"/>
      <c r="J2" s="306"/>
      <c r="K2" s="306"/>
      <c r="L2" s="5" t="str">
        <f>+'CPA Proposed Rate 596'!H1</f>
        <v>CNGC Advice W24-09-05</v>
      </c>
    </row>
    <row r="3" spans="1:17" x14ac:dyDescent="0.25">
      <c r="A3" s="81"/>
      <c r="B3" s="82"/>
      <c r="C3" s="315" t="s">
        <v>59</v>
      </c>
      <c r="D3" s="315"/>
      <c r="E3" s="315"/>
      <c r="F3" s="315"/>
      <c r="G3" s="315"/>
      <c r="H3" s="315"/>
      <c r="I3" s="315"/>
      <c r="J3" s="315"/>
      <c r="K3" s="315"/>
      <c r="L3" s="7" t="s">
        <v>11</v>
      </c>
    </row>
    <row r="4" spans="1:17" x14ac:dyDescent="0.25">
      <c r="A4" s="81"/>
      <c r="B4" s="82"/>
      <c r="C4" s="315" t="s">
        <v>60</v>
      </c>
      <c r="D4" s="315"/>
      <c r="E4" s="315"/>
      <c r="F4" s="315"/>
      <c r="G4" s="315"/>
      <c r="H4" s="315"/>
      <c r="I4" s="315"/>
      <c r="J4" s="315"/>
      <c r="K4" s="315"/>
      <c r="L4" s="7" t="s">
        <v>61</v>
      </c>
    </row>
    <row r="5" spans="1:17" x14ac:dyDescent="0.25">
      <c r="A5" s="81"/>
      <c r="B5" s="82"/>
      <c r="C5" s="306" t="s">
        <v>12</v>
      </c>
      <c r="D5" s="306"/>
      <c r="E5" s="306"/>
      <c r="F5" s="306"/>
      <c r="G5" s="306"/>
      <c r="H5" s="306"/>
      <c r="I5" s="306"/>
      <c r="J5" s="306"/>
      <c r="K5" s="306"/>
      <c r="L5" s="82" t="s">
        <v>62</v>
      </c>
    </row>
    <row r="7" spans="1:17" x14ac:dyDescent="0.25">
      <c r="A7" s="45"/>
      <c r="B7" s="83"/>
      <c r="C7" s="84"/>
      <c r="D7" s="84"/>
      <c r="E7" s="85"/>
      <c r="F7" s="45"/>
      <c r="G7" s="86"/>
      <c r="H7" s="45"/>
      <c r="K7" s="87" t="s">
        <v>63</v>
      </c>
      <c r="L7" s="84"/>
      <c r="M7" s="88"/>
    </row>
    <row r="8" spans="1:17" x14ac:dyDescent="0.25">
      <c r="A8" s="51" t="s">
        <v>45</v>
      </c>
      <c r="C8" s="89"/>
      <c r="D8" s="90" t="s">
        <v>64</v>
      </c>
      <c r="E8" s="74" t="s">
        <v>65</v>
      </c>
      <c r="F8" s="51" t="s">
        <v>66</v>
      </c>
      <c r="G8" s="86"/>
      <c r="H8" s="51" t="s">
        <v>67</v>
      </c>
      <c r="K8" s="91" t="s">
        <v>68</v>
      </c>
      <c r="L8" s="92" t="s">
        <v>69</v>
      </c>
      <c r="M8" s="51" t="s">
        <v>70</v>
      </c>
    </row>
    <row r="9" spans="1:17" x14ac:dyDescent="0.25">
      <c r="A9" s="51" t="s">
        <v>51</v>
      </c>
      <c r="B9" s="82" t="s">
        <v>3</v>
      </c>
      <c r="C9" s="92"/>
      <c r="D9" s="90" t="s">
        <v>71</v>
      </c>
      <c r="E9" s="74" t="s">
        <v>72</v>
      </c>
      <c r="F9" s="51" t="s">
        <v>73</v>
      </c>
      <c r="G9" s="86"/>
      <c r="H9" s="51" t="s">
        <v>74</v>
      </c>
      <c r="K9" s="91" t="s">
        <v>75</v>
      </c>
      <c r="L9" s="92" t="s">
        <v>75</v>
      </c>
      <c r="M9" s="51" t="s">
        <v>75</v>
      </c>
    </row>
    <row r="10" spans="1:17" s="74" customFormat="1" x14ac:dyDescent="0.25">
      <c r="A10" s="51"/>
      <c r="B10" s="316" t="s">
        <v>27</v>
      </c>
      <c r="C10" s="317"/>
      <c r="D10" s="90" t="s">
        <v>28</v>
      </c>
      <c r="E10" s="74" t="s">
        <v>29</v>
      </c>
      <c r="F10" s="69" t="s">
        <v>30</v>
      </c>
      <c r="G10" s="90"/>
      <c r="H10" s="69" t="s">
        <v>76</v>
      </c>
      <c r="K10" s="93" t="s">
        <v>52</v>
      </c>
      <c r="L10" s="90" t="s">
        <v>77</v>
      </c>
      <c r="M10" s="69" t="s">
        <v>78</v>
      </c>
    </row>
    <row r="11" spans="1:17" x14ac:dyDescent="0.25">
      <c r="A11" s="94"/>
      <c r="B11" s="95" t="s">
        <v>79</v>
      </c>
      <c r="C11" s="96"/>
      <c r="D11" s="96"/>
      <c r="E11" s="96"/>
      <c r="F11" s="96"/>
      <c r="H11" s="97"/>
      <c r="K11" s="98"/>
      <c r="L11" s="96"/>
    </row>
    <row r="12" spans="1:17" x14ac:dyDescent="0.25">
      <c r="A12" s="51">
        <v>1</v>
      </c>
      <c r="B12" s="99"/>
      <c r="C12" s="86"/>
      <c r="D12" s="90"/>
      <c r="E12" s="100"/>
      <c r="F12" s="101"/>
      <c r="G12" s="86"/>
      <c r="H12" s="102"/>
      <c r="K12" s="103"/>
      <c r="L12" s="104"/>
      <c r="M12" s="105"/>
      <c r="Q12" s="99"/>
    </row>
    <row r="13" spans="1:17" x14ac:dyDescent="0.25">
      <c r="A13" s="51">
        <v>2</v>
      </c>
      <c r="B13" s="99" t="s">
        <v>80</v>
      </c>
      <c r="C13" s="106"/>
      <c r="D13" s="90" t="s">
        <v>81</v>
      </c>
      <c r="E13" s="100">
        <f>+'Bills-Therms-Revs'!F12</f>
        <v>204189</v>
      </c>
      <c r="F13" s="101">
        <f>+'Test Period Volumes'!C35</f>
        <v>140216275.3119559</v>
      </c>
      <c r="G13" s="107"/>
      <c r="H13" s="101">
        <f>+'Bills-Therms-Revs'!I16</f>
        <v>184270124.75999999</v>
      </c>
      <c r="J13" s="108"/>
      <c r="K13" s="109">
        <f>+'CPA Proposed Rate 596'!G12</f>
        <v>1.6430000000000007E-2</v>
      </c>
      <c r="L13" s="104">
        <f>F13*K13</f>
        <v>2303753.4033754366</v>
      </c>
      <c r="M13" s="110">
        <f>+L13/H13</f>
        <v>1.2502045062247218E-2</v>
      </c>
      <c r="Q13" s="99"/>
    </row>
    <row r="14" spans="1:17" x14ac:dyDescent="0.25">
      <c r="A14" s="51">
        <v>3</v>
      </c>
      <c r="B14" s="99" t="s">
        <v>82</v>
      </c>
      <c r="C14" s="86"/>
      <c r="D14" s="90" t="s">
        <v>83</v>
      </c>
      <c r="E14" s="100">
        <f>+'Bills-Therms-Revs'!F18</f>
        <v>27579</v>
      </c>
      <c r="F14" s="101">
        <f>+'Test Period Volumes'!D35</f>
        <v>103631783.38918559</v>
      </c>
      <c r="G14" s="86"/>
      <c r="H14" s="101">
        <f>+'Bills-Therms-Revs'!I18+'Bills-Therms-Revs'!I21+'Bills-Therms-Revs'!I22</f>
        <v>124333137.98999999</v>
      </c>
      <c r="K14" s="109">
        <f>+'CPA Proposed Rate 596'!G13</f>
        <v>1.6430000000000007E-2</v>
      </c>
      <c r="L14" s="104">
        <f>ROUND(F14*K14,0)</f>
        <v>1702670</v>
      </c>
      <c r="M14" s="110">
        <f t="shared" ref="M14:M18" si="0">+L14/H14</f>
        <v>1.369441829849854E-2</v>
      </c>
      <c r="Q14" s="99"/>
    </row>
    <row r="15" spans="1:17" x14ac:dyDescent="0.25">
      <c r="A15" s="51">
        <v>4</v>
      </c>
      <c r="B15" s="99" t="s">
        <v>84</v>
      </c>
      <c r="C15" s="106"/>
      <c r="D15" s="90" t="s">
        <v>85</v>
      </c>
      <c r="E15" s="100">
        <f>+'Bills-Therms-Revs'!F28</f>
        <v>495</v>
      </c>
      <c r="F15" s="101">
        <f>+'Test Period Volumes'!E35</f>
        <v>13457822.341199517</v>
      </c>
      <c r="G15" s="86"/>
      <c r="H15" s="101">
        <f>+'Bills-Therms-Revs'!I28+'Bills-Therms-Revs'!I30+'Bills-Therms-Revs'!I31</f>
        <v>14347313.25</v>
      </c>
      <c r="K15" s="109">
        <f>+'CPA Proposed Rate 596'!G15</f>
        <v>1.6430000000000007E-2</v>
      </c>
      <c r="L15" s="104">
        <f t="shared" ref="L15:L17" si="1">F15*K15</f>
        <v>221112.02106590816</v>
      </c>
      <c r="M15" s="110">
        <f t="shared" si="0"/>
        <v>1.5411388683934128E-2</v>
      </c>
      <c r="Q15" s="99"/>
    </row>
    <row r="16" spans="1:17" x14ac:dyDescent="0.25">
      <c r="A16" s="51">
        <v>5</v>
      </c>
      <c r="B16" s="99" t="s">
        <v>86</v>
      </c>
      <c r="C16" s="86"/>
      <c r="D16" s="90" t="s">
        <v>87</v>
      </c>
      <c r="E16" s="100">
        <f>+'Bills-Therms-Revs'!F19+'Bills-Therms-Revs'!F29</f>
        <v>99</v>
      </c>
      <c r="F16" s="101">
        <f>+'Test Period Volumes'!F35</f>
        <v>16601133.000301499</v>
      </c>
      <c r="G16" s="107"/>
      <c r="H16" s="101">
        <f>+'Bills-Therms-Revs'!I19+'Bills-Therms-Revs'!I29+'Bills-Therms-Revs'!I23+'Bills-Therms-Revs'!I24</f>
        <v>17512226.16</v>
      </c>
      <c r="I16" s="108"/>
      <c r="J16" s="108"/>
      <c r="K16" s="109">
        <f>+'CPA Proposed Rate 596'!G14</f>
        <v>1.6430000000000007E-2</v>
      </c>
      <c r="L16" s="104">
        <f t="shared" si="1"/>
        <v>272756.61519495375</v>
      </c>
      <c r="M16" s="110">
        <f t="shared" si="0"/>
        <v>1.5575210867134766E-2</v>
      </c>
    </row>
    <row r="17" spans="1:17" x14ac:dyDescent="0.25">
      <c r="A17" s="51">
        <v>6</v>
      </c>
      <c r="B17" s="99" t="s">
        <v>88</v>
      </c>
      <c r="C17" s="86"/>
      <c r="D17" s="90" t="s">
        <v>89</v>
      </c>
      <c r="E17" s="100">
        <f>+'Bills-Therms-Revs'!F34</f>
        <v>7</v>
      </c>
      <c r="F17" s="101">
        <f>+'Test Period Volumes'!G35</f>
        <v>2353804.9573574951</v>
      </c>
      <c r="G17" s="107"/>
      <c r="H17" s="111">
        <f>+'Bills-Therms-Revs'!I39</f>
        <v>2109806.16</v>
      </c>
      <c r="J17" s="108"/>
      <c r="K17" s="112">
        <f>+'CPA Proposed Rate 596'!G16</f>
        <v>1.6430000000000007E-2</v>
      </c>
      <c r="L17" s="104">
        <f t="shared" si="1"/>
        <v>38673.01544938366</v>
      </c>
      <c r="M17" s="113">
        <f t="shared" si="0"/>
        <v>1.8330127280215949E-2</v>
      </c>
      <c r="Q17" s="99"/>
    </row>
    <row r="18" spans="1:17" s="123" customFormat="1" x14ac:dyDescent="0.25">
      <c r="A18" s="69">
        <v>7</v>
      </c>
      <c r="B18" s="95" t="s">
        <v>90</v>
      </c>
      <c r="C18" s="114"/>
      <c r="D18" s="115"/>
      <c r="E18" s="116">
        <f>SUM(E12:E17)</f>
        <v>232369</v>
      </c>
      <c r="F18" s="117">
        <f>SUM(F12:F17)</f>
        <v>276260818.99999994</v>
      </c>
      <c r="G18" s="118"/>
      <c r="H18" s="117">
        <f>SUM(H12:H17)</f>
        <v>342572608.32000005</v>
      </c>
      <c r="I18" s="119"/>
      <c r="J18" s="119"/>
      <c r="K18" s="120"/>
      <c r="L18" s="121">
        <f>SUM(L12:L17)</f>
        <v>4538965.0550856823</v>
      </c>
      <c r="M18" s="122">
        <f t="shared" si="0"/>
        <v>1.3249643856072099E-2</v>
      </c>
    </row>
  </sheetData>
  <mergeCells count="5">
    <mergeCell ref="C2:K2"/>
    <mergeCell ref="C3:K3"/>
    <mergeCell ref="C4:K4"/>
    <mergeCell ref="C5:K5"/>
    <mergeCell ref="B10:C10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B5DA-8202-4124-9A9D-1BD8A007F3E5}">
  <sheetPr>
    <pageSetUpPr fitToPage="1"/>
  </sheetPr>
  <dimension ref="A1:N37"/>
  <sheetViews>
    <sheetView topLeftCell="A5" workbookViewId="0">
      <selection activeCell="F12" sqref="F12"/>
    </sheetView>
  </sheetViews>
  <sheetFormatPr defaultColWidth="12" defaultRowHeight="15.75" x14ac:dyDescent="0.25"/>
  <cols>
    <col min="1" max="1" width="7" style="125" customWidth="1"/>
    <col min="2" max="2" width="2.33203125" style="125" customWidth="1"/>
    <col min="3" max="3" width="40.33203125" style="125" bestFit="1" customWidth="1"/>
    <col min="4" max="4" width="13.83203125" style="125" bestFit="1" customWidth="1"/>
    <col min="5" max="5" width="16.83203125" style="125" bestFit="1" customWidth="1"/>
    <col min="6" max="6" width="18" style="125" bestFit="1" customWidth="1"/>
    <col min="7" max="7" width="17.33203125" style="125" bestFit="1" customWidth="1"/>
    <col min="8" max="8" width="17.6640625" style="125" bestFit="1" customWidth="1"/>
    <col min="9" max="9" width="17.1640625" style="125" customWidth="1"/>
    <col min="10" max="10" width="15.6640625" style="125" bestFit="1" customWidth="1"/>
    <col min="11" max="11" width="21.5" style="125" bestFit="1" customWidth="1"/>
    <col min="12" max="12" width="17.1640625" style="125" customWidth="1"/>
    <col min="13" max="13" width="4.1640625" style="125" customWidth="1"/>
    <col min="14" max="255" width="12" style="125"/>
    <col min="256" max="256" width="7" style="125" customWidth="1"/>
    <col min="257" max="257" width="2.33203125" style="125" customWidth="1"/>
    <col min="258" max="259" width="12" style="125"/>
    <col min="260" max="260" width="6.5" style="125" customWidth="1"/>
    <col min="261" max="261" width="5.1640625" style="125" customWidth="1"/>
    <col min="262" max="262" width="12" style="125"/>
    <col min="263" max="263" width="5.1640625" style="125" customWidth="1"/>
    <col min="264" max="264" width="17.1640625" style="125" customWidth="1"/>
    <col min="265" max="265" width="4.5" style="125" customWidth="1"/>
    <col min="266" max="266" width="16.1640625" style="125" customWidth="1"/>
    <col min="267" max="267" width="4.83203125" style="125" customWidth="1"/>
    <col min="268" max="268" width="17.1640625" style="125" customWidth="1"/>
    <col min="269" max="269" width="4.1640625" style="125" customWidth="1"/>
    <col min="270" max="511" width="12" style="125"/>
    <col min="512" max="512" width="7" style="125" customWidth="1"/>
    <col min="513" max="513" width="2.33203125" style="125" customWidth="1"/>
    <col min="514" max="515" width="12" style="125"/>
    <col min="516" max="516" width="6.5" style="125" customWidth="1"/>
    <col min="517" max="517" width="5.1640625" style="125" customWidth="1"/>
    <col min="518" max="518" width="12" style="125"/>
    <col min="519" max="519" width="5.1640625" style="125" customWidth="1"/>
    <col min="520" max="520" width="17.1640625" style="125" customWidth="1"/>
    <col min="521" max="521" width="4.5" style="125" customWidth="1"/>
    <col min="522" max="522" width="16.1640625" style="125" customWidth="1"/>
    <col min="523" max="523" width="4.83203125" style="125" customWidth="1"/>
    <col min="524" max="524" width="17.1640625" style="125" customWidth="1"/>
    <col min="525" max="525" width="4.1640625" style="125" customWidth="1"/>
    <col min="526" max="767" width="12" style="125"/>
    <col min="768" max="768" width="7" style="125" customWidth="1"/>
    <col min="769" max="769" width="2.33203125" style="125" customWidth="1"/>
    <col min="770" max="771" width="12" style="125"/>
    <col min="772" max="772" width="6.5" style="125" customWidth="1"/>
    <col min="773" max="773" width="5.1640625" style="125" customWidth="1"/>
    <col min="774" max="774" width="12" style="125"/>
    <col min="775" max="775" width="5.1640625" style="125" customWidth="1"/>
    <col min="776" max="776" width="17.1640625" style="125" customWidth="1"/>
    <col min="777" max="777" width="4.5" style="125" customWidth="1"/>
    <col min="778" max="778" width="16.1640625" style="125" customWidth="1"/>
    <col min="779" max="779" width="4.83203125" style="125" customWidth="1"/>
    <col min="780" max="780" width="17.1640625" style="125" customWidth="1"/>
    <col min="781" max="781" width="4.1640625" style="125" customWidth="1"/>
    <col min="782" max="1023" width="12" style="125"/>
    <col min="1024" max="1024" width="7" style="125" customWidth="1"/>
    <col min="1025" max="1025" width="2.33203125" style="125" customWidth="1"/>
    <col min="1026" max="1027" width="12" style="125"/>
    <col min="1028" max="1028" width="6.5" style="125" customWidth="1"/>
    <col min="1029" max="1029" width="5.1640625" style="125" customWidth="1"/>
    <col min="1030" max="1030" width="12" style="125"/>
    <col min="1031" max="1031" width="5.1640625" style="125" customWidth="1"/>
    <col min="1032" max="1032" width="17.1640625" style="125" customWidth="1"/>
    <col min="1033" max="1033" width="4.5" style="125" customWidth="1"/>
    <col min="1034" max="1034" width="16.1640625" style="125" customWidth="1"/>
    <col min="1035" max="1035" width="4.83203125" style="125" customWidth="1"/>
    <col min="1036" max="1036" width="17.1640625" style="125" customWidth="1"/>
    <col min="1037" max="1037" width="4.1640625" style="125" customWidth="1"/>
    <col min="1038" max="1279" width="12" style="125"/>
    <col min="1280" max="1280" width="7" style="125" customWidth="1"/>
    <col min="1281" max="1281" width="2.33203125" style="125" customWidth="1"/>
    <col min="1282" max="1283" width="12" style="125"/>
    <col min="1284" max="1284" width="6.5" style="125" customWidth="1"/>
    <col min="1285" max="1285" width="5.1640625" style="125" customWidth="1"/>
    <col min="1286" max="1286" width="12" style="125"/>
    <col min="1287" max="1287" width="5.1640625" style="125" customWidth="1"/>
    <col min="1288" max="1288" width="17.1640625" style="125" customWidth="1"/>
    <col min="1289" max="1289" width="4.5" style="125" customWidth="1"/>
    <col min="1290" max="1290" width="16.1640625" style="125" customWidth="1"/>
    <col min="1291" max="1291" width="4.83203125" style="125" customWidth="1"/>
    <col min="1292" max="1292" width="17.1640625" style="125" customWidth="1"/>
    <col min="1293" max="1293" width="4.1640625" style="125" customWidth="1"/>
    <col min="1294" max="1535" width="12" style="125"/>
    <col min="1536" max="1536" width="7" style="125" customWidth="1"/>
    <col min="1537" max="1537" width="2.33203125" style="125" customWidth="1"/>
    <col min="1538" max="1539" width="12" style="125"/>
    <col min="1540" max="1540" width="6.5" style="125" customWidth="1"/>
    <col min="1541" max="1541" width="5.1640625" style="125" customWidth="1"/>
    <col min="1542" max="1542" width="12" style="125"/>
    <col min="1543" max="1543" width="5.1640625" style="125" customWidth="1"/>
    <col min="1544" max="1544" width="17.1640625" style="125" customWidth="1"/>
    <col min="1545" max="1545" width="4.5" style="125" customWidth="1"/>
    <col min="1546" max="1546" width="16.1640625" style="125" customWidth="1"/>
    <col min="1547" max="1547" width="4.83203125" style="125" customWidth="1"/>
    <col min="1548" max="1548" width="17.1640625" style="125" customWidth="1"/>
    <col min="1549" max="1549" width="4.1640625" style="125" customWidth="1"/>
    <col min="1550" max="1791" width="12" style="125"/>
    <col min="1792" max="1792" width="7" style="125" customWidth="1"/>
    <col min="1793" max="1793" width="2.33203125" style="125" customWidth="1"/>
    <col min="1794" max="1795" width="12" style="125"/>
    <col min="1796" max="1796" width="6.5" style="125" customWidth="1"/>
    <col min="1797" max="1797" width="5.1640625" style="125" customWidth="1"/>
    <col min="1798" max="1798" width="12" style="125"/>
    <col min="1799" max="1799" width="5.1640625" style="125" customWidth="1"/>
    <col min="1800" max="1800" width="17.1640625" style="125" customWidth="1"/>
    <col min="1801" max="1801" width="4.5" style="125" customWidth="1"/>
    <col min="1802" max="1802" width="16.1640625" style="125" customWidth="1"/>
    <col min="1803" max="1803" width="4.83203125" style="125" customWidth="1"/>
    <col min="1804" max="1804" width="17.1640625" style="125" customWidth="1"/>
    <col min="1805" max="1805" width="4.1640625" style="125" customWidth="1"/>
    <col min="1806" max="2047" width="12" style="125"/>
    <col min="2048" max="2048" width="7" style="125" customWidth="1"/>
    <col min="2049" max="2049" width="2.33203125" style="125" customWidth="1"/>
    <col min="2050" max="2051" width="12" style="125"/>
    <col min="2052" max="2052" width="6.5" style="125" customWidth="1"/>
    <col min="2053" max="2053" width="5.1640625" style="125" customWidth="1"/>
    <col min="2054" max="2054" width="12" style="125"/>
    <col min="2055" max="2055" width="5.1640625" style="125" customWidth="1"/>
    <col min="2056" max="2056" width="17.1640625" style="125" customWidth="1"/>
    <col min="2057" max="2057" width="4.5" style="125" customWidth="1"/>
    <col min="2058" max="2058" width="16.1640625" style="125" customWidth="1"/>
    <col min="2059" max="2059" width="4.83203125" style="125" customWidth="1"/>
    <col min="2060" max="2060" width="17.1640625" style="125" customWidth="1"/>
    <col min="2061" max="2061" width="4.1640625" style="125" customWidth="1"/>
    <col min="2062" max="2303" width="12" style="125"/>
    <col min="2304" max="2304" width="7" style="125" customWidth="1"/>
    <col min="2305" max="2305" width="2.33203125" style="125" customWidth="1"/>
    <col min="2306" max="2307" width="12" style="125"/>
    <col min="2308" max="2308" width="6.5" style="125" customWidth="1"/>
    <col min="2309" max="2309" width="5.1640625" style="125" customWidth="1"/>
    <col min="2310" max="2310" width="12" style="125"/>
    <col min="2311" max="2311" width="5.1640625" style="125" customWidth="1"/>
    <col min="2312" max="2312" width="17.1640625" style="125" customWidth="1"/>
    <col min="2313" max="2313" width="4.5" style="125" customWidth="1"/>
    <col min="2314" max="2314" width="16.1640625" style="125" customWidth="1"/>
    <col min="2315" max="2315" width="4.83203125" style="125" customWidth="1"/>
    <col min="2316" max="2316" width="17.1640625" style="125" customWidth="1"/>
    <col min="2317" max="2317" width="4.1640625" style="125" customWidth="1"/>
    <col min="2318" max="2559" width="12" style="125"/>
    <col min="2560" max="2560" width="7" style="125" customWidth="1"/>
    <col min="2561" max="2561" width="2.33203125" style="125" customWidth="1"/>
    <col min="2562" max="2563" width="12" style="125"/>
    <col min="2564" max="2564" width="6.5" style="125" customWidth="1"/>
    <col min="2565" max="2565" width="5.1640625" style="125" customWidth="1"/>
    <col min="2566" max="2566" width="12" style="125"/>
    <col min="2567" max="2567" width="5.1640625" style="125" customWidth="1"/>
    <col min="2568" max="2568" width="17.1640625" style="125" customWidth="1"/>
    <col min="2569" max="2569" width="4.5" style="125" customWidth="1"/>
    <col min="2570" max="2570" width="16.1640625" style="125" customWidth="1"/>
    <col min="2571" max="2571" width="4.83203125" style="125" customWidth="1"/>
    <col min="2572" max="2572" width="17.1640625" style="125" customWidth="1"/>
    <col min="2573" max="2573" width="4.1640625" style="125" customWidth="1"/>
    <col min="2574" max="2815" width="12" style="125"/>
    <col min="2816" max="2816" width="7" style="125" customWidth="1"/>
    <col min="2817" max="2817" width="2.33203125" style="125" customWidth="1"/>
    <col min="2818" max="2819" width="12" style="125"/>
    <col min="2820" max="2820" width="6.5" style="125" customWidth="1"/>
    <col min="2821" max="2821" width="5.1640625" style="125" customWidth="1"/>
    <col min="2822" max="2822" width="12" style="125"/>
    <col min="2823" max="2823" width="5.1640625" style="125" customWidth="1"/>
    <col min="2824" max="2824" width="17.1640625" style="125" customWidth="1"/>
    <col min="2825" max="2825" width="4.5" style="125" customWidth="1"/>
    <col min="2826" max="2826" width="16.1640625" style="125" customWidth="1"/>
    <col min="2827" max="2827" width="4.83203125" style="125" customWidth="1"/>
    <col min="2828" max="2828" width="17.1640625" style="125" customWidth="1"/>
    <col min="2829" max="2829" width="4.1640625" style="125" customWidth="1"/>
    <col min="2830" max="3071" width="12" style="125"/>
    <col min="3072" max="3072" width="7" style="125" customWidth="1"/>
    <col min="3073" max="3073" width="2.33203125" style="125" customWidth="1"/>
    <col min="3074" max="3075" width="12" style="125"/>
    <col min="3076" max="3076" width="6.5" style="125" customWidth="1"/>
    <col min="3077" max="3077" width="5.1640625" style="125" customWidth="1"/>
    <col min="3078" max="3078" width="12" style="125"/>
    <col min="3079" max="3079" width="5.1640625" style="125" customWidth="1"/>
    <col min="3080" max="3080" width="17.1640625" style="125" customWidth="1"/>
    <col min="3081" max="3081" width="4.5" style="125" customWidth="1"/>
    <col min="3082" max="3082" width="16.1640625" style="125" customWidth="1"/>
    <col min="3083" max="3083" width="4.83203125" style="125" customWidth="1"/>
    <col min="3084" max="3084" width="17.1640625" style="125" customWidth="1"/>
    <col min="3085" max="3085" width="4.1640625" style="125" customWidth="1"/>
    <col min="3086" max="3327" width="12" style="125"/>
    <col min="3328" max="3328" width="7" style="125" customWidth="1"/>
    <col min="3329" max="3329" width="2.33203125" style="125" customWidth="1"/>
    <col min="3330" max="3331" width="12" style="125"/>
    <col min="3332" max="3332" width="6.5" style="125" customWidth="1"/>
    <col min="3333" max="3333" width="5.1640625" style="125" customWidth="1"/>
    <col min="3334" max="3334" width="12" style="125"/>
    <col min="3335" max="3335" width="5.1640625" style="125" customWidth="1"/>
    <col min="3336" max="3336" width="17.1640625" style="125" customWidth="1"/>
    <col min="3337" max="3337" width="4.5" style="125" customWidth="1"/>
    <col min="3338" max="3338" width="16.1640625" style="125" customWidth="1"/>
    <col min="3339" max="3339" width="4.83203125" style="125" customWidth="1"/>
    <col min="3340" max="3340" width="17.1640625" style="125" customWidth="1"/>
    <col min="3341" max="3341" width="4.1640625" style="125" customWidth="1"/>
    <col min="3342" max="3583" width="12" style="125"/>
    <col min="3584" max="3584" width="7" style="125" customWidth="1"/>
    <col min="3585" max="3585" width="2.33203125" style="125" customWidth="1"/>
    <col min="3586" max="3587" width="12" style="125"/>
    <col min="3588" max="3588" width="6.5" style="125" customWidth="1"/>
    <col min="3589" max="3589" width="5.1640625" style="125" customWidth="1"/>
    <col min="3590" max="3590" width="12" style="125"/>
    <col min="3591" max="3591" width="5.1640625" style="125" customWidth="1"/>
    <col min="3592" max="3592" width="17.1640625" style="125" customWidth="1"/>
    <col min="3593" max="3593" width="4.5" style="125" customWidth="1"/>
    <col min="3594" max="3594" width="16.1640625" style="125" customWidth="1"/>
    <col min="3595" max="3595" width="4.83203125" style="125" customWidth="1"/>
    <col min="3596" max="3596" width="17.1640625" style="125" customWidth="1"/>
    <col min="3597" max="3597" width="4.1640625" style="125" customWidth="1"/>
    <col min="3598" max="3839" width="12" style="125"/>
    <col min="3840" max="3840" width="7" style="125" customWidth="1"/>
    <col min="3841" max="3841" width="2.33203125" style="125" customWidth="1"/>
    <col min="3842" max="3843" width="12" style="125"/>
    <col min="3844" max="3844" width="6.5" style="125" customWidth="1"/>
    <col min="3845" max="3845" width="5.1640625" style="125" customWidth="1"/>
    <col min="3846" max="3846" width="12" style="125"/>
    <col min="3847" max="3847" width="5.1640625" style="125" customWidth="1"/>
    <col min="3848" max="3848" width="17.1640625" style="125" customWidth="1"/>
    <col min="3849" max="3849" width="4.5" style="125" customWidth="1"/>
    <col min="3850" max="3850" width="16.1640625" style="125" customWidth="1"/>
    <col min="3851" max="3851" width="4.83203125" style="125" customWidth="1"/>
    <col min="3852" max="3852" width="17.1640625" style="125" customWidth="1"/>
    <col min="3853" max="3853" width="4.1640625" style="125" customWidth="1"/>
    <col min="3854" max="4095" width="12" style="125"/>
    <col min="4096" max="4096" width="7" style="125" customWidth="1"/>
    <col min="4097" max="4097" width="2.33203125" style="125" customWidth="1"/>
    <col min="4098" max="4099" width="12" style="125"/>
    <col min="4100" max="4100" width="6.5" style="125" customWidth="1"/>
    <col min="4101" max="4101" width="5.1640625" style="125" customWidth="1"/>
    <col min="4102" max="4102" width="12" style="125"/>
    <col min="4103" max="4103" width="5.1640625" style="125" customWidth="1"/>
    <col min="4104" max="4104" width="17.1640625" style="125" customWidth="1"/>
    <col min="4105" max="4105" width="4.5" style="125" customWidth="1"/>
    <col min="4106" max="4106" width="16.1640625" style="125" customWidth="1"/>
    <col min="4107" max="4107" width="4.83203125" style="125" customWidth="1"/>
    <col min="4108" max="4108" width="17.1640625" style="125" customWidth="1"/>
    <col min="4109" max="4109" width="4.1640625" style="125" customWidth="1"/>
    <col min="4110" max="4351" width="12" style="125"/>
    <col min="4352" max="4352" width="7" style="125" customWidth="1"/>
    <col min="4353" max="4353" width="2.33203125" style="125" customWidth="1"/>
    <col min="4354" max="4355" width="12" style="125"/>
    <col min="4356" max="4356" width="6.5" style="125" customWidth="1"/>
    <col min="4357" max="4357" width="5.1640625" style="125" customWidth="1"/>
    <col min="4358" max="4358" width="12" style="125"/>
    <col min="4359" max="4359" width="5.1640625" style="125" customWidth="1"/>
    <col min="4360" max="4360" width="17.1640625" style="125" customWidth="1"/>
    <col min="4361" max="4361" width="4.5" style="125" customWidth="1"/>
    <col min="4362" max="4362" width="16.1640625" style="125" customWidth="1"/>
    <col min="4363" max="4363" width="4.83203125" style="125" customWidth="1"/>
    <col min="4364" max="4364" width="17.1640625" style="125" customWidth="1"/>
    <col min="4365" max="4365" width="4.1640625" style="125" customWidth="1"/>
    <col min="4366" max="4607" width="12" style="125"/>
    <col min="4608" max="4608" width="7" style="125" customWidth="1"/>
    <col min="4609" max="4609" width="2.33203125" style="125" customWidth="1"/>
    <col min="4610" max="4611" width="12" style="125"/>
    <col min="4612" max="4612" width="6.5" style="125" customWidth="1"/>
    <col min="4613" max="4613" width="5.1640625" style="125" customWidth="1"/>
    <col min="4614" max="4614" width="12" style="125"/>
    <col min="4615" max="4615" width="5.1640625" style="125" customWidth="1"/>
    <col min="4616" max="4616" width="17.1640625" style="125" customWidth="1"/>
    <col min="4617" max="4617" width="4.5" style="125" customWidth="1"/>
    <col min="4618" max="4618" width="16.1640625" style="125" customWidth="1"/>
    <col min="4619" max="4619" width="4.83203125" style="125" customWidth="1"/>
    <col min="4620" max="4620" width="17.1640625" style="125" customWidth="1"/>
    <col min="4621" max="4621" width="4.1640625" style="125" customWidth="1"/>
    <col min="4622" max="4863" width="12" style="125"/>
    <col min="4864" max="4864" width="7" style="125" customWidth="1"/>
    <col min="4865" max="4865" width="2.33203125" style="125" customWidth="1"/>
    <col min="4866" max="4867" width="12" style="125"/>
    <col min="4868" max="4868" width="6.5" style="125" customWidth="1"/>
    <col min="4869" max="4869" width="5.1640625" style="125" customWidth="1"/>
    <col min="4870" max="4870" width="12" style="125"/>
    <col min="4871" max="4871" width="5.1640625" style="125" customWidth="1"/>
    <col min="4872" max="4872" width="17.1640625" style="125" customWidth="1"/>
    <col min="4873" max="4873" width="4.5" style="125" customWidth="1"/>
    <col min="4874" max="4874" width="16.1640625" style="125" customWidth="1"/>
    <col min="4875" max="4875" width="4.83203125" style="125" customWidth="1"/>
    <col min="4876" max="4876" width="17.1640625" style="125" customWidth="1"/>
    <col min="4877" max="4877" width="4.1640625" style="125" customWidth="1"/>
    <col min="4878" max="5119" width="12" style="125"/>
    <col min="5120" max="5120" width="7" style="125" customWidth="1"/>
    <col min="5121" max="5121" width="2.33203125" style="125" customWidth="1"/>
    <col min="5122" max="5123" width="12" style="125"/>
    <col min="5124" max="5124" width="6.5" style="125" customWidth="1"/>
    <col min="5125" max="5125" width="5.1640625" style="125" customWidth="1"/>
    <col min="5126" max="5126" width="12" style="125"/>
    <col min="5127" max="5127" width="5.1640625" style="125" customWidth="1"/>
    <col min="5128" max="5128" width="17.1640625" style="125" customWidth="1"/>
    <col min="5129" max="5129" width="4.5" style="125" customWidth="1"/>
    <col min="5130" max="5130" width="16.1640625" style="125" customWidth="1"/>
    <col min="5131" max="5131" width="4.83203125" style="125" customWidth="1"/>
    <col min="5132" max="5132" width="17.1640625" style="125" customWidth="1"/>
    <col min="5133" max="5133" width="4.1640625" style="125" customWidth="1"/>
    <col min="5134" max="5375" width="12" style="125"/>
    <col min="5376" max="5376" width="7" style="125" customWidth="1"/>
    <col min="5377" max="5377" width="2.33203125" style="125" customWidth="1"/>
    <col min="5378" max="5379" width="12" style="125"/>
    <col min="5380" max="5380" width="6.5" style="125" customWidth="1"/>
    <col min="5381" max="5381" width="5.1640625" style="125" customWidth="1"/>
    <col min="5382" max="5382" width="12" style="125"/>
    <col min="5383" max="5383" width="5.1640625" style="125" customWidth="1"/>
    <col min="5384" max="5384" width="17.1640625" style="125" customWidth="1"/>
    <col min="5385" max="5385" width="4.5" style="125" customWidth="1"/>
    <col min="5386" max="5386" width="16.1640625" style="125" customWidth="1"/>
    <col min="5387" max="5387" width="4.83203125" style="125" customWidth="1"/>
    <col min="5388" max="5388" width="17.1640625" style="125" customWidth="1"/>
    <col min="5389" max="5389" width="4.1640625" style="125" customWidth="1"/>
    <col min="5390" max="5631" width="12" style="125"/>
    <col min="5632" max="5632" width="7" style="125" customWidth="1"/>
    <col min="5633" max="5633" width="2.33203125" style="125" customWidth="1"/>
    <col min="5634" max="5635" width="12" style="125"/>
    <col min="5636" max="5636" width="6.5" style="125" customWidth="1"/>
    <col min="5637" max="5637" width="5.1640625" style="125" customWidth="1"/>
    <col min="5638" max="5638" width="12" style="125"/>
    <col min="5639" max="5639" width="5.1640625" style="125" customWidth="1"/>
    <col min="5640" max="5640" width="17.1640625" style="125" customWidth="1"/>
    <col min="5641" max="5641" width="4.5" style="125" customWidth="1"/>
    <col min="5642" max="5642" width="16.1640625" style="125" customWidth="1"/>
    <col min="5643" max="5643" width="4.83203125" style="125" customWidth="1"/>
    <col min="5644" max="5644" width="17.1640625" style="125" customWidth="1"/>
    <col min="5645" max="5645" width="4.1640625" style="125" customWidth="1"/>
    <col min="5646" max="5887" width="12" style="125"/>
    <col min="5888" max="5888" width="7" style="125" customWidth="1"/>
    <col min="5889" max="5889" width="2.33203125" style="125" customWidth="1"/>
    <col min="5890" max="5891" width="12" style="125"/>
    <col min="5892" max="5892" width="6.5" style="125" customWidth="1"/>
    <col min="5893" max="5893" width="5.1640625" style="125" customWidth="1"/>
    <col min="5894" max="5894" width="12" style="125"/>
    <col min="5895" max="5895" width="5.1640625" style="125" customWidth="1"/>
    <col min="5896" max="5896" width="17.1640625" style="125" customWidth="1"/>
    <col min="5897" max="5897" width="4.5" style="125" customWidth="1"/>
    <col min="5898" max="5898" width="16.1640625" style="125" customWidth="1"/>
    <col min="5899" max="5899" width="4.83203125" style="125" customWidth="1"/>
    <col min="5900" max="5900" width="17.1640625" style="125" customWidth="1"/>
    <col min="5901" max="5901" width="4.1640625" style="125" customWidth="1"/>
    <col min="5902" max="6143" width="12" style="125"/>
    <col min="6144" max="6144" width="7" style="125" customWidth="1"/>
    <col min="6145" max="6145" width="2.33203125" style="125" customWidth="1"/>
    <col min="6146" max="6147" width="12" style="125"/>
    <col min="6148" max="6148" width="6.5" style="125" customWidth="1"/>
    <col min="6149" max="6149" width="5.1640625" style="125" customWidth="1"/>
    <col min="6150" max="6150" width="12" style="125"/>
    <col min="6151" max="6151" width="5.1640625" style="125" customWidth="1"/>
    <col min="6152" max="6152" width="17.1640625" style="125" customWidth="1"/>
    <col min="6153" max="6153" width="4.5" style="125" customWidth="1"/>
    <col min="6154" max="6154" width="16.1640625" style="125" customWidth="1"/>
    <col min="6155" max="6155" width="4.83203125" style="125" customWidth="1"/>
    <col min="6156" max="6156" width="17.1640625" style="125" customWidth="1"/>
    <col min="6157" max="6157" width="4.1640625" style="125" customWidth="1"/>
    <col min="6158" max="6399" width="12" style="125"/>
    <col min="6400" max="6400" width="7" style="125" customWidth="1"/>
    <col min="6401" max="6401" width="2.33203125" style="125" customWidth="1"/>
    <col min="6402" max="6403" width="12" style="125"/>
    <col min="6404" max="6404" width="6.5" style="125" customWidth="1"/>
    <col min="6405" max="6405" width="5.1640625" style="125" customWidth="1"/>
    <col min="6406" max="6406" width="12" style="125"/>
    <col min="6407" max="6407" width="5.1640625" style="125" customWidth="1"/>
    <col min="6408" max="6408" width="17.1640625" style="125" customWidth="1"/>
    <col min="6409" max="6409" width="4.5" style="125" customWidth="1"/>
    <col min="6410" max="6410" width="16.1640625" style="125" customWidth="1"/>
    <col min="6411" max="6411" width="4.83203125" style="125" customWidth="1"/>
    <col min="6412" max="6412" width="17.1640625" style="125" customWidth="1"/>
    <col min="6413" max="6413" width="4.1640625" style="125" customWidth="1"/>
    <col min="6414" max="6655" width="12" style="125"/>
    <col min="6656" max="6656" width="7" style="125" customWidth="1"/>
    <col min="6657" max="6657" width="2.33203125" style="125" customWidth="1"/>
    <col min="6658" max="6659" width="12" style="125"/>
    <col min="6660" max="6660" width="6.5" style="125" customWidth="1"/>
    <col min="6661" max="6661" width="5.1640625" style="125" customWidth="1"/>
    <col min="6662" max="6662" width="12" style="125"/>
    <col min="6663" max="6663" width="5.1640625" style="125" customWidth="1"/>
    <col min="6664" max="6664" width="17.1640625" style="125" customWidth="1"/>
    <col min="6665" max="6665" width="4.5" style="125" customWidth="1"/>
    <col min="6666" max="6666" width="16.1640625" style="125" customWidth="1"/>
    <col min="6667" max="6667" width="4.83203125" style="125" customWidth="1"/>
    <col min="6668" max="6668" width="17.1640625" style="125" customWidth="1"/>
    <col min="6669" max="6669" width="4.1640625" style="125" customWidth="1"/>
    <col min="6670" max="6911" width="12" style="125"/>
    <col min="6912" max="6912" width="7" style="125" customWidth="1"/>
    <col min="6913" max="6913" width="2.33203125" style="125" customWidth="1"/>
    <col min="6914" max="6915" width="12" style="125"/>
    <col min="6916" max="6916" width="6.5" style="125" customWidth="1"/>
    <col min="6917" max="6917" width="5.1640625" style="125" customWidth="1"/>
    <col min="6918" max="6918" width="12" style="125"/>
    <col min="6919" max="6919" width="5.1640625" style="125" customWidth="1"/>
    <col min="6920" max="6920" width="17.1640625" style="125" customWidth="1"/>
    <col min="6921" max="6921" width="4.5" style="125" customWidth="1"/>
    <col min="6922" max="6922" width="16.1640625" style="125" customWidth="1"/>
    <col min="6923" max="6923" width="4.83203125" style="125" customWidth="1"/>
    <col min="6924" max="6924" width="17.1640625" style="125" customWidth="1"/>
    <col min="6925" max="6925" width="4.1640625" style="125" customWidth="1"/>
    <col min="6926" max="7167" width="12" style="125"/>
    <col min="7168" max="7168" width="7" style="125" customWidth="1"/>
    <col min="7169" max="7169" width="2.33203125" style="125" customWidth="1"/>
    <col min="7170" max="7171" width="12" style="125"/>
    <col min="7172" max="7172" width="6.5" style="125" customWidth="1"/>
    <col min="7173" max="7173" width="5.1640625" style="125" customWidth="1"/>
    <col min="7174" max="7174" width="12" style="125"/>
    <col min="7175" max="7175" width="5.1640625" style="125" customWidth="1"/>
    <col min="7176" max="7176" width="17.1640625" style="125" customWidth="1"/>
    <col min="7177" max="7177" width="4.5" style="125" customWidth="1"/>
    <col min="7178" max="7178" width="16.1640625" style="125" customWidth="1"/>
    <col min="7179" max="7179" width="4.83203125" style="125" customWidth="1"/>
    <col min="7180" max="7180" width="17.1640625" style="125" customWidth="1"/>
    <col min="7181" max="7181" width="4.1640625" style="125" customWidth="1"/>
    <col min="7182" max="7423" width="12" style="125"/>
    <col min="7424" max="7424" width="7" style="125" customWidth="1"/>
    <col min="7425" max="7425" width="2.33203125" style="125" customWidth="1"/>
    <col min="7426" max="7427" width="12" style="125"/>
    <col min="7428" max="7428" width="6.5" style="125" customWidth="1"/>
    <col min="7429" max="7429" width="5.1640625" style="125" customWidth="1"/>
    <col min="7430" max="7430" width="12" style="125"/>
    <col min="7431" max="7431" width="5.1640625" style="125" customWidth="1"/>
    <col min="7432" max="7432" width="17.1640625" style="125" customWidth="1"/>
    <col min="7433" max="7433" width="4.5" style="125" customWidth="1"/>
    <col min="7434" max="7434" width="16.1640625" style="125" customWidth="1"/>
    <col min="7435" max="7435" width="4.83203125" style="125" customWidth="1"/>
    <col min="7436" max="7436" width="17.1640625" style="125" customWidth="1"/>
    <col min="7437" max="7437" width="4.1640625" style="125" customWidth="1"/>
    <col min="7438" max="7679" width="12" style="125"/>
    <col min="7680" max="7680" width="7" style="125" customWidth="1"/>
    <col min="7681" max="7681" width="2.33203125" style="125" customWidth="1"/>
    <col min="7682" max="7683" width="12" style="125"/>
    <col min="7684" max="7684" width="6.5" style="125" customWidth="1"/>
    <col min="7685" max="7685" width="5.1640625" style="125" customWidth="1"/>
    <col min="7686" max="7686" width="12" style="125"/>
    <col min="7687" max="7687" width="5.1640625" style="125" customWidth="1"/>
    <col min="7688" max="7688" width="17.1640625" style="125" customWidth="1"/>
    <col min="7689" max="7689" width="4.5" style="125" customWidth="1"/>
    <col min="7690" max="7690" width="16.1640625" style="125" customWidth="1"/>
    <col min="7691" max="7691" width="4.83203125" style="125" customWidth="1"/>
    <col min="7692" max="7692" width="17.1640625" style="125" customWidth="1"/>
    <col min="7693" max="7693" width="4.1640625" style="125" customWidth="1"/>
    <col min="7694" max="7935" width="12" style="125"/>
    <col min="7936" max="7936" width="7" style="125" customWidth="1"/>
    <col min="7937" max="7937" width="2.33203125" style="125" customWidth="1"/>
    <col min="7938" max="7939" width="12" style="125"/>
    <col min="7940" max="7940" width="6.5" style="125" customWidth="1"/>
    <col min="7941" max="7941" width="5.1640625" style="125" customWidth="1"/>
    <col min="7942" max="7942" width="12" style="125"/>
    <col min="7943" max="7943" width="5.1640625" style="125" customWidth="1"/>
    <col min="7944" max="7944" width="17.1640625" style="125" customWidth="1"/>
    <col min="7945" max="7945" width="4.5" style="125" customWidth="1"/>
    <col min="7946" max="7946" width="16.1640625" style="125" customWidth="1"/>
    <col min="7947" max="7947" width="4.83203125" style="125" customWidth="1"/>
    <col min="7948" max="7948" width="17.1640625" style="125" customWidth="1"/>
    <col min="7949" max="7949" width="4.1640625" style="125" customWidth="1"/>
    <col min="7950" max="8191" width="12" style="125"/>
    <col min="8192" max="8192" width="7" style="125" customWidth="1"/>
    <col min="8193" max="8193" width="2.33203125" style="125" customWidth="1"/>
    <col min="8194" max="8195" width="12" style="125"/>
    <col min="8196" max="8196" width="6.5" style="125" customWidth="1"/>
    <col min="8197" max="8197" width="5.1640625" style="125" customWidth="1"/>
    <col min="8198" max="8198" width="12" style="125"/>
    <col min="8199" max="8199" width="5.1640625" style="125" customWidth="1"/>
    <col min="8200" max="8200" width="17.1640625" style="125" customWidth="1"/>
    <col min="8201" max="8201" width="4.5" style="125" customWidth="1"/>
    <col min="8202" max="8202" width="16.1640625" style="125" customWidth="1"/>
    <col min="8203" max="8203" width="4.83203125" style="125" customWidth="1"/>
    <col min="8204" max="8204" width="17.1640625" style="125" customWidth="1"/>
    <col min="8205" max="8205" width="4.1640625" style="125" customWidth="1"/>
    <col min="8206" max="8447" width="12" style="125"/>
    <col min="8448" max="8448" width="7" style="125" customWidth="1"/>
    <col min="8449" max="8449" width="2.33203125" style="125" customWidth="1"/>
    <col min="8450" max="8451" width="12" style="125"/>
    <col min="8452" max="8452" width="6.5" style="125" customWidth="1"/>
    <col min="8453" max="8453" width="5.1640625" style="125" customWidth="1"/>
    <col min="8454" max="8454" width="12" style="125"/>
    <col min="8455" max="8455" width="5.1640625" style="125" customWidth="1"/>
    <col min="8456" max="8456" width="17.1640625" style="125" customWidth="1"/>
    <col min="8457" max="8457" width="4.5" style="125" customWidth="1"/>
    <col min="8458" max="8458" width="16.1640625" style="125" customWidth="1"/>
    <col min="8459" max="8459" width="4.83203125" style="125" customWidth="1"/>
    <col min="8460" max="8460" width="17.1640625" style="125" customWidth="1"/>
    <col min="8461" max="8461" width="4.1640625" style="125" customWidth="1"/>
    <col min="8462" max="8703" width="12" style="125"/>
    <col min="8704" max="8704" width="7" style="125" customWidth="1"/>
    <col min="8705" max="8705" width="2.33203125" style="125" customWidth="1"/>
    <col min="8706" max="8707" width="12" style="125"/>
    <col min="8708" max="8708" width="6.5" style="125" customWidth="1"/>
    <col min="8709" max="8709" width="5.1640625" style="125" customWidth="1"/>
    <col min="8710" max="8710" width="12" style="125"/>
    <col min="8711" max="8711" width="5.1640625" style="125" customWidth="1"/>
    <col min="8712" max="8712" width="17.1640625" style="125" customWidth="1"/>
    <col min="8713" max="8713" width="4.5" style="125" customWidth="1"/>
    <col min="8714" max="8714" width="16.1640625" style="125" customWidth="1"/>
    <col min="8715" max="8715" width="4.83203125" style="125" customWidth="1"/>
    <col min="8716" max="8716" width="17.1640625" style="125" customWidth="1"/>
    <col min="8717" max="8717" width="4.1640625" style="125" customWidth="1"/>
    <col min="8718" max="8959" width="12" style="125"/>
    <col min="8960" max="8960" width="7" style="125" customWidth="1"/>
    <col min="8961" max="8961" width="2.33203125" style="125" customWidth="1"/>
    <col min="8962" max="8963" width="12" style="125"/>
    <col min="8964" max="8964" width="6.5" style="125" customWidth="1"/>
    <col min="8965" max="8965" width="5.1640625" style="125" customWidth="1"/>
    <col min="8966" max="8966" width="12" style="125"/>
    <col min="8967" max="8967" width="5.1640625" style="125" customWidth="1"/>
    <col min="8968" max="8968" width="17.1640625" style="125" customWidth="1"/>
    <col min="8969" max="8969" width="4.5" style="125" customWidth="1"/>
    <col min="8970" max="8970" width="16.1640625" style="125" customWidth="1"/>
    <col min="8971" max="8971" width="4.83203125" style="125" customWidth="1"/>
    <col min="8972" max="8972" width="17.1640625" style="125" customWidth="1"/>
    <col min="8973" max="8973" width="4.1640625" style="125" customWidth="1"/>
    <col min="8974" max="9215" width="12" style="125"/>
    <col min="9216" max="9216" width="7" style="125" customWidth="1"/>
    <col min="9217" max="9217" width="2.33203125" style="125" customWidth="1"/>
    <col min="9218" max="9219" width="12" style="125"/>
    <col min="9220" max="9220" width="6.5" style="125" customWidth="1"/>
    <col min="9221" max="9221" width="5.1640625" style="125" customWidth="1"/>
    <col min="9222" max="9222" width="12" style="125"/>
    <col min="9223" max="9223" width="5.1640625" style="125" customWidth="1"/>
    <col min="9224" max="9224" width="17.1640625" style="125" customWidth="1"/>
    <col min="9225" max="9225" width="4.5" style="125" customWidth="1"/>
    <col min="9226" max="9226" width="16.1640625" style="125" customWidth="1"/>
    <col min="9227" max="9227" width="4.83203125" style="125" customWidth="1"/>
    <col min="9228" max="9228" width="17.1640625" style="125" customWidth="1"/>
    <col min="9229" max="9229" width="4.1640625" style="125" customWidth="1"/>
    <col min="9230" max="9471" width="12" style="125"/>
    <col min="9472" max="9472" width="7" style="125" customWidth="1"/>
    <col min="9473" max="9473" width="2.33203125" style="125" customWidth="1"/>
    <col min="9474" max="9475" width="12" style="125"/>
    <col min="9476" max="9476" width="6.5" style="125" customWidth="1"/>
    <col min="9477" max="9477" width="5.1640625" style="125" customWidth="1"/>
    <col min="9478" max="9478" width="12" style="125"/>
    <col min="9479" max="9479" width="5.1640625" style="125" customWidth="1"/>
    <col min="9480" max="9480" width="17.1640625" style="125" customWidth="1"/>
    <col min="9481" max="9481" width="4.5" style="125" customWidth="1"/>
    <col min="9482" max="9482" width="16.1640625" style="125" customWidth="1"/>
    <col min="9483" max="9483" width="4.83203125" style="125" customWidth="1"/>
    <col min="9484" max="9484" width="17.1640625" style="125" customWidth="1"/>
    <col min="9485" max="9485" width="4.1640625" style="125" customWidth="1"/>
    <col min="9486" max="9727" width="12" style="125"/>
    <col min="9728" max="9728" width="7" style="125" customWidth="1"/>
    <col min="9729" max="9729" width="2.33203125" style="125" customWidth="1"/>
    <col min="9730" max="9731" width="12" style="125"/>
    <col min="9732" max="9732" width="6.5" style="125" customWidth="1"/>
    <col min="9733" max="9733" width="5.1640625" style="125" customWidth="1"/>
    <col min="9734" max="9734" width="12" style="125"/>
    <col min="9735" max="9735" width="5.1640625" style="125" customWidth="1"/>
    <col min="9736" max="9736" width="17.1640625" style="125" customWidth="1"/>
    <col min="9737" max="9737" width="4.5" style="125" customWidth="1"/>
    <col min="9738" max="9738" width="16.1640625" style="125" customWidth="1"/>
    <col min="9739" max="9739" width="4.83203125" style="125" customWidth="1"/>
    <col min="9740" max="9740" width="17.1640625" style="125" customWidth="1"/>
    <col min="9741" max="9741" width="4.1640625" style="125" customWidth="1"/>
    <col min="9742" max="9983" width="12" style="125"/>
    <col min="9984" max="9984" width="7" style="125" customWidth="1"/>
    <col min="9985" max="9985" width="2.33203125" style="125" customWidth="1"/>
    <col min="9986" max="9987" width="12" style="125"/>
    <col min="9988" max="9988" width="6.5" style="125" customWidth="1"/>
    <col min="9989" max="9989" width="5.1640625" style="125" customWidth="1"/>
    <col min="9990" max="9990" width="12" style="125"/>
    <col min="9991" max="9991" width="5.1640625" style="125" customWidth="1"/>
    <col min="9992" max="9992" width="17.1640625" style="125" customWidth="1"/>
    <col min="9993" max="9993" width="4.5" style="125" customWidth="1"/>
    <col min="9994" max="9994" width="16.1640625" style="125" customWidth="1"/>
    <col min="9995" max="9995" width="4.83203125" style="125" customWidth="1"/>
    <col min="9996" max="9996" width="17.1640625" style="125" customWidth="1"/>
    <col min="9997" max="9997" width="4.1640625" style="125" customWidth="1"/>
    <col min="9998" max="10239" width="12" style="125"/>
    <col min="10240" max="10240" width="7" style="125" customWidth="1"/>
    <col min="10241" max="10241" width="2.33203125" style="125" customWidth="1"/>
    <col min="10242" max="10243" width="12" style="125"/>
    <col min="10244" max="10244" width="6.5" style="125" customWidth="1"/>
    <col min="10245" max="10245" width="5.1640625" style="125" customWidth="1"/>
    <col min="10246" max="10246" width="12" style="125"/>
    <col min="10247" max="10247" width="5.1640625" style="125" customWidth="1"/>
    <col min="10248" max="10248" width="17.1640625" style="125" customWidth="1"/>
    <col min="10249" max="10249" width="4.5" style="125" customWidth="1"/>
    <col min="10250" max="10250" width="16.1640625" style="125" customWidth="1"/>
    <col min="10251" max="10251" width="4.83203125" style="125" customWidth="1"/>
    <col min="10252" max="10252" width="17.1640625" style="125" customWidth="1"/>
    <col min="10253" max="10253" width="4.1640625" style="125" customWidth="1"/>
    <col min="10254" max="10495" width="12" style="125"/>
    <col min="10496" max="10496" width="7" style="125" customWidth="1"/>
    <col min="10497" max="10497" width="2.33203125" style="125" customWidth="1"/>
    <col min="10498" max="10499" width="12" style="125"/>
    <col min="10500" max="10500" width="6.5" style="125" customWidth="1"/>
    <col min="10501" max="10501" width="5.1640625" style="125" customWidth="1"/>
    <col min="10502" max="10502" width="12" style="125"/>
    <col min="10503" max="10503" width="5.1640625" style="125" customWidth="1"/>
    <col min="10504" max="10504" width="17.1640625" style="125" customWidth="1"/>
    <col min="10505" max="10505" width="4.5" style="125" customWidth="1"/>
    <col min="10506" max="10506" width="16.1640625" style="125" customWidth="1"/>
    <col min="10507" max="10507" width="4.83203125" style="125" customWidth="1"/>
    <col min="10508" max="10508" width="17.1640625" style="125" customWidth="1"/>
    <col min="10509" max="10509" width="4.1640625" style="125" customWidth="1"/>
    <col min="10510" max="10751" width="12" style="125"/>
    <col min="10752" max="10752" width="7" style="125" customWidth="1"/>
    <col min="10753" max="10753" width="2.33203125" style="125" customWidth="1"/>
    <col min="10754" max="10755" width="12" style="125"/>
    <col min="10756" max="10756" width="6.5" style="125" customWidth="1"/>
    <col min="10757" max="10757" width="5.1640625" style="125" customWidth="1"/>
    <col min="10758" max="10758" width="12" style="125"/>
    <col min="10759" max="10759" width="5.1640625" style="125" customWidth="1"/>
    <col min="10760" max="10760" width="17.1640625" style="125" customWidth="1"/>
    <col min="10761" max="10761" width="4.5" style="125" customWidth="1"/>
    <col min="10762" max="10762" width="16.1640625" style="125" customWidth="1"/>
    <col min="10763" max="10763" width="4.83203125" style="125" customWidth="1"/>
    <col min="10764" max="10764" width="17.1640625" style="125" customWidth="1"/>
    <col min="10765" max="10765" width="4.1640625" style="125" customWidth="1"/>
    <col min="10766" max="11007" width="12" style="125"/>
    <col min="11008" max="11008" width="7" style="125" customWidth="1"/>
    <col min="11009" max="11009" width="2.33203125" style="125" customWidth="1"/>
    <col min="11010" max="11011" width="12" style="125"/>
    <col min="11012" max="11012" width="6.5" style="125" customWidth="1"/>
    <col min="11013" max="11013" width="5.1640625" style="125" customWidth="1"/>
    <col min="11014" max="11014" width="12" style="125"/>
    <col min="11015" max="11015" width="5.1640625" style="125" customWidth="1"/>
    <col min="11016" max="11016" width="17.1640625" style="125" customWidth="1"/>
    <col min="11017" max="11017" width="4.5" style="125" customWidth="1"/>
    <col min="11018" max="11018" width="16.1640625" style="125" customWidth="1"/>
    <col min="11019" max="11019" width="4.83203125" style="125" customWidth="1"/>
    <col min="11020" max="11020" width="17.1640625" style="125" customWidth="1"/>
    <col min="11021" max="11021" width="4.1640625" style="125" customWidth="1"/>
    <col min="11022" max="11263" width="12" style="125"/>
    <col min="11264" max="11264" width="7" style="125" customWidth="1"/>
    <col min="11265" max="11265" width="2.33203125" style="125" customWidth="1"/>
    <col min="11266" max="11267" width="12" style="125"/>
    <col min="11268" max="11268" width="6.5" style="125" customWidth="1"/>
    <col min="11269" max="11269" width="5.1640625" style="125" customWidth="1"/>
    <col min="11270" max="11270" width="12" style="125"/>
    <col min="11271" max="11271" width="5.1640625" style="125" customWidth="1"/>
    <col min="11272" max="11272" width="17.1640625" style="125" customWidth="1"/>
    <col min="11273" max="11273" width="4.5" style="125" customWidth="1"/>
    <col min="11274" max="11274" width="16.1640625" style="125" customWidth="1"/>
    <col min="11275" max="11275" width="4.83203125" style="125" customWidth="1"/>
    <col min="11276" max="11276" width="17.1640625" style="125" customWidth="1"/>
    <col min="11277" max="11277" width="4.1640625" style="125" customWidth="1"/>
    <col min="11278" max="11519" width="12" style="125"/>
    <col min="11520" max="11520" width="7" style="125" customWidth="1"/>
    <col min="11521" max="11521" width="2.33203125" style="125" customWidth="1"/>
    <col min="11522" max="11523" width="12" style="125"/>
    <col min="11524" max="11524" width="6.5" style="125" customWidth="1"/>
    <col min="11525" max="11525" width="5.1640625" style="125" customWidth="1"/>
    <col min="11526" max="11526" width="12" style="125"/>
    <col min="11527" max="11527" width="5.1640625" style="125" customWidth="1"/>
    <col min="11528" max="11528" width="17.1640625" style="125" customWidth="1"/>
    <col min="11529" max="11529" width="4.5" style="125" customWidth="1"/>
    <col min="11530" max="11530" width="16.1640625" style="125" customWidth="1"/>
    <col min="11531" max="11531" width="4.83203125" style="125" customWidth="1"/>
    <col min="11532" max="11532" width="17.1640625" style="125" customWidth="1"/>
    <col min="11533" max="11533" width="4.1640625" style="125" customWidth="1"/>
    <col min="11534" max="11775" width="12" style="125"/>
    <col min="11776" max="11776" width="7" style="125" customWidth="1"/>
    <col min="11777" max="11777" width="2.33203125" style="125" customWidth="1"/>
    <col min="11778" max="11779" width="12" style="125"/>
    <col min="11780" max="11780" width="6.5" style="125" customWidth="1"/>
    <col min="11781" max="11781" width="5.1640625" style="125" customWidth="1"/>
    <col min="11782" max="11782" width="12" style="125"/>
    <col min="11783" max="11783" width="5.1640625" style="125" customWidth="1"/>
    <col min="11784" max="11784" width="17.1640625" style="125" customWidth="1"/>
    <col min="11785" max="11785" width="4.5" style="125" customWidth="1"/>
    <col min="11786" max="11786" width="16.1640625" style="125" customWidth="1"/>
    <col min="11787" max="11787" width="4.83203125" style="125" customWidth="1"/>
    <col min="11788" max="11788" width="17.1640625" style="125" customWidth="1"/>
    <col min="11789" max="11789" width="4.1640625" style="125" customWidth="1"/>
    <col min="11790" max="12031" width="12" style="125"/>
    <col min="12032" max="12032" width="7" style="125" customWidth="1"/>
    <col min="12033" max="12033" width="2.33203125" style="125" customWidth="1"/>
    <col min="12034" max="12035" width="12" style="125"/>
    <col min="12036" max="12036" width="6.5" style="125" customWidth="1"/>
    <col min="12037" max="12037" width="5.1640625" style="125" customWidth="1"/>
    <col min="12038" max="12038" width="12" style="125"/>
    <col min="12039" max="12039" width="5.1640625" style="125" customWidth="1"/>
    <col min="12040" max="12040" width="17.1640625" style="125" customWidth="1"/>
    <col min="12041" max="12041" width="4.5" style="125" customWidth="1"/>
    <col min="12042" max="12042" width="16.1640625" style="125" customWidth="1"/>
    <col min="12043" max="12043" width="4.83203125" style="125" customWidth="1"/>
    <col min="12044" max="12044" width="17.1640625" style="125" customWidth="1"/>
    <col min="12045" max="12045" width="4.1640625" style="125" customWidth="1"/>
    <col min="12046" max="12287" width="12" style="125"/>
    <col min="12288" max="12288" width="7" style="125" customWidth="1"/>
    <col min="12289" max="12289" width="2.33203125" style="125" customWidth="1"/>
    <col min="12290" max="12291" width="12" style="125"/>
    <col min="12292" max="12292" width="6.5" style="125" customWidth="1"/>
    <col min="12293" max="12293" width="5.1640625" style="125" customWidth="1"/>
    <col min="12294" max="12294" width="12" style="125"/>
    <col min="12295" max="12295" width="5.1640625" style="125" customWidth="1"/>
    <col min="12296" max="12296" width="17.1640625" style="125" customWidth="1"/>
    <col min="12297" max="12297" width="4.5" style="125" customWidth="1"/>
    <col min="12298" max="12298" width="16.1640625" style="125" customWidth="1"/>
    <col min="12299" max="12299" width="4.83203125" style="125" customWidth="1"/>
    <col min="12300" max="12300" width="17.1640625" style="125" customWidth="1"/>
    <col min="12301" max="12301" width="4.1640625" style="125" customWidth="1"/>
    <col min="12302" max="12543" width="12" style="125"/>
    <col min="12544" max="12544" width="7" style="125" customWidth="1"/>
    <col min="12545" max="12545" width="2.33203125" style="125" customWidth="1"/>
    <col min="12546" max="12547" width="12" style="125"/>
    <col min="12548" max="12548" width="6.5" style="125" customWidth="1"/>
    <col min="12549" max="12549" width="5.1640625" style="125" customWidth="1"/>
    <col min="12550" max="12550" width="12" style="125"/>
    <col min="12551" max="12551" width="5.1640625" style="125" customWidth="1"/>
    <col min="12552" max="12552" width="17.1640625" style="125" customWidth="1"/>
    <col min="12553" max="12553" width="4.5" style="125" customWidth="1"/>
    <col min="12554" max="12554" width="16.1640625" style="125" customWidth="1"/>
    <col min="12555" max="12555" width="4.83203125" style="125" customWidth="1"/>
    <col min="12556" max="12556" width="17.1640625" style="125" customWidth="1"/>
    <col min="12557" max="12557" width="4.1640625" style="125" customWidth="1"/>
    <col min="12558" max="12799" width="12" style="125"/>
    <col min="12800" max="12800" width="7" style="125" customWidth="1"/>
    <col min="12801" max="12801" width="2.33203125" style="125" customWidth="1"/>
    <col min="12802" max="12803" width="12" style="125"/>
    <col min="12804" max="12804" width="6.5" style="125" customWidth="1"/>
    <col min="12805" max="12805" width="5.1640625" style="125" customWidth="1"/>
    <col min="12806" max="12806" width="12" style="125"/>
    <col min="12807" max="12807" width="5.1640625" style="125" customWidth="1"/>
    <col min="12808" max="12808" width="17.1640625" style="125" customWidth="1"/>
    <col min="12809" max="12809" width="4.5" style="125" customWidth="1"/>
    <col min="12810" max="12810" width="16.1640625" style="125" customWidth="1"/>
    <col min="12811" max="12811" width="4.83203125" style="125" customWidth="1"/>
    <col min="12812" max="12812" width="17.1640625" style="125" customWidth="1"/>
    <col min="12813" max="12813" width="4.1640625" style="125" customWidth="1"/>
    <col min="12814" max="13055" width="12" style="125"/>
    <col min="13056" max="13056" width="7" style="125" customWidth="1"/>
    <col min="13057" max="13057" width="2.33203125" style="125" customWidth="1"/>
    <col min="13058" max="13059" width="12" style="125"/>
    <col min="13060" max="13060" width="6.5" style="125" customWidth="1"/>
    <col min="13061" max="13061" width="5.1640625" style="125" customWidth="1"/>
    <col min="13062" max="13062" width="12" style="125"/>
    <col min="13063" max="13063" width="5.1640625" style="125" customWidth="1"/>
    <col min="13064" max="13064" width="17.1640625" style="125" customWidth="1"/>
    <col min="13065" max="13065" width="4.5" style="125" customWidth="1"/>
    <col min="13066" max="13066" width="16.1640625" style="125" customWidth="1"/>
    <col min="13067" max="13067" width="4.83203125" style="125" customWidth="1"/>
    <col min="13068" max="13068" width="17.1640625" style="125" customWidth="1"/>
    <col min="13069" max="13069" width="4.1640625" style="125" customWidth="1"/>
    <col min="13070" max="13311" width="12" style="125"/>
    <col min="13312" max="13312" width="7" style="125" customWidth="1"/>
    <col min="13313" max="13313" width="2.33203125" style="125" customWidth="1"/>
    <col min="13314" max="13315" width="12" style="125"/>
    <col min="13316" max="13316" width="6.5" style="125" customWidth="1"/>
    <col min="13317" max="13317" width="5.1640625" style="125" customWidth="1"/>
    <col min="13318" max="13318" width="12" style="125"/>
    <col min="13319" max="13319" width="5.1640625" style="125" customWidth="1"/>
    <col min="13320" max="13320" width="17.1640625" style="125" customWidth="1"/>
    <col min="13321" max="13321" width="4.5" style="125" customWidth="1"/>
    <col min="13322" max="13322" width="16.1640625" style="125" customWidth="1"/>
    <col min="13323" max="13323" width="4.83203125" style="125" customWidth="1"/>
    <col min="13324" max="13324" width="17.1640625" style="125" customWidth="1"/>
    <col min="13325" max="13325" width="4.1640625" style="125" customWidth="1"/>
    <col min="13326" max="13567" width="12" style="125"/>
    <col min="13568" max="13568" width="7" style="125" customWidth="1"/>
    <col min="13569" max="13569" width="2.33203125" style="125" customWidth="1"/>
    <col min="13570" max="13571" width="12" style="125"/>
    <col min="13572" max="13572" width="6.5" style="125" customWidth="1"/>
    <col min="13573" max="13573" width="5.1640625" style="125" customWidth="1"/>
    <col min="13574" max="13574" width="12" style="125"/>
    <col min="13575" max="13575" width="5.1640625" style="125" customWidth="1"/>
    <col min="13576" max="13576" width="17.1640625" style="125" customWidth="1"/>
    <col min="13577" max="13577" width="4.5" style="125" customWidth="1"/>
    <col min="13578" max="13578" width="16.1640625" style="125" customWidth="1"/>
    <col min="13579" max="13579" width="4.83203125" style="125" customWidth="1"/>
    <col min="13580" max="13580" width="17.1640625" style="125" customWidth="1"/>
    <col min="13581" max="13581" width="4.1640625" style="125" customWidth="1"/>
    <col min="13582" max="13823" width="12" style="125"/>
    <col min="13824" max="13824" width="7" style="125" customWidth="1"/>
    <col min="13825" max="13825" width="2.33203125" style="125" customWidth="1"/>
    <col min="13826" max="13827" width="12" style="125"/>
    <col min="13828" max="13828" width="6.5" style="125" customWidth="1"/>
    <col min="13829" max="13829" width="5.1640625" style="125" customWidth="1"/>
    <col min="13830" max="13830" width="12" style="125"/>
    <col min="13831" max="13831" width="5.1640625" style="125" customWidth="1"/>
    <col min="13832" max="13832" width="17.1640625" style="125" customWidth="1"/>
    <col min="13833" max="13833" width="4.5" style="125" customWidth="1"/>
    <col min="13834" max="13834" width="16.1640625" style="125" customWidth="1"/>
    <col min="13835" max="13835" width="4.83203125" style="125" customWidth="1"/>
    <col min="13836" max="13836" width="17.1640625" style="125" customWidth="1"/>
    <col min="13837" max="13837" width="4.1640625" style="125" customWidth="1"/>
    <col min="13838" max="14079" width="12" style="125"/>
    <col min="14080" max="14080" width="7" style="125" customWidth="1"/>
    <col min="14081" max="14081" width="2.33203125" style="125" customWidth="1"/>
    <col min="14082" max="14083" width="12" style="125"/>
    <col min="14084" max="14084" width="6.5" style="125" customWidth="1"/>
    <col min="14085" max="14085" width="5.1640625" style="125" customWidth="1"/>
    <col min="14086" max="14086" width="12" style="125"/>
    <col min="14087" max="14087" width="5.1640625" style="125" customWidth="1"/>
    <col min="14088" max="14088" width="17.1640625" style="125" customWidth="1"/>
    <col min="14089" max="14089" width="4.5" style="125" customWidth="1"/>
    <col min="14090" max="14090" width="16.1640625" style="125" customWidth="1"/>
    <col min="14091" max="14091" width="4.83203125" style="125" customWidth="1"/>
    <col min="14092" max="14092" width="17.1640625" style="125" customWidth="1"/>
    <col min="14093" max="14093" width="4.1640625" style="125" customWidth="1"/>
    <col min="14094" max="14335" width="12" style="125"/>
    <col min="14336" max="14336" width="7" style="125" customWidth="1"/>
    <col min="14337" max="14337" width="2.33203125" style="125" customWidth="1"/>
    <col min="14338" max="14339" width="12" style="125"/>
    <col min="14340" max="14340" width="6.5" style="125" customWidth="1"/>
    <col min="14341" max="14341" width="5.1640625" style="125" customWidth="1"/>
    <col min="14342" max="14342" width="12" style="125"/>
    <col min="14343" max="14343" width="5.1640625" style="125" customWidth="1"/>
    <col min="14344" max="14344" width="17.1640625" style="125" customWidth="1"/>
    <col min="14345" max="14345" width="4.5" style="125" customWidth="1"/>
    <col min="14346" max="14346" width="16.1640625" style="125" customWidth="1"/>
    <col min="14347" max="14347" width="4.83203125" style="125" customWidth="1"/>
    <col min="14348" max="14348" width="17.1640625" style="125" customWidth="1"/>
    <col min="14349" max="14349" width="4.1640625" style="125" customWidth="1"/>
    <col min="14350" max="14591" width="12" style="125"/>
    <col min="14592" max="14592" width="7" style="125" customWidth="1"/>
    <col min="14593" max="14593" width="2.33203125" style="125" customWidth="1"/>
    <col min="14594" max="14595" width="12" style="125"/>
    <col min="14596" max="14596" width="6.5" style="125" customWidth="1"/>
    <col min="14597" max="14597" width="5.1640625" style="125" customWidth="1"/>
    <col min="14598" max="14598" width="12" style="125"/>
    <col min="14599" max="14599" width="5.1640625" style="125" customWidth="1"/>
    <col min="14600" max="14600" width="17.1640625" style="125" customWidth="1"/>
    <col min="14601" max="14601" width="4.5" style="125" customWidth="1"/>
    <col min="14602" max="14602" width="16.1640625" style="125" customWidth="1"/>
    <col min="14603" max="14603" width="4.83203125" style="125" customWidth="1"/>
    <col min="14604" max="14604" width="17.1640625" style="125" customWidth="1"/>
    <col min="14605" max="14605" width="4.1640625" style="125" customWidth="1"/>
    <col min="14606" max="14847" width="12" style="125"/>
    <col min="14848" max="14848" width="7" style="125" customWidth="1"/>
    <col min="14849" max="14849" width="2.33203125" style="125" customWidth="1"/>
    <col min="14850" max="14851" width="12" style="125"/>
    <col min="14852" max="14852" width="6.5" style="125" customWidth="1"/>
    <col min="14853" max="14853" width="5.1640625" style="125" customWidth="1"/>
    <col min="14854" max="14854" width="12" style="125"/>
    <col min="14855" max="14855" width="5.1640625" style="125" customWidth="1"/>
    <col min="14856" max="14856" width="17.1640625" style="125" customWidth="1"/>
    <col min="14857" max="14857" width="4.5" style="125" customWidth="1"/>
    <col min="14858" max="14858" width="16.1640625" style="125" customWidth="1"/>
    <col min="14859" max="14859" width="4.83203125" style="125" customWidth="1"/>
    <col min="14860" max="14860" width="17.1640625" style="125" customWidth="1"/>
    <col min="14861" max="14861" width="4.1640625" style="125" customWidth="1"/>
    <col min="14862" max="15103" width="12" style="125"/>
    <col min="15104" max="15104" width="7" style="125" customWidth="1"/>
    <col min="15105" max="15105" width="2.33203125" style="125" customWidth="1"/>
    <col min="15106" max="15107" width="12" style="125"/>
    <col min="15108" max="15108" width="6.5" style="125" customWidth="1"/>
    <col min="15109" max="15109" width="5.1640625" style="125" customWidth="1"/>
    <col min="15110" max="15110" width="12" style="125"/>
    <col min="15111" max="15111" width="5.1640625" style="125" customWidth="1"/>
    <col min="15112" max="15112" width="17.1640625" style="125" customWidth="1"/>
    <col min="15113" max="15113" width="4.5" style="125" customWidth="1"/>
    <col min="15114" max="15114" width="16.1640625" style="125" customWidth="1"/>
    <col min="15115" max="15115" width="4.83203125" style="125" customWidth="1"/>
    <col min="15116" max="15116" width="17.1640625" style="125" customWidth="1"/>
    <col min="15117" max="15117" width="4.1640625" style="125" customWidth="1"/>
    <col min="15118" max="15359" width="12" style="125"/>
    <col min="15360" max="15360" width="7" style="125" customWidth="1"/>
    <col min="15361" max="15361" width="2.33203125" style="125" customWidth="1"/>
    <col min="15362" max="15363" width="12" style="125"/>
    <col min="15364" max="15364" width="6.5" style="125" customWidth="1"/>
    <col min="15365" max="15365" width="5.1640625" style="125" customWidth="1"/>
    <col min="15366" max="15366" width="12" style="125"/>
    <col min="15367" max="15367" width="5.1640625" style="125" customWidth="1"/>
    <col min="15368" max="15368" width="17.1640625" style="125" customWidth="1"/>
    <col min="15369" max="15369" width="4.5" style="125" customWidth="1"/>
    <col min="15370" max="15370" width="16.1640625" style="125" customWidth="1"/>
    <col min="15371" max="15371" width="4.83203125" style="125" customWidth="1"/>
    <col min="15372" max="15372" width="17.1640625" style="125" customWidth="1"/>
    <col min="15373" max="15373" width="4.1640625" style="125" customWidth="1"/>
    <col min="15374" max="15615" width="12" style="125"/>
    <col min="15616" max="15616" width="7" style="125" customWidth="1"/>
    <col min="15617" max="15617" width="2.33203125" style="125" customWidth="1"/>
    <col min="15618" max="15619" width="12" style="125"/>
    <col min="15620" max="15620" width="6.5" style="125" customWidth="1"/>
    <col min="15621" max="15621" width="5.1640625" style="125" customWidth="1"/>
    <col min="15622" max="15622" width="12" style="125"/>
    <col min="15623" max="15623" width="5.1640625" style="125" customWidth="1"/>
    <col min="15624" max="15624" width="17.1640625" style="125" customWidth="1"/>
    <col min="15625" max="15625" width="4.5" style="125" customWidth="1"/>
    <col min="15626" max="15626" width="16.1640625" style="125" customWidth="1"/>
    <col min="15627" max="15627" width="4.83203125" style="125" customWidth="1"/>
    <col min="15628" max="15628" width="17.1640625" style="125" customWidth="1"/>
    <col min="15629" max="15629" width="4.1640625" style="125" customWidth="1"/>
    <col min="15630" max="15871" width="12" style="125"/>
    <col min="15872" max="15872" width="7" style="125" customWidth="1"/>
    <col min="15873" max="15873" width="2.33203125" style="125" customWidth="1"/>
    <col min="15874" max="15875" width="12" style="125"/>
    <col min="15876" max="15876" width="6.5" style="125" customWidth="1"/>
    <col min="15877" max="15877" width="5.1640625" style="125" customWidth="1"/>
    <col min="15878" max="15878" width="12" style="125"/>
    <col min="15879" max="15879" width="5.1640625" style="125" customWidth="1"/>
    <col min="15880" max="15880" width="17.1640625" style="125" customWidth="1"/>
    <col min="15881" max="15881" width="4.5" style="125" customWidth="1"/>
    <col min="15882" max="15882" width="16.1640625" style="125" customWidth="1"/>
    <col min="15883" max="15883" width="4.83203125" style="125" customWidth="1"/>
    <col min="15884" max="15884" width="17.1640625" style="125" customWidth="1"/>
    <col min="15885" max="15885" width="4.1640625" style="125" customWidth="1"/>
    <col min="15886" max="16127" width="12" style="125"/>
    <col min="16128" max="16128" width="7" style="125" customWidth="1"/>
    <col min="16129" max="16129" width="2.33203125" style="125" customWidth="1"/>
    <col min="16130" max="16131" width="12" style="125"/>
    <col min="16132" max="16132" width="6.5" style="125" customWidth="1"/>
    <col min="16133" max="16133" width="5.1640625" style="125" customWidth="1"/>
    <col min="16134" max="16134" width="12" style="125"/>
    <col min="16135" max="16135" width="5.1640625" style="125" customWidth="1"/>
    <col min="16136" max="16136" width="17.1640625" style="125" customWidth="1"/>
    <col min="16137" max="16137" width="4.5" style="125" customWidth="1"/>
    <col min="16138" max="16138" width="16.1640625" style="125" customWidth="1"/>
    <col min="16139" max="16139" width="4.83203125" style="125" customWidth="1"/>
    <col min="16140" max="16140" width="17.1640625" style="125" customWidth="1"/>
    <col min="16141" max="16141" width="4.1640625" style="125" customWidth="1"/>
    <col min="16142" max="16384" width="12" style="125"/>
  </cols>
  <sheetData>
    <row r="1" spans="1:14" x14ac:dyDescent="0.25">
      <c r="J1" s="81" t="str">
        <f>+'CPA Amount of Change'!L2</f>
        <v>CNGC Advice W24-09-05</v>
      </c>
    </row>
    <row r="2" spans="1:14" x14ac:dyDescent="0.25">
      <c r="J2" s="99" t="s">
        <v>11</v>
      </c>
    </row>
    <row r="3" spans="1:14" x14ac:dyDescent="0.25">
      <c r="J3" s="99" t="s">
        <v>91</v>
      </c>
    </row>
    <row r="4" spans="1:14" x14ac:dyDescent="0.25">
      <c r="M4" s="126"/>
    </row>
    <row r="5" spans="1:14" x14ac:dyDescent="0.25">
      <c r="C5" s="127" t="s">
        <v>9</v>
      </c>
      <c r="D5" s="127"/>
      <c r="E5" s="128"/>
      <c r="F5" s="128"/>
      <c r="G5" s="128"/>
      <c r="H5" s="128"/>
      <c r="I5" s="128"/>
      <c r="J5" s="128"/>
      <c r="K5" s="128"/>
      <c r="L5" s="128"/>
      <c r="M5" s="126"/>
    </row>
    <row r="6" spans="1:14" x14ac:dyDescent="0.25">
      <c r="C6" s="314" t="s">
        <v>92</v>
      </c>
      <c r="D6" s="314"/>
      <c r="E6" s="314"/>
      <c r="F6" s="314"/>
      <c r="G6" s="314"/>
      <c r="H6" s="314"/>
      <c r="I6" s="314"/>
      <c r="J6" s="314"/>
      <c r="K6" s="314"/>
      <c r="L6" s="314"/>
      <c r="M6" s="129"/>
    </row>
    <row r="7" spans="1:14" hidden="1" x14ac:dyDescent="0.25">
      <c r="C7" s="127" t="s">
        <v>93</v>
      </c>
      <c r="D7" s="127"/>
      <c r="E7" s="128"/>
      <c r="F7" s="128"/>
      <c r="G7" s="128"/>
      <c r="H7" s="128"/>
      <c r="I7" s="128"/>
      <c r="J7" s="128"/>
      <c r="K7" s="128"/>
      <c r="L7" s="128"/>
      <c r="M7" s="126"/>
    </row>
    <row r="8" spans="1:14" x14ac:dyDescent="0.25">
      <c r="C8" s="127" t="s">
        <v>12</v>
      </c>
      <c r="D8" s="127"/>
      <c r="E8" s="128"/>
      <c r="F8" s="128"/>
      <c r="G8" s="128"/>
      <c r="H8" s="128"/>
      <c r="I8" s="128"/>
      <c r="J8" s="128"/>
      <c r="K8" s="128"/>
      <c r="L8" s="128"/>
    </row>
    <row r="9" spans="1:14" x14ac:dyDescent="0.25">
      <c r="D9" s="125" t="str">
        <f>+'[28]Combined PGA TTA Avg Bill'!D6</f>
        <v>UG-210755</v>
      </c>
      <c r="I9" s="130" t="s">
        <v>94</v>
      </c>
      <c r="K9" s="131" t="s">
        <v>94</v>
      </c>
    </row>
    <row r="10" spans="1:14" x14ac:dyDescent="0.25">
      <c r="D10" s="130" t="s">
        <v>95</v>
      </c>
      <c r="F10" s="130" t="s">
        <v>96</v>
      </c>
      <c r="G10" s="130" t="s">
        <v>96</v>
      </c>
      <c r="H10" s="130" t="s">
        <v>94</v>
      </c>
      <c r="I10" s="132">
        <f>+H11</f>
        <v>45597</v>
      </c>
      <c r="K10" s="133">
        <f>+H11</f>
        <v>45597</v>
      </c>
    </row>
    <row r="11" spans="1:14" x14ac:dyDescent="0.25">
      <c r="A11" s="134" t="s">
        <v>45</v>
      </c>
      <c r="D11" s="130" t="s">
        <v>97</v>
      </c>
      <c r="E11" s="130" t="s">
        <v>98</v>
      </c>
      <c r="F11" s="132">
        <v>45444</v>
      </c>
      <c r="G11" s="132">
        <f>+F11</f>
        <v>45444</v>
      </c>
      <c r="H11" s="132">
        <v>45597</v>
      </c>
      <c r="I11" s="130" t="s">
        <v>99</v>
      </c>
      <c r="J11" s="130" t="s">
        <v>100</v>
      </c>
      <c r="K11" s="135" t="s">
        <v>101</v>
      </c>
      <c r="L11" s="130"/>
      <c r="N11" s="128"/>
    </row>
    <row r="12" spans="1:14" x14ac:dyDescent="0.25">
      <c r="A12" s="134" t="s">
        <v>51</v>
      </c>
      <c r="C12" s="136" t="s">
        <v>102</v>
      </c>
      <c r="D12" s="136" t="s">
        <v>103</v>
      </c>
      <c r="E12" s="136" t="s">
        <v>104</v>
      </c>
      <c r="F12" s="136" t="s">
        <v>105</v>
      </c>
      <c r="G12" s="136" t="s">
        <v>106</v>
      </c>
      <c r="H12" s="136" t="s">
        <v>101</v>
      </c>
      <c r="I12" s="136" t="s">
        <v>106</v>
      </c>
      <c r="J12" s="136" t="s">
        <v>107</v>
      </c>
      <c r="K12" s="137" t="s">
        <v>108</v>
      </c>
      <c r="L12" s="130"/>
      <c r="N12" s="128"/>
    </row>
    <row r="13" spans="1:14" x14ac:dyDescent="0.25">
      <c r="A13" s="134"/>
      <c r="C13" s="130"/>
      <c r="D13" s="130"/>
      <c r="E13" s="130"/>
      <c r="F13" s="130"/>
      <c r="G13" s="130" t="s">
        <v>109</v>
      </c>
      <c r="H13" s="130"/>
      <c r="I13" s="130" t="s">
        <v>110</v>
      </c>
      <c r="K13" s="138"/>
      <c r="L13" s="130"/>
      <c r="N13" s="128"/>
    </row>
    <row r="14" spans="1:14" x14ac:dyDescent="0.25">
      <c r="C14" s="130" t="s">
        <v>27</v>
      </c>
      <c r="D14" s="130" t="s">
        <v>28</v>
      </c>
      <c r="E14" s="130" t="s">
        <v>29</v>
      </c>
      <c r="F14" s="130" t="s">
        <v>30</v>
      </c>
      <c r="G14" s="130" t="s">
        <v>31</v>
      </c>
      <c r="H14" s="130" t="s">
        <v>52</v>
      </c>
      <c r="I14" s="130" t="s">
        <v>77</v>
      </c>
      <c r="J14" s="130" t="s">
        <v>78</v>
      </c>
      <c r="K14" s="139" t="s">
        <v>35</v>
      </c>
    </row>
    <row r="15" spans="1:14" x14ac:dyDescent="0.25">
      <c r="K15" s="139"/>
    </row>
    <row r="16" spans="1:14" x14ac:dyDescent="0.25">
      <c r="A16" s="125">
        <v>1</v>
      </c>
      <c r="C16" s="125" t="s">
        <v>111</v>
      </c>
      <c r="D16" s="140">
        <f>+'[28]Effects of PGA Avg. Bill'!D16</f>
        <v>54</v>
      </c>
      <c r="E16" s="141">
        <f>+'[28]Effects of PGA Avg. Bill'!E16</f>
        <v>5</v>
      </c>
      <c r="F16" s="142">
        <f>+'[28]Effects of PGA Avg. Bill'!F16</f>
        <v>1.6048500000000001</v>
      </c>
      <c r="G16" s="143">
        <f>+E16+(D16*F16)</f>
        <v>91.661900000000003</v>
      </c>
      <c r="H16" s="142">
        <f>+F16+'CPA Amount of Change'!K13</f>
        <v>1.6212800000000001</v>
      </c>
      <c r="I16" s="144">
        <f>E16+(D16*H16)</f>
        <v>92.549120000000002</v>
      </c>
      <c r="J16" s="145">
        <f>+I16-G16</f>
        <v>0.88721999999999923</v>
      </c>
      <c r="K16" s="146">
        <f>+J16/G16</f>
        <v>9.6792669582454558E-3</v>
      </c>
      <c r="L16" s="143"/>
      <c r="N16" s="147"/>
    </row>
    <row r="17" spans="1:14" x14ac:dyDescent="0.25">
      <c r="D17" s="140"/>
      <c r="E17" s="141"/>
      <c r="F17" s="142"/>
      <c r="G17" s="143"/>
      <c r="H17" s="142"/>
      <c r="I17" s="144"/>
      <c r="J17" s="145"/>
      <c r="K17" s="146"/>
    </row>
    <row r="18" spans="1:14" x14ac:dyDescent="0.25">
      <c r="A18" s="125">
        <v>2</v>
      </c>
      <c r="C18" s="125" t="s">
        <v>112</v>
      </c>
      <c r="D18" s="140">
        <f>+'[28]Effects of PGA Avg. Bill'!D18</f>
        <v>271</v>
      </c>
      <c r="E18" s="141">
        <f>+'[28]Effects of PGA Avg. Bill'!E18</f>
        <v>13</v>
      </c>
      <c r="F18" s="142">
        <f>+'[28]Effects of PGA Avg. Bill'!F18</f>
        <v>1.5259</v>
      </c>
      <c r="G18" s="143">
        <f>+E18+(D18*F18)</f>
        <v>426.51890000000003</v>
      </c>
      <c r="H18" s="142">
        <f>+F18+'CPA Amount of Change'!K14</f>
        <v>1.54233</v>
      </c>
      <c r="I18" s="144">
        <f>E18+(D18*H18)</f>
        <v>430.97143</v>
      </c>
      <c r="J18" s="145">
        <f t="shared" ref="J18:J30" si="0">+I18-G18</f>
        <v>4.4525299999999675</v>
      </c>
      <c r="K18" s="146">
        <f t="shared" ref="K18:K35" si="1">+J18/G18</f>
        <v>1.0439232587348338E-2</v>
      </c>
      <c r="L18" s="143"/>
      <c r="N18" s="147"/>
    </row>
    <row r="19" spans="1:14" x14ac:dyDescent="0.25">
      <c r="D19" s="140"/>
      <c r="E19" s="141"/>
      <c r="F19" s="142"/>
      <c r="G19" s="143"/>
      <c r="H19" s="142"/>
      <c r="J19" s="145"/>
      <c r="K19" s="146"/>
    </row>
    <row r="20" spans="1:14" x14ac:dyDescent="0.25">
      <c r="A20" s="125">
        <v>3</v>
      </c>
      <c r="C20" s="125" t="s">
        <v>113</v>
      </c>
      <c r="D20" s="140"/>
      <c r="E20" s="141">
        <f>+'[28]Effects of PGA Avg. Bill'!E20</f>
        <v>60</v>
      </c>
      <c r="F20" s="142"/>
      <c r="G20" s="143"/>
      <c r="H20" s="142"/>
      <c r="J20" s="145"/>
      <c r="K20" s="146"/>
      <c r="L20" s="148"/>
      <c r="N20" s="147"/>
    </row>
    <row r="21" spans="1:14" x14ac:dyDescent="0.25">
      <c r="A21" s="125">
        <v>4</v>
      </c>
      <c r="C21" s="125" t="s">
        <v>114</v>
      </c>
      <c r="D21" s="140"/>
      <c r="E21" s="141"/>
      <c r="F21" s="142">
        <f>+'[28]Effects of PGA Avg. Bill'!F21</f>
        <v>1.46</v>
      </c>
      <c r="G21" s="143">
        <f>+E20+(500*F21)</f>
        <v>790</v>
      </c>
      <c r="H21" s="142">
        <f>+F21+'CPA Amount of Change'!K15</f>
        <v>1.4764299999999999</v>
      </c>
      <c r="I21" s="143">
        <f>+E20+(500*H21)</f>
        <v>798.21499999999992</v>
      </c>
      <c r="J21" s="145"/>
      <c r="K21" s="146"/>
      <c r="L21" s="148"/>
      <c r="N21" s="147"/>
    </row>
    <row r="22" spans="1:14" x14ac:dyDescent="0.25">
      <c r="A22" s="125">
        <v>5</v>
      </c>
      <c r="C22" s="125" t="s">
        <v>115</v>
      </c>
      <c r="D22" s="140"/>
      <c r="E22" s="141"/>
      <c r="F22" s="142">
        <f>+'[28]Effects of PGA Avg. Bill'!F22</f>
        <v>1.42069</v>
      </c>
      <c r="G22" s="143">
        <f>+(D24-500)*F22</f>
        <v>2119.66948</v>
      </c>
      <c r="H22" s="142">
        <f>+F22+'CPA Amount of Change'!K15</f>
        <v>1.43712</v>
      </c>
      <c r="I22" s="143">
        <f>+(D24-500)*H22</f>
        <v>2144.1830399999999</v>
      </c>
      <c r="J22" s="145"/>
      <c r="K22" s="146"/>
      <c r="L22" s="148"/>
      <c r="N22" s="147"/>
    </row>
    <row r="23" spans="1:14" x14ac:dyDescent="0.25">
      <c r="A23" s="125">
        <v>6</v>
      </c>
      <c r="C23" s="125" t="s">
        <v>116</v>
      </c>
      <c r="D23" s="140"/>
      <c r="E23" s="141"/>
      <c r="F23" s="142">
        <f>+'[28]Effects of PGA Avg. Bill'!F23</f>
        <v>1.41475</v>
      </c>
      <c r="G23" s="143"/>
      <c r="H23" s="142">
        <f>+F23+'CPA Amount of Change'!K15</f>
        <v>1.4311799999999999</v>
      </c>
      <c r="J23" s="145"/>
      <c r="K23" s="146"/>
      <c r="L23" s="148"/>
    </row>
    <row r="24" spans="1:14" x14ac:dyDescent="0.25">
      <c r="A24" s="125">
        <v>7</v>
      </c>
      <c r="C24" s="134" t="s">
        <v>117</v>
      </c>
      <c r="D24" s="149">
        <f>+'[28]Effects of PGA Avg. Bill'!D24</f>
        <v>1992</v>
      </c>
      <c r="E24" s="141"/>
      <c r="F24" s="142"/>
      <c r="G24" s="143">
        <f>+SUM((G21:G23))</f>
        <v>2909.66948</v>
      </c>
      <c r="H24" s="143"/>
      <c r="I24" s="143">
        <f>+SUM(I21:I23)</f>
        <v>2942.39804</v>
      </c>
      <c r="J24" s="145">
        <f t="shared" si="0"/>
        <v>32.728560000000016</v>
      </c>
      <c r="K24" s="146">
        <f t="shared" si="1"/>
        <v>1.1248205414726355E-2</v>
      </c>
      <c r="L24" s="148"/>
      <c r="N24" s="147"/>
    </row>
    <row r="25" spans="1:14" x14ac:dyDescent="0.25">
      <c r="C25" s="126"/>
      <c r="D25" s="140"/>
      <c r="E25" s="141"/>
      <c r="F25" s="142"/>
      <c r="G25" s="143"/>
      <c r="H25" s="142"/>
      <c r="J25" s="145"/>
      <c r="K25" s="146"/>
      <c r="L25" s="148"/>
      <c r="N25" s="147"/>
    </row>
    <row r="26" spans="1:14" x14ac:dyDescent="0.25">
      <c r="A26" s="125">
        <v>8</v>
      </c>
      <c r="C26" s="125" t="s">
        <v>118</v>
      </c>
      <c r="D26" s="140"/>
      <c r="E26" s="141">
        <f>+'[28]Effects of PGA Avg. Bill'!E26</f>
        <v>125</v>
      </c>
      <c r="F26" s="142"/>
      <c r="G26" s="143"/>
      <c r="H26" s="142"/>
      <c r="J26" s="145"/>
      <c r="K26" s="146"/>
      <c r="L26" s="148"/>
      <c r="N26" s="147"/>
    </row>
    <row r="27" spans="1:14" x14ac:dyDescent="0.25">
      <c r="A27" s="125">
        <v>9</v>
      </c>
      <c r="C27" s="125" t="s">
        <v>119</v>
      </c>
      <c r="D27" s="140"/>
      <c r="E27" s="141"/>
      <c r="F27" s="142">
        <f>+'[28]Effects of PGA Avg. Bill'!F27</f>
        <v>1.41357</v>
      </c>
      <c r="G27" s="143">
        <f>+E26+(+F27*D30)</f>
        <v>23645.391230000001</v>
      </c>
      <c r="H27" s="142">
        <f>+F27+'CPA Amount of Change'!K16</f>
        <v>1.43</v>
      </c>
      <c r="I27" s="143">
        <f>+E26+(+H27*D30)</f>
        <v>23918.77</v>
      </c>
      <c r="J27" s="145"/>
      <c r="K27" s="146"/>
    </row>
    <row r="28" spans="1:14" x14ac:dyDescent="0.25">
      <c r="A28" s="125">
        <v>10</v>
      </c>
      <c r="B28" s="126"/>
      <c r="C28" s="125" t="s">
        <v>120</v>
      </c>
      <c r="D28" s="140"/>
      <c r="E28" s="141"/>
      <c r="F28" s="142">
        <f>+'[28]Effects of PGA Avg. Bill'!F28</f>
        <v>1.3748400000000001</v>
      </c>
      <c r="G28" s="143"/>
      <c r="H28" s="142">
        <f>+F28+'CPA Amount of Change'!K16</f>
        <v>1.39127</v>
      </c>
      <c r="I28" s="143"/>
      <c r="J28" s="145"/>
      <c r="K28" s="146"/>
    </row>
    <row r="29" spans="1:14" x14ac:dyDescent="0.25">
      <c r="A29" s="125">
        <v>11</v>
      </c>
      <c r="B29" s="126"/>
      <c r="C29" s="125" t="s">
        <v>121</v>
      </c>
      <c r="D29" s="140"/>
      <c r="E29" s="141"/>
      <c r="F29" s="142">
        <f>+'[28]Effects of PGA Avg. Bill'!F29</f>
        <v>1.2790299999999999</v>
      </c>
      <c r="G29" s="143"/>
      <c r="H29" s="142">
        <f>+F29+'CPA Amount of Change'!K16</f>
        <v>1.2954599999999998</v>
      </c>
      <c r="I29" s="143"/>
      <c r="J29" s="145"/>
      <c r="K29" s="146"/>
    </row>
    <row r="30" spans="1:14" x14ac:dyDescent="0.25">
      <c r="A30" s="125">
        <v>12</v>
      </c>
      <c r="B30" s="126"/>
      <c r="C30" s="134" t="s">
        <v>122</v>
      </c>
      <c r="D30" s="149">
        <f>+'[28]Effects of PGA Avg. Bill'!D30</f>
        <v>16639</v>
      </c>
      <c r="E30" s="141"/>
      <c r="F30" s="142"/>
      <c r="G30" s="143">
        <f>+SUM(G27:G29)</f>
        <v>23645.391230000001</v>
      </c>
      <c r="H30" s="143"/>
      <c r="I30" s="143">
        <f>+SUM(I27:I29)</f>
        <v>23918.77</v>
      </c>
      <c r="J30" s="145">
        <f t="shared" si="0"/>
        <v>273.37876999999935</v>
      </c>
      <c r="K30" s="146">
        <f t="shared" si="1"/>
        <v>1.1561609082329375E-2</v>
      </c>
    </row>
    <row r="31" spans="1:14" x14ac:dyDescent="0.25">
      <c r="D31" s="149"/>
      <c r="E31" s="141"/>
      <c r="F31" s="142"/>
      <c r="G31" s="143"/>
      <c r="H31" s="142"/>
      <c r="J31" s="145"/>
      <c r="K31" s="146"/>
    </row>
    <row r="32" spans="1:14" x14ac:dyDescent="0.25">
      <c r="A32" s="125">
        <v>13</v>
      </c>
      <c r="C32" s="125" t="s">
        <v>123</v>
      </c>
      <c r="D32" s="149"/>
      <c r="E32" s="141">
        <f>+'[28]Effects of PGA Avg. Bill'!E32</f>
        <v>163</v>
      </c>
      <c r="F32" s="142"/>
      <c r="G32" s="143"/>
      <c r="H32" s="142"/>
      <c r="J32" s="145"/>
      <c r="K32" s="146"/>
    </row>
    <row r="33" spans="1:14" x14ac:dyDescent="0.25">
      <c r="A33" s="125">
        <v>14</v>
      </c>
      <c r="C33" s="125" t="s">
        <v>124</v>
      </c>
      <c r="D33" s="149"/>
      <c r="F33" s="142">
        <f>+'[28]Effects of PGA Avg. Bill'!F33</f>
        <v>1.3115399999999999</v>
      </c>
      <c r="G33" s="143">
        <f>+E32+(D35*F33)</f>
        <v>30634.008819999999</v>
      </c>
      <c r="H33" s="142">
        <f>+F33+'CPA Amount of Change'!K17</f>
        <v>1.3279699999999999</v>
      </c>
      <c r="I33" s="143">
        <f>+E32+(D35*H33)</f>
        <v>31015.727009999999</v>
      </c>
      <c r="J33" s="145"/>
      <c r="K33" s="146"/>
    </row>
    <row r="34" spans="1:14" x14ac:dyDescent="0.25">
      <c r="A34" s="125">
        <v>15</v>
      </c>
      <c r="C34" s="125" t="s">
        <v>125</v>
      </c>
      <c r="D34" s="149"/>
      <c r="F34" s="142">
        <f>+'[28]Effects of PGA Avg. Bill'!F34</f>
        <v>1.24617</v>
      </c>
      <c r="G34" s="143"/>
      <c r="H34" s="142">
        <f>+F34+'CPA Amount of Change'!K17</f>
        <v>1.2625999999999999</v>
      </c>
      <c r="J34" s="145"/>
      <c r="K34" s="146"/>
    </row>
    <row r="35" spans="1:14" x14ac:dyDescent="0.25">
      <c r="A35" s="125">
        <v>16</v>
      </c>
      <c r="C35" s="134" t="s">
        <v>126</v>
      </c>
      <c r="D35" s="149">
        <f>+'[28]Effects of PGA Avg. Bill'!D35</f>
        <v>23233</v>
      </c>
      <c r="G35" s="150">
        <f>+G33+G34</f>
        <v>30634.008819999999</v>
      </c>
      <c r="H35" s="143"/>
      <c r="I35" s="143">
        <f>+I33+I34</f>
        <v>31015.727009999999</v>
      </c>
      <c r="J35" s="145">
        <f>+I35-G35</f>
        <v>381.71818999999959</v>
      </c>
      <c r="K35" s="151">
        <f t="shared" si="1"/>
        <v>1.246060194873312E-2</v>
      </c>
    </row>
    <row r="37" spans="1:14" x14ac:dyDescent="0.25">
      <c r="N37" s="147"/>
    </row>
  </sheetData>
  <mergeCells count="1">
    <mergeCell ref="C6:L6"/>
  </mergeCells>
  <printOptions horizontalCentered="1"/>
  <pageMargins left="0.2" right="0.2" top="1" bottom="0.17" header="0.35" footer="0.5"/>
  <pageSetup scale="91" orientation="landscape" r:id="rId1"/>
  <headerFooter scaleWithDoc="0" alignWithMargins="0">
    <oddFooter>&amp;LTab Name: &amp;A</oddFooter>
  </headerFooter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DC6C-3658-4982-B3B5-5C611EBC7A5E}">
  <dimension ref="A1"/>
  <sheetViews>
    <sheetView workbookViewId="0">
      <selection activeCell="F12" sqref="F12"/>
    </sheetView>
  </sheetViews>
  <sheetFormatPr defaultRowHeight="10.5" x14ac:dyDescent="0.1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2C79-369F-406D-8C1D-7CD7A1B89944}">
  <sheetPr>
    <pageSetUpPr fitToPage="1"/>
  </sheetPr>
  <dimension ref="A1:L16"/>
  <sheetViews>
    <sheetView workbookViewId="0">
      <selection activeCell="C24" sqref="C24"/>
    </sheetView>
  </sheetViews>
  <sheetFormatPr defaultColWidth="9.33203125" defaultRowHeight="15" x14ac:dyDescent="0.25"/>
  <cols>
    <col min="1" max="1" width="24.33203125" style="152" bestFit="1" customWidth="1"/>
    <col min="2" max="2" width="16" style="152" bestFit="1" customWidth="1"/>
    <col min="3" max="3" width="66.1640625" style="152" bestFit="1" customWidth="1"/>
    <col min="4" max="4" width="24.33203125" style="152" bestFit="1" customWidth="1"/>
    <col min="5" max="5" width="11.1640625" style="152" bestFit="1" customWidth="1"/>
    <col min="6" max="6" width="8.6640625" style="152" bestFit="1" customWidth="1"/>
    <col min="7" max="9" width="10.6640625" style="152" customWidth="1"/>
    <col min="10" max="11" width="9.33203125" style="152"/>
    <col min="12" max="13" width="18" style="152" bestFit="1" customWidth="1"/>
    <col min="14" max="16384" width="9.33203125" style="152"/>
  </cols>
  <sheetData>
    <row r="1" spans="1:12" x14ac:dyDescent="0.25">
      <c r="C1" s="318" t="s">
        <v>9</v>
      </c>
      <c r="D1" s="318"/>
      <c r="E1" s="318"/>
      <c r="F1" s="318"/>
      <c r="G1" s="318"/>
      <c r="H1" s="318"/>
    </row>
    <row r="2" spans="1:12" x14ac:dyDescent="0.25">
      <c r="C2" s="318" t="s">
        <v>127</v>
      </c>
      <c r="D2" s="318"/>
      <c r="E2" s="318"/>
      <c r="F2" s="318"/>
      <c r="G2" s="318"/>
      <c r="H2" s="318"/>
    </row>
    <row r="3" spans="1:12" x14ac:dyDescent="0.25">
      <c r="C3" s="318" t="s">
        <v>12</v>
      </c>
      <c r="D3" s="318"/>
      <c r="E3" s="318"/>
      <c r="F3" s="318"/>
      <c r="G3" s="318"/>
      <c r="H3" s="318"/>
    </row>
    <row r="4" spans="1:12" x14ac:dyDescent="0.25">
      <c r="A4" s="153"/>
      <c r="B4" s="154"/>
      <c r="C4" s="155"/>
    </row>
    <row r="5" spans="1:12" x14ac:dyDescent="0.25">
      <c r="A5" s="319"/>
      <c r="B5" s="319"/>
      <c r="C5" s="319"/>
    </row>
    <row r="6" spans="1:12" x14ac:dyDescent="0.25">
      <c r="D6" s="162"/>
      <c r="G6" s="158"/>
      <c r="H6" s="158"/>
      <c r="I6" s="158"/>
    </row>
    <row r="7" spans="1:12" x14ac:dyDescent="0.25">
      <c r="D7" s="163"/>
      <c r="G7" s="158"/>
      <c r="H7" s="158"/>
      <c r="I7" s="158"/>
      <c r="L7" s="164"/>
    </row>
    <row r="8" spans="1:12" ht="30" x14ac:dyDescent="0.25">
      <c r="A8" s="156" t="s">
        <v>128</v>
      </c>
      <c r="B8" s="156" t="s">
        <v>129</v>
      </c>
      <c r="C8" s="156" t="s">
        <v>68</v>
      </c>
      <c r="D8" s="157" t="s">
        <v>138</v>
      </c>
      <c r="E8" s="156" t="s">
        <v>130</v>
      </c>
      <c r="F8" s="156" t="s">
        <v>131</v>
      </c>
      <c r="G8" s="156" t="s">
        <v>132</v>
      </c>
      <c r="H8" s="156" t="s">
        <v>133</v>
      </c>
      <c r="I8" s="156" t="s">
        <v>134</v>
      </c>
    </row>
    <row r="9" spans="1:12" x14ac:dyDescent="0.25">
      <c r="A9" s="152" t="s">
        <v>139</v>
      </c>
      <c r="B9" s="152" t="s">
        <v>140</v>
      </c>
      <c r="C9" s="152" t="s">
        <v>141</v>
      </c>
      <c r="D9" s="159">
        <v>1159975.99</v>
      </c>
      <c r="E9" s="152" t="s">
        <v>40</v>
      </c>
      <c r="G9" s="158" t="s">
        <v>135</v>
      </c>
      <c r="H9" s="158" t="s">
        <v>135</v>
      </c>
      <c r="I9" s="158" t="s">
        <v>136</v>
      </c>
    </row>
    <row r="10" spans="1:12" x14ac:dyDescent="0.25">
      <c r="A10" s="152" t="s">
        <v>142</v>
      </c>
      <c r="B10" s="152" t="s">
        <v>140</v>
      </c>
      <c r="C10" s="152" t="s">
        <v>143</v>
      </c>
      <c r="D10" s="159">
        <v>1301711.5</v>
      </c>
      <c r="E10" s="152" t="s">
        <v>40</v>
      </c>
      <c r="G10" s="158" t="s">
        <v>135</v>
      </c>
      <c r="H10" s="158" t="s">
        <v>135</v>
      </c>
      <c r="I10" s="158" t="s">
        <v>136</v>
      </c>
    </row>
    <row r="11" spans="1:12" x14ac:dyDescent="0.25">
      <c r="A11" s="152" t="s">
        <v>144</v>
      </c>
      <c r="B11" s="152" t="s">
        <v>140</v>
      </c>
      <c r="C11" s="152" t="s">
        <v>145</v>
      </c>
      <c r="D11" s="159">
        <v>2837015.77</v>
      </c>
      <c r="E11" s="152" t="s">
        <v>40</v>
      </c>
      <c r="G11" s="158" t="s">
        <v>135</v>
      </c>
      <c r="H11" s="158" t="s">
        <v>135</v>
      </c>
      <c r="I11" s="158" t="s">
        <v>136</v>
      </c>
    </row>
    <row r="12" spans="1:12" x14ac:dyDescent="0.25">
      <c r="A12" s="152" t="s">
        <v>146</v>
      </c>
      <c r="B12" s="152" t="s">
        <v>140</v>
      </c>
      <c r="C12" s="152" t="s">
        <v>147</v>
      </c>
      <c r="D12" s="159">
        <v>9680932.1899999995</v>
      </c>
      <c r="E12" s="152" t="s">
        <v>40</v>
      </c>
      <c r="G12" s="158" t="s">
        <v>135</v>
      </c>
      <c r="H12" s="158" t="s">
        <v>135</v>
      </c>
      <c r="I12" s="158" t="s">
        <v>136</v>
      </c>
    </row>
    <row r="13" spans="1:12" x14ac:dyDescent="0.25">
      <c r="A13" s="152" t="s">
        <v>148</v>
      </c>
      <c r="B13" s="152" t="s">
        <v>140</v>
      </c>
      <c r="C13" s="152" t="s">
        <v>149</v>
      </c>
      <c r="D13" s="159">
        <v>2317439.87</v>
      </c>
      <c r="E13" s="152" t="s">
        <v>40</v>
      </c>
      <c r="G13" s="158" t="s">
        <v>135</v>
      </c>
      <c r="H13" s="158" t="s">
        <v>136</v>
      </c>
      <c r="I13" s="158" t="s">
        <v>135</v>
      </c>
    </row>
    <row r="14" spans="1:12" x14ac:dyDescent="0.25">
      <c r="A14" s="165"/>
      <c r="B14" s="165"/>
      <c r="D14" s="159"/>
    </row>
    <row r="15" spans="1:12" x14ac:dyDescent="0.25">
      <c r="A15" s="156" t="s">
        <v>137</v>
      </c>
      <c r="B15" s="156"/>
      <c r="C15" s="156"/>
      <c r="D15" s="161"/>
      <c r="E15" s="156"/>
    </row>
    <row r="16" spans="1:12" x14ac:dyDescent="0.25">
      <c r="A16" s="152" t="s">
        <v>140</v>
      </c>
      <c r="C16" s="152" t="s">
        <v>150</v>
      </c>
      <c r="D16" s="159">
        <f>SUM(D9:D13)</f>
        <v>17297075.32</v>
      </c>
      <c r="G16" s="158"/>
      <c r="H16" s="158"/>
      <c r="I16" s="158"/>
    </row>
  </sheetData>
  <mergeCells count="4">
    <mergeCell ref="C1:H1"/>
    <mergeCell ref="C2:H2"/>
    <mergeCell ref="C3:H3"/>
    <mergeCell ref="A5:C5"/>
  </mergeCells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364BB-F2BA-4F00-83F3-32E212FED959}">
  <sheetPr>
    <pageSetUpPr fitToPage="1"/>
  </sheetPr>
  <dimension ref="A1:G16"/>
  <sheetViews>
    <sheetView workbookViewId="0">
      <selection activeCell="C7" sqref="C7"/>
    </sheetView>
  </sheetViews>
  <sheetFormatPr defaultColWidth="9.33203125" defaultRowHeight="15" x14ac:dyDescent="0.25"/>
  <cols>
    <col min="1" max="1" width="28.6640625" style="152" bestFit="1" customWidth="1"/>
    <col min="2" max="2" width="66.1640625" style="152" bestFit="1" customWidth="1"/>
    <col min="3" max="3" width="18.1640625" style="152" customWidth="1"/>
    <col min="4" max="5" width="15.83203125" style="152" bestFit="1" customWidth="1"/>
    <col min="6" max="6" width="1.6640625" style="152" customWidth="1"/>
    <col min="7" max="7" width="16.83203125" style="152" customWidth="1"/>
    <col min="8" max="8" width="17.6640625" style="152" bestFit="1" customWidth="1"/>
    <col min="9" max="16384" width="9.33203125" style="152"/>
  </cols>
  <sheetData>
    <row r="1" spans="1:7" x14ac:dyDescent="0.25">
      <c r="B1" s="318" t="s">
        <v>9</v>
      </c>
      <c r="C1" s="318"/>
      <c r="D1" s="318"/>
      <c r="E1" s="318"/>
      <c r="F1" s="166"/>
      <c r="G1" s="166"/>
    </row>
    <row r="2" spans="1:7" x14ac:dyDescent="0.25">
      <c r="B2" s="318" t="s">
        <v>151</v>
      </c>
      <c r="C2" s="318"/>
      <c r="D2" s="318"/>
      <c r="E2" s="318"/>
      <c r="F2" s="166"/>
      <c r="G2" s="166"/>
    </row>
    <row r="3" spans="1:7" x14ac:dyDescent="0.25">
      <c r="B3" s="318" t="s">
        <v>12</v>
      </c>
      <c r="C3" s="318"/>
      <c r="D3" s="318"/>
      <c r="E3" s="318"/>
      <c r="F3" s="166"/>
      <c r="G3" s="166"/>
    </row>
    <row r="4" spans="1:7" x14ac:dyDescent="0.25">
      <c r="A4" s="167"/>
      <c r="C4" s="179"/>
      <c r="D4" s="179"/>
      <c r="E4" s="179"/>
      <c r="F4" s="179"/>
      <c r="G4" s="179"/>
    </row>
    <row r="5" spans="1:7" x14ac:dyDescent="0.25">
      <c r="A5" s="154" t="s">
        <v>152</v>
      </c>
      <c r="C5" s="78"/>
      <c r="D5" s="78"/>
      <c r="E5" s="78"/>
      <c r="F5" s="78"/>
      <c r="G5" s="78"/>
    </row>
    <row r="6" spans="1:7" x14ac:dyDescent="0.25">
      <c r="A6" s="170" t="s">
        <v>154</v>
      </c>
      <c r="C6" s="180">
        <v>45535</v>
      </c>
      <c r="D6" s="180">
        <v>45565</v>
      </c>
      <c r="E6" s="180">
        <v>45596</v>
      </c>
      <c r="F6" s="168">
        <v>0</v>
      </c>
      <c r="G6" s="169" t="s">
        <v>153</v>
      </c>
    </row>
    <row r="7" spans="1:7" x14ac:dyDescent="0.25">
      <c r="A7" s="170" t="s">
        <v>156</v>
      </c>
      <c r="B7" s="155" t="s">
        <v>68</v>
      </c>
      <c r="C7" s="181">
        <v>8.5000000000000006E-2</v>
      </c>
      <c r="D7" s="181">
        <v>8.5000000000000006E-2</v>
      </c>
      <c r="E7" s="181">
        <v>8.5000000000000006E-2</v>
      </c>
      <c r="F7" s="171">
        <v>3.2500000000000001E-2</v>
      </c>
      <c r="G7" s="155" t="s">
        <v>155</v>
      </c>
    </row>
    <row r="8" spans="1:7" x14ac:dyDescent="0.25">
      <c r="A8" s="174" t="s">
        <v>157</v>
      </c>
      <c r="B8" s="175" t="s">
        <v>3</v>
      </c>
      <c r="C8" s="172">
        <f>ROUND(C7/365*31,6)</f>
        <v>7.2189999999999997E-3</v>
      </c>
      <c r="D8" s="172">
        <f>ROUND(D7/365*30,6)</f>
        <v>6.986E-3</v>
      </c>
      <c r="E8" s="172">
        <f>ROUND(E7/365*31,6)</f>
        <v>7.2189999999999997E-3</v>
      </c>
      <c r="F8" s="172">
        <f>ROUND(F7/365*31,6)</f>
        <v>2.7599999999999999E-3</v>
      </c>
      <c r="G8" s="173">
        <f>+E6</f>
        <v>45596</v>
      </c>
    </row>
    <row r="9" spans="1:7" x14ac:dyDescent="0.25">
      <c r="A9" s="152" t="str">
        <f>+'Balances at 7-31-2024'!A9</f>
        <v>47WA.1823.47020430</v>
      </c>
      <c r="B9" s="152" t="str">
        <f>+'Balances at 7-31-2024'!C9</f>
        <v xml:space="preserve">Commercial Conservation Program </v>
      </c>
      <c r="C9" s="177">
        <f>ROUND('Balances at 7-31-2024'!D9*C$8,2)</f>
        <v>8373.8700000000008</v>
      </c>
      <c r="D9" s="177">
        <f>ROUND(EstimatedBalances!D11*D$8,2)</f>
        <v>8162.09</v>
      </c>
      <c r="E9" s="177">
        <f>ROUND(EstimatedBalances!E11*E$8,2)</f>
        <v>8493.24</v>
      </c>
      <c r="F9" s="177" t="e">
        <f>ROUND([29]EstimatedBalances!E23*#REF!,2)</f>
        <v>#REF!</v>
      </c>
      <c r="G9" s="182">
        <f>+C9+D9+E9</f>
        <v>25029.199999999997</v>
      </c>
    </row>
    <row r="10" spans="1:7" x14ac:dyDescent="0.25">
      <c r="A10" s="152" t="str">
        <f>+'Balances at 7-31-2024'!A10</f>
        <v>47WA.1823.47020431</v>
      </c>
      <c r="B10" s="152" t="str">
        <f>+'Balances at 7-31-2024'!C10</f>
        <v>Low Income Weatherization Program</v>
      </c>
      <c r="C10" s="177">
        <f>ROUND('Balances at 7-31-2024'!D10*C$8,2)</f>
        <v>9397.06</v>
      </c>
      <c r="D10" s="177">
        <f>ROUND(EstimatedBalances!D12*D$8,2)</f>
        <v>9159.4</v>
      </c>
      <c r="E10" s="177">
        <f>ROUND(EstimatedBalances!E12*E$8,2)</f>
        <v>9531.01</v>
      </c>
      <c r="F10" s="177" t="e">
        <f>ROUND([29]EstimatedBalances!E24*#REF!,2)</f>
        <v>#REF!</v>
      </c>
      <c r="G10" s="182">
        <f t="shared" ref="G10:G13" si="0">+C10+D10+E10</f>
        <v>28087.47</v>
      </c>
    </row>
    <row r="11" spans="1:7" x14ac:dyDescent="0.25">
      <c r="A11" s="152" t="str">
        <f>+'Balances at 7-31-2024'!A11</f>
        <v>47WA.1823.47020444</v>
      </c>
      <c r="B11" s="152" t="str">
        <f>+'Balances at 7-31-2024'!C11</f>
        <v>Washington Conservation Administration &amp; Program Delivery Fees</v>
      </c>
      <c r="C11" s="177">
        <f>ROUND('Balances at 7-31-2024'!D11*C$8,2)</f>
        <v>20480.419999999998</v>
      </c>
      <c r="D11" s="177">
        <f>ROUND(EstimatedBalances!D13*D$8,2)</f>
        <v>19962.47</v>
      </c>
      <c r="E11" s="177">
        <f>ROUND(EstimatedBalances!E13*E$8,2)</f>
        <v>20772.37</v>
      </c>
      <c r="F11" s="177" t="e">
        <f>ROUND([29]EstimatedBalances!E25*#REF!,2)</f>
        <v>#REF!</v>
      </c>
      <c r="G11" s="182">
        <f t="shared" si="0"/>
        <v>61215.259999999995</v>
      </c>
    </row>
    <row r="12" spans="1:7" x14ac:dyDescent="0.25">
      <c r="A12" s="152" t="str">
        <f>+'Balances at 7-31-2024'!A12</f>
        <v>47WA.1823.47020449</v>
      </c>
      <c r="B12" s="152" t="str">
        <f>+'Balances at 7-31-2024'!C12</f>
        <v xml:space="preserve">Washington Residential Conservation Program </v>
      </c>
      <c r="C12" s="177">
        <f>ROUND('Balances at 7-31-2024'!D12*C$8,2)</f>
        <v>69886.649999999994</v>
      </c>
      <c r="D12" s="177">
        <f>ROUND(EstimatedBalances!D14*D$8,2)</f>
        <v>68119.22</v>
      </c>
      <c r="E12" s="177">
        <f>ROUND(EstimatedBalances!E14*E$8,2)</f>
        <v>70882.91</v>
      </c>
      <c r="F12" s="177" t="e">
        <f>ROUND([29]EstimatedBalances!E26*#REF!,2)</f>
        <v>#REF!</v>
      </c>
      <c r="G12" s="182">
        <f t="shared" si="0"/>
        <v>208888.78</v>
      </c>
    </row>
    <row r="13" spans="1:7" x14ac:dyDescent="0.25">
      <c r="A13" s="152" t="str">
        <f>+'Balances at 7-31-2024'!A13</f>
        <v>47WA.1823.47020478</v>
      </c>
      <c r="B13" s="152" t="str">
        <f>+'Balances at 7-31-2024'!C13</f>
        <v>Consolidated Technical Adjustments - Conservation</v>
      </c>
      <c r="C13" s="177">
        <f>ROUND('Balances at 7-31-2024'!D13*C$8,2)</f>
        <v>16729.599999999999</v>
      </c>
      <c r="D13" s="177">
        <f>ROUND(EstimatedBalances!D15*D$8,2)</f>
        <v>14337.01</v>
      </c>
      <c r="E13" s="177">
        <f>ROUND(EstimatedBalances!E15*E$8,2)</f>
        <v>12364.07</v>
      </c>
      <c r="F13" s="177" t="e">
        <f>ROUND([29]EstimatedBalances!E27*#REF!,2)</f>
        <v>#REF!</v>
      </c>
      <c r="G13" s="182">
        <f t="shared" si="0"/>
        <v>43430.68</v>
      </c>
    </row>
    <row r="14" spans="1:7" x14ac:dyDescent="0.25">
      <c r="C14" s="182"/>
      <c r="D14" s="182"/>
      <c r="E14" s="182"/>
      <c r="F14" s="182"/>
      <c r="G14" s="182"/>
    </row>
    <row r="15" spans="1:7" ht="15.75" thickBot="1" x14ac:dyDescent="0.3">
      <c r="A15" s="167" t="s">
        <v>153</v>
      </c>
      <c r="B15" s="152" t="str">
        <f>+'Balances at 7-31-2024'!C16</f>
        <v>Consolidation of accounts related to core conservation.</v>
      </c>
      <c r="C15" s="178">
        <f>SUM(C9:C14)</f>
        <v>124867.6</v>
      </c>
      <c r="D15" s="178">
        <f>SUM(D9:D14)</f>
        <v>119740.18999999999</v>
      </c>
      <c r="E15" s="178">
        <f t="shared" ref="E15:F15" si="1">SUM(E9:E14)</f>
        <v>122043.6</v>
      </c>
      <c r="F15" s="178" t="e">
        <f t="shared" si="1"/>
        <v>#REF!</v>
      </c>
      <c r="G15" s="178">
        <f>SUM(G9:G14)</f>
        <v>366651.38999999996</v>
      </c>
    </row>
    <row r="16" spans="1:7" ht="15.75" thickTop="1" x14ac:dyDescent="0.25"/>
  </sheetData>
  <mergeCells count="3">
    <mergeCell ref="B1:E1"/>
    <mergeCell ref="B2:E2"/>
    <mergeCell ref="B3:E3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E10A-DA8D-4530-AE70-6537B236AFEB}">
  <sheetPr>
    <pageSetUpPr fitToPage="1"/>
  </sheetPr>
  <dimension ref="A1:I20"/>
  <sheetViews>
    <sheetView workbookViewId="0">
      <selection activeCell="A10" sqref="A10:XFD19"/>
    </sheetView>
  </sheetViews>
  <sheetFormatPr defaultColWidth="9.33203125" defaultRowHeight="15" x14ac:dyDescent="0.25"/>
  <cols>
    <col min="1" max="1" width="24.6640625" style="152" customWidth="1"/>
    <col min="2" max="2" width="11.1640625" style="152" bestFit="1" customWidth="1"/>
    <col min="3" max="3" width="15.1640625" style="152" customWidth="1"/>
    <col min="4" max="6" width="17.6640625" style="152" bestFit="1" customWidth="1"/>
    <col min="7" max="7" width="2.83203125" style="152" customWidth="1"/>
    <col min="8" max="8" width="20" style="152" customWidth="1"/>
    <col min="9" max="9" width="12.6640625" style="152" customWidth="1"/>
    <col min="10" max="10" width="11.83203125" style="152" bestFit="1" customWidth="1"/>
    <col min="11" max="16384" width="9.33203125" style="152"/>
  </cols>
  <sheetData>
    <row r="1" spans="1:9" x14ac:dyDescent="0.25">
      <c r="B1" s="318" t="s">
        <v>9</v>
      </c>
      <c r="C1" s="318"/>
      <c r="D1" s="318"/>
      <c r="E1" s="318"/>
      <c r="G1" s="183"/>
      <c r="H1" s="184"/>
      <c r="I1" s="184"/>
    </row>
    <row r="2" spans="1:9" x14ac:dyDescent="0.25">
      <c r="A2" s="320" t="s">
        <v>158</v>
      </c>
      <c r="B2" s="320"/>
      <c r="C2" s="320"/>
      <c r="D2" s="320"/>
      <c r="E2" s="320"/>
      <c r="F2" s="320"/>
      <c r="H2" s="185"/>
      <c r="I2" s="186"/>
    </row>
    <row r="3" spans="1:9" x14ac:dyDescent="0.25">
      <c r="B3" s="318" t="s">
        <v>12</v>
      </c>
      <c r="C3" s="318"/>
      <c r="D3" s="318"/>
      <c r="E3" s="318"/>
      <c r="I3" s="186"/>
    </row>
    <row r="4" spans="1:9" x14ac:dyDescent="0.25">
      <c r="D4" s="169" t="s">
        <v>159</v>
      </c>
      <c r="E4" s="169" t="s">
        <v>159</v>
      </c>
      <c r="F4" s="169" t="s">
        <v>159</v>
      </c>
      <c r="G4" s="187"/>
      <c r="I4" s="186"/>
    </row>
    <row r="5" spans="1:9" x14ac:dyDescent="0.25">
      <c r="D5" s="188">
        <v>45535</v>
      </c>
      <c r="E5" s="188">
        <v>45565</v>
      </c>
      <c r="F5" s="188">
        <v>45596</v>
      </c>
      <c r="G5" s="187"/>
      <c r="H5" s="185"/>
      <c r="I5" s="186"/>
    </row>
    <row r="6" spans="1:9" x14ac:dyDescent="0.25">
      <c r="A6" s="176" t="s">
        <v>160</v>
      </c>
      <c r="D6" s="185">
        <f>+'Test Period Volumes'!C19+'Test Period Volumes'!D19+'Test Period Volumes'!E19+'Test Period Volumes'!F19</f>
        <v>6254468.9326015133</v>
      </c>
      <c r="E6" s="185">
        <f>+'Test Period Volumes'!C20+'Test Period Volumes'!D20+'Test Period Volumes'!E20+'Test Period Volumes'!F20</f>
        <v>7857955.3129169894</v>
      </c>
      <c r="F6" s="185">
        <f>+'Test Period Volumes'!C21+'Test Period Volumes'!D21+'Test Period Volumes'!E21+'Test Period Volumes'!F21</f>
        <v>20829278.513114803</v>
      </c>
      <c r="G6" s="185"/>
      <c r="H6" s="185"/>
    </row>
    <row r="7" spans="1:9" x14ac:dyDescent="0.25">
      <c r="A7" s="176" t="s">
        <v>161</v>
      </c>
      <c r="D7" s="185">
        <f>+'Test Period Volumes'!I19</f>
        <v>6335300</v>
      </c>
      <c r="E7" s="185">
        <f>+'Test Period Volumes'!I20</f>
        <v>7952200</v>
      </c>
      <c r="F7" s="185">
        <f>+'Test Period Volumes'!I21</f>
        <v>21037300</v>
      </c>
      <c r="G7" s="185"/>
      <c r="H7" s="185"/>
    </row>
    <row r="8" spans="1:9" x14ac:dyDescent="0.25">
      <c r="A8" s="176" t="s">
        <v>162</v>
      </c>
      <c r="D8" s="185">
        <f>+'Test Period Volumes'!H19+'Test Period Volumes'!I19</f>
        <v>87977157</v>
      </c>
      <c r="E8" s="185">
        <f>+'Test Period Volumes'!H20+'Test Period Volumes'!I20</f>
        <v>93081583</v>
      </c>
      <c r="F8" s="185">
        <f>+'Test Period Volumes'!H21+'Test Period Volumes'!I21</f>
        <v>104984462</v>
      </c>
      <c r="G8" s="185"/>
      <c r="H8" s="185"/>
      <c r="I8" s="189"/>
    </row>
    <row r="9" spans="1:9" x14ac:dyDescent="0.25">
      <c r="C9" s="190"/>
    </row>
    <row r="11" spans="1:9" x14ac:dyDescent="0.25">
      <c r="C11" s="191">
        <v>45231</v>
      </c>
      <c r="D11" s="169" t="s">
        <v>159</v>
      </c>
      <c r="E11" s="169" t="s">
        <v>159</v>
      </c>
      <c r="F11" s="169" t="s">
        <v>159</v>
      </c>
      <c r="H11" s="192" t="s">
        <v>159</v>
      </c>
    </row>
    <row r="12" spans="1:9" x14ac:dyDescent="0.25">
      <c r="C12" s="193" t="s">
        <v>163</v>
      </c>
      <c r="D12" s="188">
        <v>45535</v>
      </c>
      <c r="E12" s="188">
        <v>45565</v>
      </c>
      <c r="F12" s="188">
        <v>45596</v>
      </c>
      <c r="H12" s="192" t="s">
        <v>164</v>
      </c>
    </row>
    <row r="13" spans="1:9" x14ac:dyDescent="0.25">
      <c r="C13" s="194" t="s">
        <v>166</v>
      </c>
      <c r="D13" s="195" t="s">
        <v>167</v>
      </c>
      <c r="E13" s="195" t="s">
        <v>167</v>
      </c>
      <c r="F13" s="195" t="s">
        <v>167</v>
      </c>
      <c r="H13" s="196">
        <v>45230</v>
      </c>
    </row>
    <row r="14" spans="1:9" x14ac:dyDescent="0.25">
      <c r="A14" s="152" t="str">
        <f>+'Balances at 7-31-2024'!A9</f>
        <v>47WA.1823.47020430</v>
      </c>
      <c r="B14" s="152" t="s">
        <v>40</v>
      </c>
      <c r="C14" s="197"/>
      <c r="D14" s="198">
        <f>+$C14*D$7</f>
        <v>0</v>
      </c>
      <c r="E14" s="198">
        <f t="shared" ref="E14:F18" si="0">+$C14*E$7</f>
        <v>0</v>
      </c>
      <c r="F14" s="198">
        <f t="shared" si="0"/>
        <v>0</v>
      </c>
      <c r="H14" s="198">
        <f>SUM(D14:F14)</f>
        <v>0</v>
      </c>
    </row>
    <row r="15" spans="1:9" x14ac:dyDescent="0.25">
      <c r="A15" s="152" t="str">
        <f>+'Balances at 7-31-2024'!A10</f>
        <v>47WA.1823.47020431</v>
      </c>
      <c r="B15" s="152" t="s">
        <v>40</v>
      </c>
      <c r="C15" s="197"/>
      <c r="D15" s="198">
        <f>+$C15*D$7</f>
        <v>0</v>
      </c>
      <c r="E15" s="198">
        <f t="shared" si="0"/>
        <v>0</v>
      </c>
      <c r="F15" s="198">
        <f t="shared" si="0"/>
        <v>0</v>
      </c>
      <c r="H15" s="198">
        <f>SUM(D15:F15)</f>
        <v>0</v>
      </c>
    </row>
    <row r="16" spans="1:9" x14ac:dyDescent="0.25">
      <c r="A16" s="152" t="str">
        <f>+'Balances at 7-31-2024'!A11</f>
        <v>47WA.1823.47020444</v>
      </c>
      <c r="B16" s="152" t="s">
        <v>40</v>
      </c>
      <c r="C16" s="197"/>
      <c r="D16" s="198">
        <f>+$C16*D$7</f>
        <v>0</v>
      </c>
      <c r="E16" s="198">
        <f t="shared" si="0"/>
        <v>0</v>
      </c>
      <c r="F16" s="198">
        <f t="shared" si="0"/>
        <v>0</v>
      </c>
      <c r="H16" s="198">
        <f>SUM(D16:F16)</f>
        <v>0</v>
      </c>
    </row>
    <row r="17" spans="1:8" x14ac:dyDescent="0.25">
      <c r="A17" s="152" t="str">
        <f>+'Balances at 7-31-2024'!A12</f>
        <v>47WA.1823.47020449</v>
      </c>
      <c r="B17" s="152" t="s">
        <v>40</v>
      </c>
      <c r="C17" s="197"/>
      <c r="D17" s="198">
        <f>+$C17*D$7</f>
        <v>0</v>
      </c>
      <c r="E17" s="198">
        <f t="shared" si="0"/>
        <v>0</v>
      </c>
      <c r="F17" s="198">
        <f t="shared" si="0"/>
        <v>0</v>
      </c>
      <c r="H17" s="198">
        <f>SUM(D17:F17)</f>
        <v>0</v>
      </c>
    </row>
    <row r="18" spans="1:8" x14ac:dyDescent="0.25">
      <c r="A18" s="152" t="str">
        <f>+'Balances at 7-31-2024'!A13</f>
        <v>47WA.1823.47020478</v>
      </c>
      <c r="B18" s="152" t="s">
        <v>40</v>
      </c>
      <c r="C18" s="197">
        <v>-4.4499999999999998E-2</v>
      </c>
      <c r="D18" s="177">
        <f>+$C18*D$7</f>
        <v>-281920.84999999998</v>
      </c>
      <c r="E18" s="177">
        <f t="shared" si="0"/>
        <v>-353872.89999999997</v>
      </c>
      <c r="F18" s="177">
        <f t="shared" si="0"/>
        <v>-936159.85</v>
      </c>
      <c r="G18" s="182"/>
      <c r="H18" s="177">
        <f>SUM(D18:F18)</f>
        <v>-1571953.6</v>
      </c>
    </row>
    <row r="19" spans="1:8" ht="15.75" thickBot="1" x14ac:dyDescent="0.3">
      <c r="A19" s="167" t="s">
        <v>168</v>
      </c>
      <c r="C19" s="167"/>
      <c r="D19" s="199">
        <f>SUM(D14:D18)</f>
        <v>-281920.84999999998</v>
      </c>
      <c r="E19" s="199">
        <f>SUM(E14:E18)</f>
        <v>-353872.89999999997</v>
      </c>
      <c r="F19" s="199">
        <f>SUM(F14:F18)</f>
        <v>-936159.85</v>
      </c>
      <c r="G19" s="182"/>
      <c r="H19" s="199">
        <f>SUM(H14:H18)</f>
        <v>-1571953.6</v>
      </c>
    </row>
    <row r="20" spans="1:8" ht="15.75" thickTop="1" x14ac:dyDescent="0.25"/>
  </sheetData>
  <mergeCells count="3">
    <mergeCell ref="B1:E1"/>
    <mergeCell ref="A2:F2"/>
    <mergeCell ref="B3:E3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8878-AA5B-41B6-9741-4E2320CE4220}">
  <sheetPr>
    <pageSetUpPr fitToPage="1"/>
  </sheetPr>
  <dimension ref="A1:H18"/>
  <sheetViews>
    <sheetView workbookViewId="0">
      <selection activeCell="A5" sqref="A5:XFD13"/>
    </sheetView>
  </sheetViews>
  <sheetFormatPr defaultColWidth="9.33203125" defaultRowHeight="15" x14ac:dyDescent="0.25"/>
  <cols>
    <col min="1" max="1" width="23.33203125" style="152" customWidth="1"/>
    <col min="2" max="2" width="66.1640625" style="152" bestFit="1" customWidth="1"/>
    <col min="3" max="6" width="20.6640625" style="152" bestFit="1" customWidth="1"/>
    <col min="7" max="7" width="2.6640625" style="152" customWidth="1"/>
    <col min="8" max="8" width="18.6640625" style="152" customWidth="1"/>
    <col min="9" max="16384" width="9.33203125" style="152"/>
  </cols>
  <sheetData>
    <row r="1" spans="1:8" x14ac:dyDescent="0.25">
      <c r="B1" s="318" t="s">
        <v>9</v>
      </c>
      <c r="C1" s="318"/>
      <c r="D1" s="318"/>
      <c r="E1" s="318"/>
      <c r="F1" s="318"/>
    </row>
    <row r="2" spans="1:8" x14ac:dyDescent="0.25">
      <c r="B2" s="321" t="s">
        <v>169</v>
      </c>
      <c r="C2" s="321"/>
      <c r="D2" s="321"/>
      <c r="E2" s="321"/>
      <c r="F2" s="321"/>
    </row>
    <row r="3" spans="1:8" x14ac:dyDescent="0.25">
      <c r="B3" s="318" t="s">
        <v>12</v>
      </c>
      <c r="C3" s="318"/>
      <c r="D3" s="318"/>
      <c r="E3" s="318"/>
      <c r="F3" s="318"/>
    </row>
    <row r="5" spans="1:8" x14ac:dyDescent="0.25">
      <c r="A5" s="190"/>
      <c r="B5" s="176"/>
      <c r="C5" s="205"/>
      <c r="D5" s="203"/>
      <c r="E5" s="203"/>
      <c r="F5" s="203"/>
      <c r="G5" s="203"/>
      <c r="H5" s="203"/>
    </row>
    <row r="7" spans="1:8" x14ac:dyDescent="0.25">
      <c r="C7" s="200">
        <v>45504</v>
      </c>
      <c r="D7" s="200">
        <v>45535</v>
      </c>
      <c r="E7" s="200">
        <v>45565</v>
      </c>
      <c r="F7" s="200">
        <v>45596</v>
      </c>
      <c r="G7" s="188"/>
      <c r="H7" s="201" t="s">
        <v>170</v>
      </c>
    </row>
    <row r="8" spans="1:8" x14ac:dyDescent="0.25">
      <c r="A8" s="154" t="s">
        <v>165</v>
      </c>
      <c r="B8" s="155" t="s">
        <v>68</v>
      </c>
      <c r="C8" s="193" t="s">
        <v>171</v>
      </c>
      <c r="D8" s="193" t="s">
        <v>171</v>
      </c>
      <c r="E8" s="193" t="s">
        <v>171</v>
      </c>
      <c r="F8" s="193" t="s">
        <v>171</v>
      </c>
      <c r="G8" s="193"/>
      <c r="H8" s="193" t="s">
        <v>172</v>
      </c>
    </row>
    <row r="9" spans="1:8" x14ac:dyDescent="0.25">
      <c r="A9" s="202" t="s">
        <v>174</v>
      </c>
      <c r="C9" s="193" t="s">
        <v>173</v>
      </c>
      <c r="D9" s="193" t="s">
        <v>173</v>
      </c>
      <c r="E9" s="193" t="s">
        <v>173</v>
      </c>
      <c r="F9" s="193" t="s">
        <v>173</v>
      </c>
      <c r="G9" s="193"/>
      <c r="H9" s="200">
        <v>45596</v>
      </c>
    </row>
    <row r="10" spans="1:8" x14ac:dyDescent="0.25">
      <c r="C10" s="202" t="s">
        <v>174</v>
      </c>
      <c r="D10" s="202" t="s">
        <v>174</v>
      </c>
      <c r="E10" s="202" t="s">
        <v>174</v>
      </c>
      <c r="F10" s="202"/>
      <c r="G10" s="202"/>
      <c r="H10" s="202"/>
    </row>
    <row r="11" spans="1:8" x14ac:dyDescent="0.25">
      <c r="A11" s="152" t="str">
        <f>+'Balances at 7-31-2024'!A9</f>
        <v>47WA.1823.47020430</v>
      </c>
      <c r="B11" s="152" t="str">
        <f>+'Balances at 7-31-2024'!C9</f>
        <v xml:space="preserve">Commercial Conservation Program </v>
      </c>
      <c r="C11" s="159">
        <f>+'Balances at 7-31-2024'!D9</f>
        <v>1159975.99</v>
      </c>
      <c r="D11" s="159">
        <f>+C11+'Int calc thru 10-31-2024'!C9+'Amort Calc thru 10-31-2024'!D14</f>
        <v>1168349.8600000001</v>
      </c>
      <c r="E11" s="159">
        <f>+D11+'Int calc thru 10-31-2024'!D9+'Amort Calc thru 10-31-2024'!E14</f>
        <v>1176511.9500000002</v>
      </c>
      <c r="F11" s="159">
        <f>+E11+'Int calc thru 10-31-2024'!E9+'Amort Calc thru 10-31-2024'!F14</f>
        <v>1185005.1900000002</v>
      </c>
      <c r="G11" s="206"/>
      <c r="H11" s="159">
        <f>+F11-C11</f>
        <v>25029.200000000186</v>
      </c>
    </row>
    <row r="12" spans="1:8" x14ac:dyDescent="0.25">
      <c r="A12" s="152" t="str">
        <f>+'Balances at 7-31-2024'!A10</f>
        <v>47WA.1823.47020431</v>
      </c>
      <c r="B12" s="152" t="str">
        <f>+'Balances at 7-31-2024'!C10</f>
        <v>Low Income Weatherization Program</v>
      </c>
      <c r="C12" s="159">
        <f>+'Balances at 7-31-2024'!D10</f>
        <v>1301711.5</v>
      </c>
      <c r="D12" s="159">
        <f>+C12+'Int calc thru 10-31-2024'!C10+'Amort Calc thru 10-31-2024'!D15</f>
        <v>1311108.56</v>
      </c>
      <c r="E12" s="159">
        <f>+D12+'Int calc thru 10-31-2024'!D10+'Amort Calc thru 10-31-2024'!E15</f>
        <v>1320267.96</v>
      </c>
      <c r="F12" s="159">
        <f>+E12+'Int calc thru 10-31-2024'!E10+'Amort Calc thru 10-31-2024'!F15</f>
        <v>1329798.97</v>
      </c>
      <c r="G12" s="206"/>
      <c r="H12" s="159">
        <f>+F12-C12</f>
        <v>28087.469999999972</v>
      </c>
    </row>
    <row r="13" spans="1:8" x14ac:dyDescent="0.25">
      <c r="A13" s="152" t="str">
        <f>+'Balances at 7-31-2024'!A11</f>
        <v>47WA.1823.47020444</v>
      </c>
      <c r="B13" s="152" t="str">
        <f>+'Balances at 7-31-2024'!C11</f>
        <v>Washington Conservation Administration &amp; Program Delivery Fees</v>
      </c>
      <c r="C13" s="159">
        <f>+'Balances at 7-31-2024'!D11</f>
        <v>2837015.77</v>
      </c>
      <c r="D13" s="159">
        <f>+C13+'Int calc thru 10-31-2024'!C11+'Amort Calc thru 10-31-2024'!D16</f>
        <v>2857496.19</v>
      </c>
      <c r="E13" s="159">
        <f>+D13+'Int calc thru 10-31-2024'!D11+'Amort Calc thru 10-31-2024'!E16</f>
        <v>2877458.66</v>
      </c>
      <c r="F13" s="159">
        <f>+E13+'Int calc thru 10-31-2024'!E11+'Amort Calc thru 10-31-2024'!F16</f>
        <v>2898231.0300000003</v>
      </c>
      <c r="G13" s="206"/>
      <c r="H13" s="159">
        <f>+F13-C13</f>
        <v>61215.260000000242</v>
      </c>
    </row>
    <row r="14" spans="1:8" x14ac:dyDescent="0.25">
      <c r="A14" s="152" t="str">
        <f>+'Balances at 7-31-2024'!A12</f>
        <v>47WA.1823.47020449</v>
      </c>
      <c r="B14" s="152" t="str">
        <f>+'Balances at 7-31-2024'!C12</f>
        <v xml:space="preserve">Washington Residential Conservation Program </v>
      </c>
      <c r="C14" s="159">
        <f>+'Balances at 7-31-2024'!D12</f>
        <v>9680932.1899999995</v>
      </c>
      <c r="D14" s="159">
        <f>+C14+'Int calc thru 10-31-2024'!C12+'Amort Calc thru 10-31-2024'!D17</f>
        <v>9750818.8399999999</v>
      </c>
      <c r="E14" s="159">
        <f>+D14+'Int calc thru 10-31-2024'!D12+'Amort Calc thru 10-31-2024'!E17</f>
        <v>9818938.0600000005</v>
      </c>
      <c r="F14" s="159">
        <f>+E14+'Int calc thru 10-31-2024'!E12+'Amort Calc thru 10-31-2024'!F17</f>
        <v>9889820.9700000007</v>
      </c>
      <c r="G14" s="206"/>
      <c r="H14" s="159">
        <f>+F14-C14</f>
        <v>208888.78000000119</v>
      </c>
    </row>
    <row r="15" spans="1:8" x14ac:dyDescent="0.25">
      <c r="A15" s="152" t="str">
        <f>+'Balances at 7-31-2024'!A13</f>
        <v>47WA.1823.47020478</v>
      </c>
      <c r="B15" s="152" t="str">
        <f>+'Balances at 7-31-2024'!C13</f>
        <v>Consolidated Technical Adjustments - Conservation</v>
      </c>
      <c r="C15" s="159">
        <f>+'Balances at 7-31-2024'!D13</f>
        <v>2317439.87</v>
      </c>
      <c r="D15" s="159">
        <f>+C15+'Int calc thru 10-31-2024'!C13+'Amort Calc thru 10-31-2024'!D18</f>
        <v>2052248.62</v>
      </c>
      <c r="E15" s="159">
        <f>+D15+'Int calc thru 10-31-2024'!D13+'Amort Calc thru 10-31-2024'!E18</f>
        <v>1712712.7300000002</v>
      </c>
      <c r="F15" s="159">
        <f>+E15+'Int calc thru 10-31-2024'!E13+'Amort Calc thru 10-31-2024'!F18</f>
        <v>788916.9500000003</v>
      </c>
      <c r="G15" s="207"/>
      <c r="H15" s="159">
        <f>+F15-C15</f>
        <v>-1528522.92</v>
      </c>
    </row>
    <row r="16" spans="1:8" ht="15.75" thickBot="1" x14ac:dyDescent="0.3">
      <c r="A16" s="193" t="s">
        <v>175</v>
      </c>
      <c r="C16" s="204">
        <f>SUM(C11:C15)</f>
        <v>17297075.32</v>
      </c>
      <c r="D16" s="204">
        <f t="shared" ref="D16" si="0">SUM(D11:D15)</f>
        <v>17140022.07</v>
      </c>
      <c r="E16" s="204">
        <f>SUM(E11:E15)</f>
        <v>16905889.359999999</v>
      </c>
      <c r="F16" s="204">
        <f>SUM(F11:F15)</f>
        <v>16091773.110000001</v>
      </c>
      <c r="G16" s="208"/>
      <c r="H16" s="204">
        <f>SUM(H11:H15)</f>
        <v>-1205302.2099999983</v>
      </c>
    </row>
    <row r="17" spans="3:8" ht="15.75" thickTop="1" x14ac:dyDescent="0.25"/>
    <row r="18" spans="3:8" x14ac:dyDescent="0.25">
      <c r="C18" s="209"/>
      <c r="D18" s="209"/>
      <c r="E18" s="209"/>
      <c r="F18" s="209"/>
      <c r="G18" s="209"/>
      <c r="H18" s="210"/>
    </row>
  </sheetData>
  <mergeCells count="3">
    <mergeCell ref="B1:F1"/>
    <mergeCell ref="B2:F2"/>
    <mergeCell ref="B3:F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0DE8-C738-41D3-918D-5D1B72ED065E}">
  <dimension ref="A1:T27"/>
  <sheetViews>
    <sheetView topLeftCell="C1" workbookViewId="0">
      <selection activeCell="T14" sqref="T14"/>
    </sheetView>
  </sheetViews>
  <sheetFormatPr defaultColWidth="9.33203125" defaultRowHeight="15" x14ac:dyDescent="0.25"/>
  <cols>
    <col min="1" max="1" width="23.83203125" style="152" customWidth="1"/>
    <col min="2" max="2" width="74.83203125" style="152" bestFit="1" customWidth="1"/>
    <col min="3" max="3" width="9.33203125" style="152" bestFit="1" customWidth="1"/>
    <col min="4" max="4" width="5.83203125" style="158" customWidth="1"/>
    <col min="5" max="5" width="16.1640625" style="152" bestFit="1" customWidth="1"/>
    <col min="6" max="6" width="16.6640625" style="152" bestFit="1" customWidth="1"/>
    <col min="7" max="7" width="22" style="152" customWidth="1"/>
    <col min="8" max="8" width="24" style="152" bestFit="1" customWidth="1"/>
    <col min="9" max="9" width="17.6640625" style="152" bestFit="1" customWidth="1"/>
    <col min="10" max="12" width="16" style="152" bestFit="1" customWidth="1"/>
    <col min="13" max="18" width="15.6640625" style="152" bestFit="1" customWidth="1"/>
    <col min="19" max="20" width="17.6640625" style="152" bestFit="1" customWidth="1"/>
    <col min="21" max="22" width="15.6640625" style="152" bestFit="1" customWidth="1"/>
    <col min="23" max="30" width="14.5" style="152" bestFit="1" customWidth="1"/>
    <col min="31" max="31" width="15.33203125" style="152" bestFit="1" customWidth="1"/>
    <col min="32" max="32" width="14.5" style="152" bestFit="1" customWidth="1"/>
    <col min="33" max="16384" width="9.33203125" style="152"/>
  </cols>
  <sheetData>
    <row r="1" spans="1:20" x14ac:dyDescent="0.25">
      <c r="G1" s="318" t="s">
        <v>9</v>
      </c>
      <c r="H1" s="318"/>
      <c r="I1" s="318"/>
      <c r="J1" s="318"/>
      <c r="K1" s="318"/>
    </row>
    <row r="2" spans="1:20" x14ac:dyDescent="0.25">
      <c r="G2" s="211" t="s">
        <v>176</v>
      </c>
      <c r="H2" s="211"/>
      <c r="I2" s="211"/>
      <c r="J2" s="211"/>
      <c r="K2" s="211"/>
      <c r="L2" s="211"/>
    </row>
    <row r="3" spans="1:20" x14ac:dyDescent="0.25">
      <c r="G3" s="318" t="s">
        <v>12</v>
      </c>
      <c r="H3" s="318"/>
      <c r="I3" s="318"/>
      <c r="J3" s="318"/>
      <c r="K3" s="318"/>
    </row>
    <row r="5" spans="1:20" x14ac:dyDescent="0.25">
      <c r="B5" s="167"/>
    </row>
    <row r="6" spans="1:20" x14ac:dyDescent="0.25">
      <c r="B6" s="167" t="s">
        <v>177</v>
      </c>
      <c r="G6" s="322" t="s">
        <v>178</v>
      </c>
      <c r="H6" s="322"/>
      <c r="I6" s="322"/>
    </row>
    <row r="7" spans="1:20" x14ac:dyDescent="0.25">
      <c r="F7" s="160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3"/>
    </row>
    <row r="8" spans="1:20" ht="15.75" thickBot="1" x14ac:dyDescent="0.3">
      <c r="A8" s="224"/>
      <c r="B8" s="224"/>
      <c r="C8" s="224"/>
      <c r="D8" s="225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</row>
    <row r="9" spans="1:20" ht="44.25" customHeight="1" thickBot="1" x14ac:dyDescent="0.3">
      <c r="B9" s="155" t="s">
        <v>185</v>
      </c>
      <c r="C9" s="212"/>
      <c r="D9" s="213"/>
      <c r="E9" s="226" t="s">
        <v>179</v>
      </c>
      <c r="F9" s="215" t="s">
        <v>180</v>
      </c>
      <c r="G9" s="214">
        <v>45597</v>
      </c>
      <c r="H9" s="214">
        <v>45627</v>
      </c>
      <c r="I9" s="214">
        <v>45658</v>
      </c>
      <c r="J9" s="214">
        <v>45689</v>
      </c>
      <c r="K9" s="214">
        <v>45717</v>
      </c>
      <c r="L9" s="214">
        <v>45748</v>
      </c>
      <c r="M9" s="214">
        <v>45778</v>
      </c>
      <c r="N9" s="214">
        <v>45809</v>
      </c>
      <c r="O9" s="214">
        <v>45839</v>
      </c>
      <c r="P9" s="214">
        <v>45870</v>
      </c>
      <c r="Q9" s="214">
        <v>45901</v>
      </c>
      <c r="R9" s="214">
        <v>45931</v>
      </c>
      <c r="S9" s="215" t="s">
        <v>181</v>
      </c>
      <c r="T9" s="216" t="s">
        <v>182</v>
      </c>
    </row>
    <row r="10" spans="1:20" x14ac:dyDescent="0.25">
      <c r="A10" s="152" t="str">
        <f>+'Balances at 7-31-2024'!A9</f>
        <v>47WA.1823.47020430</v>
      </c>
      <c r="B10" s="152" t="str">
        <f>+'Balances at 7-31-2024'!C9</f>
        <v xml:space="preserve">Commercial Conservation Program </v>
      </c>
      <c r="C10" s="152" t="s">
        <v>40</v>
      </c>
      <c r="D10" s="158">
        <v>7</v>
      </c>
      <c r="E10" s="67">
        <v>-4.2894435565978698E-3</v>
      </c>
      <c r="F10" s="159">
        <f>+EstimatedBalances!F11</f>
        <v>1185005.1900000002</v>
      </c>
      <c r="G10" s="159">
        <f>+$E10*'Test Period Volumes'!I22</f>
        <v>-134841.66081214364</v>
      </c>
      <c r="H10" s="159">
        <f>+$E10*'Test Period Volumes'!I23</f>
        <v>-210292.19658341643</v>
      </c>
      <c r="I10" s="159">
        <f>+$E10*'Test Period Volumes'!I24</f>
        <v>-185915.20735184316</v>
      </c>
      <c r="J10" s="159">
        <f>+$E10*'Test Period Volumes'!$I25</f>
        <v>-167059.24242139459</v>
      </c>
      <c r="K10" s="159">
        <f>+$E10*'Test Period Volumes'!$I26</f>
        <v>-133226.25636872891</v>
      </c>
      <c r="L10" s="159">
        <f>+$E10*'Test Period Volumes'!$I27</f>
        <v>-78875.574951788614</v>
      </c>
      <c r="M10" s="159">
        <f>+$E10*'Test Period Volumes'!$I28</f>
        <v>-51015.639051685444</v>
      </c>
      <c r="N10" s="159">
        <f>+$E10*'Test Period Volumes'!$I29</f>
        <v>-36012.023379417413</v>
      </c>
      <c r="O10" s="159">
        <f>+$E10*'Test Period Volumes'!$I30</f>
        <v>-33624.948040170704</v>
      </c>
      <c r="P10" s="159">
        <f>+$E10*'Test Period Volumes'!$I31</f>
        <v>-27995.482316491656</v>
      </c>
      <c r="Q10" s="159">
        <f>+$E10*'Test Period Volumes'!$I32</f>
        <v>-35139.121615649747</v>
      </c>
      <c r="R10" s="159">
        <f>+$E10*'Test Period Volumes'!$I33</f>
        <v>-91007.837107270025</v>
      </c>
      <c r="S10" s="159">
        <f>SUM(G10:R10)</f>
        <v>-1185005.1900000002</v>
      </c>
      <c r="T10" s="78">
        <f>+S10+F10</f>
        <v>0</v>
      </c>
    </row>
    <row r="11" spans="1:20" s="167" customFormat="1" x14ac:dyDescent="0.25">
      <c r="A11" s="152" t="str">
        <f>+'Balances at 7-31-2024'!A10</f>
        <v>47WA.1823.47020431</v>
      </c>
      <c r="B11" s="152" t="str">
        <f>+'Balances at 7-31-2024'!C10</f>
        <v>Low Income Weatherization Program</v>
      </c>
      <c r="C11" s="152" t="s">
        <v>40</v>
      </c>
      <c r="D11" s="158">
        <v>7</v>
      </c>
      <c r="E11" s="67">
        <v>-4.8135634101627734E-3</v>
      </c>
      <c r="F11" s="159">
        <f>+EstimatedBalances!F12</f>
        <v>1329798.97</v>
      </c>
      <c r="G11" s="159">
        <f>+$E11*'Test Period Volumes'!I22</f>
        <v>-151317.7352928539</v>
      </c>
      <c r="H11" s="159">
        <f>+$E11*'Test Period Volumes'!I23</f>
        <v>-235987.44442263985</v>
      </c>
      <c r="I11" s="159">
        <f>+$E11*'Test Period Volumes'!I24</f>
        <v>-208631.87210497999</v>
      </c>
      <c r="J11" s="159">
        <f>+$E11*'Test Period Volumes'!$I25</f>
        <v>-187471.92871024547</v>
      </c>
      <c r="K11" s="159">
        <f>+$E11*'Test Period Volumes'!$I26</f>
        <v>-149504.94731258659</v>
      </c>
      <c r="L11" s="159">
        <f>+$E11*'Test Period Volumes'!$I27</f>
        <v>-88513.248055096119</v>
      </c>
      <c r="M11" s="159">
        <f>+$E11*'Test Period Volumes'!$I28</f>
        <v>-57249.15370608891</v>
      </c>
      <c r="N11" s="159">
        <f>+$E11*'Test Period Volumes'!$I29</f>
        <v>-40412.271610021562</v>
      </c>
      <c r="O11" s="159">
        <f>+$E11*'Test Period Volumes'!$I30</f>
        <v>-37733.523572265978</v>
      </c>
      <c r="P11" s="159">
        <f>+$E11*'Test Period Volumes'!$I31</f>
        <v>-31416.202952768355</v>
      </c>
      <c r="Q11" s="159">
        <f>+$E11*'Test Period Volumes'!$I32</f>
        <v>-39432.711456053439</v>
      </c>
      <c r="R11" s="159">
        <f>+$E11*'Test Period Volumes'!$I33</f>
        <v>-102127.93080440052</v>
      </c>
      <c r="S11" s="159">
        <f>SUM(G11:R11)</f>
        <v>-1329798.9700000007</v>
      </c>
      <c r="T11" s="78">
        <f>+S11+F11</f>
        <v>0</v>
      </c>
    </row>
    <row r="12" spans="1:20" x14ac:dyDescent="0.25">
      <c r="A12" s="152" t="str">
        <f>+'Balances at 7-31-2024'!A11</f>
        <v>47WA.1823.47020444</v>
      </c>
      <c r="B12" s="152" t="str">
        <f>+'Balances at 7-31-2024'!C11</f>
        <v>Washington Conservation Administration &amp; Program Delivery Fees</v>
      </c>
      <c r="C12" s="152" t="s">
        <v>40</v>
      </c>
      <c r="D12" s="158">
        <v>7</v>
      </c>
      <c r="E12" s="67">
        <v>-1.0490923180822108E-2</v>
      </c>
      <c r="F12" s="159">
        <f>+EstimatedBalances!F13</f>
        <v>2898231.0300000003</v>
      </c>
      <c r="G12" s="159">
        <f>+$E12*'Test Period Volumes'!I22</f>
        <v>-329789.51383536955</v>
      </c>
      <c r="H12" s="159">
        <f>+$E12*'Test Period Volumes'!I23</f>
        <v>-514322.95372893469</v>
      </c>
      <c r="I12" s="159">
        <f>+$E12*'Test Period Volumes'!I24</f>
        <v>-454702.8379647822</v>
      </c>
      <c r="J12" s="159">
        <f>+$E12*'Test Period Volumes'!$I25</f>
        <v>-408585.78875420633</v>
      </c>
      <c r="K12" s="159">
        <f>+$E12*'Test Period Volumes'!$I26</f>
        <v>-325838.63216547196</v>
      </c>
      <c r="L12" s="159">
        <f>+$E12*'Test Period Volumes'!$I27</f>
        <v>-192910.24272591117</v>
      </c>
      <c r="M12" s="159">
        <f>+$E12*'Test Period Volumes'!$I28</f>
        <v>-124771.69666647157</v>
      </c>
      <c r="N12" s="159">
        <f>+$E12*'Test Period Volumes'!$I29</f>
        <v>-88076.545564592016</v>
      </c>
      <c r="O12" s="159">
        <f>+$E12*'Test Period Volumes'!$I30</f>
        <v>-82238.346814464501</v>
      </c>
      <c r="P12" s="159">
        <f>+$E12*'Test Period Volumes'!$I31</f>
        <v>-68470.059231953564</v>
      </c>
      <c r="Q12" s="159">
        <f>+$E12*'Test Period Volumes'!$I32</f>
        <v>-85941.642697294708</v>
      </c>
      <c r="R12" s="159">
        <f>+$E12*'Test Period Volumes'!$I33</f>
        <v>-222582.76985054841</v>
      </c>
      <c r="S12" s="159">
        <f>SUM(G12:R12)</f>
        <v>-2898231.0300000007</v>
      </c>
      <c r="T12" s="78">
        <f>+S12+F12</f>
        <v>0</v>
      </c>
    </row>
    <row r="13" spans="1:20" x14ac:dyDescent="0.25">
      <c r="A13" s="152" t="str">
        <f>+'Balances at 7-31-2024'!A12</f>
        <v>47WA.1823.47020449</v>
      </c>
      <c r="B13" s="152" t="str">
        <f>+'Balances at 7-31-2024'!C12</f>
        <v xml:space="preserve">Washington Residential Conservation Program </v>
      </c>
      <c r="C13" s="152" t="s">
        <v>40</v>
      </c>
      <c r="D13" s="158">
        <v>7</v>
      </c>
      <c r="E13" s="67">
        <v>-3.5798854885752025E-2</v>
      </c>
      <c r="F13" s="159">
        <f>+EstimatedBalances!F14</f>
        <v>9889820.9700000007</v>
      </c>
      <c r="G13" s="159">
        <f>+$E13*'Test Period Volumes'!I22</f>
        <v>-1125362.0625320349</v>
      </c>
      <c r="H13" s="159">
        <f>+$E13*'Test Period Volumes'!I23</f>
        <v>-1755057.4403796787</v>
      </c>
      <c r="I13" s="159">
        <f>+$E13*'Test Period Volumes'!I24</f>
        <v>-1551611.8678857072</v>
      </c>
      <c r="J13" s="159">
        <f>+$E13*'Test Period Volumes'!$I25</f>
        <v>-1394243.6816934298</v>
      </c>
      <c r="K13" s="159">
        <f>+$E13*'Test Period Volumes'!$I26</f>
        <v>-1111880.2137820607</v>
      </c>
      <c r="L13" s="159">
        <f>+$E13*'Test Period Volumes'!$I27</f>
        <v>-658280.08329567395</v>
      </c>
      <c r="M13" s="159">
        <f>+$E13*'Test Period Volumes'!$I28</f>
        <v>-425766.52081271459</v>
      </c>
      <c r="N13" s="159">
        <f>+$E13*'Test Period Volumes'!$I29</f>
        <v>-300549.28619333112</v>
      </c>
      <c r="O13" s="159">
        <f>+$E13*'Test Period Volumes'!$I30</f>
        <v>-280627.22344941011</v>
      </c>
      <c r="P13" s="159">
        <f>+$E13*'Test Period Volumes'!$I31</f>
        <v>-233644.80629734916</v>
      </c>
      <c r="Q13" s="159">
        <f>+$E13*'Test Period Volumes'!$I32</f>
        <v>-293264.21922408062</v>
      </c>
      <c r="R13" s="159">
        <f>+$E13*'Test Period Volumes'!$I33</f>
        <v>-759533.56445453502</v>
      </c>
      <c r="S13" s="159">
        <f>SUM(G13:R13)</f>
        <v>-9889820.9700000063</v>
      </c>
      <c r="T13" s="78">
        <f>+S13+F13</f>
        <v>0</v>
      </c>
    </row>
    <row r="14" spans="1:20" x14ac:dyDescent="0.25">
      <c r="A14" s="152" t="str">
        <f>+'Balances at 7-31-2024'!A13</f>
        <v>47WA.1823.47020478</v>
      </c>
      <c r="B14" s="152" t="str">
        <f>+'Balances at 7-31-2024'!C13</f>
        <v>Consolidated Technical Adjustments - Conservation</v>
      </c>
      <c r="C14" s="152" t="s">
        <v>40</v>
      </c>
      <c r="D14" s="158">
        <v>7</v>
      </c>
      <c r="E14" s="67">
        <v>-2.8556961238864636E-3</v>
      </c>
      <c r="F14" s="159">
        <f>+EstimatedBalances!F15</f>
        <v>788916.9500000003</v>
      </c>
      <c r="G14" s="159">
        <f>+$E14*'Test Period Volumes'!I22</f>
        <v>-89770.806641657706</v>
      </c>
      <c r="H14" s="159">
        <f>+$E14*'Test Period Volumes'!I23</f>
        <v>-140001.98457982216</v>
      </c>
      <c r="I14" s="159">
        <f>+$E14*'Test Period Volumes'!I24</f>
        <v>-123773.00924954905</v>
      </c>
      <c r="J14" s="159">
        <f>+$E14*'Test Period Volumes'!$I25</f>
        <v>-111219.65465855654</v>
      </c>
      <c r="K14" s="159">
        <f>+$E14*'Test Period Volumes'!$I26</f>
        <v>-88695.35148140206</v>
      </c>
      <c r="L14" s="159">
        <f>+$E14*'Test Period Volumes'!$I27</f>
        <v>-52511.39703486146</v>
      </c>
      <c r="M14" s="159">
        <f>+$E14*'Test Period Volumes'!$I28</f>
        <v>-33963.650710218877</v>
      </c>
      <c r="N14" s="159">
        <f>+$E14*'Test Period Volumes'!$I29</f>
        <v>-23974.996808088807</v>
      </c>
      <c r="O14" s="159">
        <f>+$E14*'Test Period Volumes'!$I30</f>
        <v>-22385.801915145988</v>
      </c>
      <c r="P14" s="159">
        <f>+$E14*'Test Period Volumes'!$I31</f>
        <v>-18637.986322157394</v>
      </c>
      <c r="Q14" s="159">
        <f>+$E14*'Test Period Volumes'!$I32</f>
        <v>-23393.862646877911</v>
      </c>
      <c r="R14" s="159">
        <f>+$E14*'Test Period Volumes'!$I33</f>
        <v>-60588.447951661932</v>
      </c>
      <c r="S14" s="159">
        <f>SUM(G14:R14)</f>
        <v>-788916.95</v>
      </c>
      <c r="T14" s="78">
        <f>+S14+F14</f>
        <v>0</v>
      </c>
    </row>
    <row r="15" spans="1:20" x14ac:dyDescent="0.25">
      <c r="D15" s="152"/>
      <c r="F15" s="159"/>
      <c r="G15" s="159">
        <f>+SUM(G10:G14)+F16</f>
        <v>14260691.330885941</v>
      </c>
      <c r="H15" s="159">
        <f>+SUM(H10:H14)+G15</f>
        <v>11405029.311191449</v>
      </c>
      <c r="I15" s="159">
        <f t="shared" ref="I15:R15" si="0">+SUM(I10:I14)+H15</f>
        <v>8880394.5166345872</v>
      </c>
      <c r="J15" s="159">
        <f t="shared" si="0"/>
        <v>6611814.2203967553</v>
      </c>
      <c r="K15" s="159">
        <f t="shared" si="0"/>
        <v>4802668.8192865048</v>
      </c>
      <c r="L15" s="159">
        <f t="shared" si="0"/>
        <v>3731578.2732231738</v>
      </c>
      <c r="M15" s="159">
        <f t="shared" si="0"/>
        <v>3038811.6122759944</v>
      </c>
      <c r="N15" s="159">
        <f t="shared" si="0"/>
        <v>2549786.4887205437</v>
      </c>
      <c r="O15" s="159">
        <f t="shared" si="0"/>
        <v>2093176.6449290863</v>
      </c>
      <c r="P15" s="159">
        <f t="shared" si="0"/>
        <v>1713012.1078083662</v>
      </c>
      <c r="Q15" s="159">
        <f t="shared" si="0"/>
        <v>1235840.5501684099</v>
      </c>
      <c r="R15" s="159">
        <f t="shared" si="0"/>
        <v>-6.0535967350006104E-9</v>
      </c>
      <c r="S15" s="159"/>
      <c r="T15" s="78"/>
    </row>
    <row r="16" spans="1:20" x14ac:dyDescent="0.25">
      <c r="A16" s="176" t="e">
        <f>+#REF!</f>
        <v>#REF!</v>
      </c>
      <c r="B16" s="167" t="s">
        <v>150</v>
      </c>
      <c r="D16" s="152"/>
      <c r="E16" s="217">
        <f t="shared" ref="E16:T16" si="1">SUM(E10:E14)</f>
        <v>-5.8248481157221241E-2</v>
      </c>
      <c r="F16" s="218">
        <f t="shared" si="1"/>
        <v>16091773.110000001</v>
      </c>
      <c r="G16" s="218">
        <f t="shared" si="1"/>
        <v>-1831081.7791140596</v>
      </c>
      <c r="H16" s="218">
        <f t="shared" si="1"/>
        <v>-2855662.0196944918</v>
      </c>
      <c r="I16" s="218">
        <f t="shared" si="1"/>
        <v>-2524634.7945568613</v>
      </c>
      <c r="J16" s="218">
        <f t="shared" si="1"/>
        <v>-2268580.2962378324</v>
      </c>
      <c r="K16" s="218">
        <f t="shared" si="1"/>
        <v>-1809145.4011102503</v>
      </c>
      <c r="L16" s="218">
        <f t="shared" si="1"/>
        <v>-1071090.5460633312</v>
      </c>
      <c r="M16" s="218">
        <f t="shared" si="1"/>
        <v>-692766.66094717942</v>
      </c>
      <c r="N16" s="218">
        <f t="shared" si="1"/>
        <v>-489025.12355545087</v>
      </c>
      <c r="O16" s="218">
        <f t="shared" si="1"/>
        <v>-456609.8437914573</v>
      </c>
      <c r="P16" s="218">
        <f t="shared" si="1"/>
        <v>-380164.53712072008</v>
      </c>
      <c r="Q16" s="218">
        <f t="shared" si="1"/>
        <v>-477171.55763995636</v>
      </c>
      <c r="R16" s="218">
        <f t="shared" si="1"/>
        <v>-1235840.550168416</v>
      </c>
      <c r="S16" s="218">
        <f t="shared" si="1"/>
        <v>-16091773.110000007</v>
      </c>
      <c r="T16" s="78">
        <f t="shared" si="1"/>
        <v>0</v>
      </c>
    </row>
    <row r="17" spans="1:19" x14ac:dyDescent="0.25">
      <c r="D17" s="152"/>
    </row>
    <row r="18" spans="1:19" x14ac:dyDescent="0.25">
      <c r="A18" s="167" t="s">
        <v>183</v>
      </c>
      <c r="D18" s="152"/>
    </row>
    <row r="19" spans="1:19" x14ac:dyDescent="0.25">
      <c r="A19" s="219" t="s">
        <v>184</v>
      </c>
      <c r="B19" s="227"/>
      <c r="C19" s="220">
        <f>+'Int calc thru 10-31-2024'!C7</f>
        <v>8.5000000000000006E-2</v>
      </c>
      <c r="D19" s="152"/>
      <c r="G19" s="221">
        <f>$C19*DAY(DATE(YEAR(G9),MONTH(G9)+1,DAY(1))-1)/365</f>
        <v>6.9863013698630147E-3</v>
      </c>
      <c r="H19" s="221">
        <f t="shared" ref="H19:R19" si="2">$C19*DAY(DATE(YEAR(H9),MONTH(H9)+1,DAY(1))-1)/365</f>
        <v>7.2191780821917817E-3</v>
      </c>
      <c r="I19" s="221">
        <f t="shared" si="2"/>
        <v>7.2191780821917817E-3</v>
      </c>
      <c r="J19" s="221">
        <f t="shared" si="2"/>
        <v>6.5205479452054805E-3</v>
      </c>
      <c r="K19" s="221">
        <f t="shared" si="2"/>
        <v>7.2191780821917817E-3</v>
      </c>
      <c r="L19" s="221">
        <f t="shared" si="2"/>
        <v>6.9863013698630147E-3</v>
      </c>
      <c r="M19" s="221">
        <f t="shared" si="2"/>
        <v>7.2191780821917817E-3</v>
      </c>
      <c r="N19" s="221">
        <f t="shared" si="2"/>
        <v>6.9863013698630147E-3</v>
      </c>
      <c r="O19" s="221">
        <f t="shared" si="2"/>
        <v>7.2191780821917817E-3</v>
      </c>
      <c r="P19" s="221">
        <f t="shared" si="2"/>
        <v>7.2191780821917817E-3</v>
      </c>
      <c r="Q19" s="221">
        <f t="shared" si="2"/>
        <v>6.9863013698630147E-3</v>
      </c>
      <c r="R19" s="221">
        <f t="shared" si="2"/>
        <v>7.2191780821917817E-3</v>
      </c>
      <c r="S19" s="169" t="s">
        <v>153</v>
      </c>
    </row>
    <row r="20" spans="1:19" x14ac:dyDescent="0.25">
      <c r="A20" s="152" t="str">
        <f t="shared" ref="A20:B24" si="3">+A10</f>
        <v>47WA.1823.47020430</v>
      </c>
      <c r="B20" s="152" t="str">
        <f t="shared" si="3"/>
        <v xml:space="preserve">Commercial Conservation Program </v>
      </c>
      <c r="C20" s="152">
        <v>7</v>
      </c>
      <c r="D20" s="152"/>
      <c r="G20" s="159">
        <f>+G$19*(SUM(F10:$F10))</f>
        <v>8278.8033821917834</v>
      </c>
      <c r="H20" s="159">
        <f>+H$19*(SUM($F10:G10))</f>
        <v>7581.3175326301425</v>
      </c>
      <c r="I20" s="159">
        <f>+I$19*(SUM($F10:H10))</f>
        <v>6063.1807161991774</v>
      </c>
      <c r="J20" s="159">
        <f>+J$19*(SUM($F10:I10))</f>
        <v>4264.1522687703591</v>
      </c>
      <c r="K20" s="159">
        <f>+K$19*(SUM($F10:J10))</f>
        <v>3514.9953048225161</v>
      </c>
      <c r="L20" s="159">
        <f>+L$19*(SUM($F10:K10))</f>
        <v>2470.8495821350884</v>
      </c>
      <c r="M20" s="159">
        <f>+M$19*(SUM($F10:L10))</f>
        <v>1983.7944129606972</v>
      </c>
      <c r="N20" s="159">
        <f>+N$19*(SUM($F10:M10))</f>
        <v>1563.3904158094474</v>
      </c>
      <c r="O20" s="159">
        <f>+O$19*(SUM($F10:N10))</f>
        <v>1355.5262197936941</v>
      </c>
      <c r="P20" s="159">
        <f>+P$19*(SUM($F10:O10))</f>
        <v>1112.7817318872562</v>
      </c>
      <c r="Q20" s="159">
        <f>+Q$19*(SUM($F10:P10))</f>
        <v>881.30067052998584</v>
      </c>
      <c r="R20" s="159">
        <f>+R$19*(SUM($F10:Q10))</f>
        <v>657.00178295248179</v>
      </c>
      <c r="S20" s="159">
        <f>SUM(G20:R20)</f>
        <v>39727.094020682627</v>
      </c>
    </row>
    <row r="21" spans="1:19" x14ac:dyDescent="0.25">
      <c r="A21" s="152" t="str">
        <f t="shared" si="3"/>
        <v>47WA.1823.47020431</v>
      </c>
      <c r="B21" s="152" t="str">
        <f t="shared" si="3"/>
        <v>Low Income Weatherization Program</v>
      </c>
      <c r="C21" s="152">
        <v>7</v>
      </c>
      <c r="D21" s="152"/>
      <c r="G21" s="159">
        <f>+G$19*(SUM(F11:$F11))</f>
        <v>9290.3763657534255</v>
      </c>
      <c r="H21" s="159">
        <f>+H$19*(SUM($F11:G11))</f>
        <v>8507.6658998721377</v>
      </c>
      <c r="I21" s="159">
        <f>+I$19*(SUM($F11:H11))</f>
        <v>6804.0305134237633</v>
      </c>
      <c r="J21" s="159">
        <f>+J$19*(SUM($F11:I11))</f>
        <v>4785.1818226500609</v>
      </c>
      <c r="K21" s="159">
        <f>+K$19*(SUM($F11:J11))</f>
        <v>3944.4866363056281</v>
      </c>
      <c r="L21" s="159">
        <f>+L$19*(SUM($F11:K11))</f>
        <v>2772.7585136974508</v>
      </c>
      <c r="M21" s="159">
        <f>+M$19*(SUM($F11:L11))</f>
        <v>2226.1908971444113</v>
      </c>
      <c r="N21" s="159">
        <f>+N$19*(SUM($F11:M11))</f>
        <v>1754.4184465987607</v>
      </c>
      <c r="O21" s="159">
        <f>+O$19*(SUM($F11:N11))</f>
        <v>1521.1556760267372</v>
      </c>
      <c r="P21" s="159">
        <f>+P$19*(SUM($F11:O11))</f>
        <v>1248.7506496899675</v>
      </c>
      <c r="Q21" s="159">
        <f>+Q$19*(SUM($F11:P11))</f>
        <v>988.98530894289047</v>
      </c>
      <c r="R21" s="159">
        <f>+R$19*(SUM($F11:Q11))</f>
        <v>737.27971964271978</v>
      </c>
      <c r="S21" s="159">
        <f>SUM(G21:R21)</f>
        <v>44581.280449747952</v>
      </c>
    </row>
    <row r="22" spans="1:19" x14ac:dyDescent="0.25">
      <c r="A22" s="152" t="str">
        <f t="shared" si="3"/>
        <v>47WA.1823.47020444</v>
      </c>
      <c r="B22" s="152" t="str">
        <f t="shared" si="3"/>
        <v>Washington Conservation Administration &amp; Program Delivery Fees</v>
      </c>
      <c r="C22" s="152">
        <v>7</v>
      </c>
      <c r="D22" s="152"/>
      <c r="G22" s="159">
        <f>+G$19*(SUM(F12:$F12))</f>
        <v>20247.915415068499</v>
      </c>
      <c r="H22" s="159">
        <f>+H$19*(SUM($F12:G12))</f>
        <v>18542.036698887132</v>
      </c>
      <c r="I22" s="159">
        <f>+I$19*(SUM($F12:H12))</f>
        <v>14829.047704159068</v>
      </c>
      <c r="J22" s="159">
        <f>+J$19*(SUM($F12:I12))</f>
        <v>10429.066915728152</v>
      </c>
      <c r="K22" s="159">
        <f>+K$19*(SUM($F12:J12))</f>
        <v>8596.8133715439017</v>
      </c>
      <c r="L22" s="159">
        <f>+L$19*(SUM($F12:K12))</f>
        <v>6043.0899289195895</v>
      </c>
      <c r="M22" s="159">
        <f>+M$19*(SUM($F12:L12))</f>
        <v>4851.8728637663808</v>
      </c>
      <c r="N22" s="159">
        <f>+N$19*(SUM($F12:M12))</f>
        <v>3823.6681605618469</v>
      </c>
      <c r="O22" s="159">
        <f>+O$19*(SUM($F12:N12))</f>
        <v>3315.28349861884</v>
      </c>
      <c r="P22" s="159">
        <f>+P$19*(SUM($F12:O12))</f>
        <v>2721.5902277801715</v>
      </c>
      <c r="Q22" s="159">
        <f>+Q$19*(SUM($F12:P12))</f>
        <v>2155.4445260191733</v>
      </c>
      <c r="R22" s="159">
        <f>+R$19*(SUM($F12:Q12))</f>
        <v>1606.8646535786118</v>
      </c>
      <c r="S22" s="159">
        <f>SUM(G22:R22)</f>
        <v>97162.693964631369</v>
      </c>
    </row>
    <row r="23" spans="1:19" x14ac:dyDescent="0.25">
      <c r="A23" s="152" t="str">
        <f t="shared" si="3"/>
        <v>47WA.1823.47020449</v>
      </c>
      <c r="B23" s="152" t="str">
        <f t="shared" si="3"/>
        <v xml:space="preserve">Washington Residential Conservation Program </v>
      </c>
      <c r="C23" s="152">
        <v>7</v>
      </c>
      <c r="D23" s="152"/>
      <c r="G23" s="159">
        <f>+G$19*(SUM(F13:$F13))</f>
        <v>69093.269790410966</v>
      </c>
      <c r="H23" s="159">
        <f>+H$19*(SUM($F13:G13))</f>
        <v>63272.189647063264</v>
      </c>
      <c r="I23" s="159">
        <f>+I$19*(SUM($F13:H13))</f>
        <v>50602.117440486676</v>
      </c>
      <c r="J23" s="159">
        <f>+J$19*(SUM($F13:I13))</f>
        <v>35587.778756444219</v>
      </c>
      <c r="K23" s="159">
        <f>+K$19*(SUM($F13:J13))</f>
        <v>29335.46162366194</v>
      </c>
      <c r="L23" s="159">
        <f>+L$19*(SUM($F13:K13))</f>
        <v>20621.226149326234</v>
      </c>
      <c r="M23" s="159">
        <f>+M$19*(SUM($F13:L13))</f>
        <v>16556.359205032262</v>
      </c>
      <c r="N23" s="159">
        <f>+N$19*(SUM($F13:M13))</f>
        <v>13047.74987404845</v>
      </c>
      <c r="O23" s="159">
        <f>+O$19*(SUM($F13:N13))</f>
        <v>11312.956050344783</v>
      </c>
      <c r="P23" s="159">
        <f>+P$19*(SUM($F13:O13))</f>
        <v>9287.0581495524657</v>
      </c>
      <c r="Q23" s="159">
        <f>+Q$19*(SUM($F13:P13))</f>
        <v>7355.1625983026115</v>
      </c>
      <c r="R23" s="159">
        <f>+R$19*(SUM($F13:Q13))</f>
        <v>5483.2080611991296</v>
      </c>
      <c r="S23" s="159">
        <f>SUM(G23:R23)</f>
        <v>331554.53734587302</v>
      </c>
    </row>
    <row r="24" spans="1:19" x14ac:dyDescent="0.25">
      <c r="A24" s="152" t="str">
        <f t="shared" si="3"/>
        <v>47WA.1823.47020478</v>
      </c>
      <c r="B24" s="152" t="str">
        <f t="shared" si="3"/>
        <v>Consolidated Technical Adjustments - Conservation</v>
      </c>
      <c r="C24" s="152">
        <v>7</v>
      </c>
      <c r="D24" s="152"/>
      <c r="G24" s="159">
        <f>+G$19*(SUM(F14:$F14))</f>
        <v>5511.6115684931538</v>
      </c>
      <c r="H24" s="159">
        <f>+H$19*(SUM($F14:G14))</f>
        <v>5047.2605143814599</v>
      </c>
      <c r="I24" s="159">
        <f>+I$19*(SUM($F14:H14))</f>
        <v>4036.561255839456</v>
      </c>
      <c r="J24" s="159">
        <f>+J$19*(SUM($F14:I14))</f>
        <v>2838.858454462882</v>
      </c>
      <c r="K24" s="159">
        <f>+K$19*(SUM($F14:J14))</f>
        <v>2340.1073670782007</v>
      </c>
      <c r="L24" s="159">
        <f>+L$19*(SUM($F14:K14))</f>
        <v>1644.9675771013224</v>
      </c>
      <c r="M24" s="159">
        <f>+M$19*(SUM($F14:L14))</f>
        <v>1320.710703132024</v>
      </c>
      <c r="N24" s="159">
        <f>+N$19*(SUM($F14:M14))</f>
        <v>1040.8268325808981</v>
      </c>
      <c r="O24" s="159">
        <f>+O$19*(SUM($F14:N14))</f>
        <v>902.44128885602197</v>
      </c>
      <c r="P24" s="159">
        <f>+P$19*(SUM($F14:O14))</f>
        <v>740.83419831791321</v>
      </c>
      <c r="Q24" s="159">
        <f>+Q$19*(SUM($F14:P14))</f>
        <v>586.7257315788429</v>
      </c>
      <c r="R24" s="159">
        <f>+R$19*(SUM($F14:Q14))</f>
        <v>437.39879548665829</v>
      </c>
      <c r="S24" s="159">
        <f>SUM(G24:R24)</f>
        <v>26448.304287308831</v>
      </c>
    </row>
    <row r="25" spans="1:19" x14ac:dyDescent="0.25">
      <c r="D25" s="152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</row>
    <row r="26" spans="1:19" s="167" customFormat="1" x14ac:dyDescent="0.25">
      <c r="A26" s="167" t="e">
        <f>+A16</f>
        <v>#REF!</v>
      </c>
      <c r="B26" s="167" t="s">
        <v>150</v>
      </c>
      <c r="G26" s="218">
        <f t="shared" ref="G26:S26" si="4">SUM(G20:G24)</f>
        <v>112421.97652191782</v>
      </c>
      <c r="H26" s="218">
        <f t="shared" si="4"/>
        <v>102950.47029283413</v>
      </c>
      <c r="I26" s="218">
        <f t="shared" si="4"/>
        <v>82334.937630108136</v>
      </c>
      <c r="J26" s="218">
        <f t="shared" si="4"/>
        <v>57905.038218055677</v>
      </c>
      <c r="K26" s="218">
        <f t="shared" si="4"/>
        <v>47731.864303412185</v>
      </c>
      <c r="L26" s="218">
        <f t="shared" si="4"/>
        <v>33552.891751179683</v>
      </c>
      <c r="M26" s="218">
        <f t="shared" si="4"/>
        <v>26938.928082035774</v>
      </c>
      <c r="N26" s="218">
        <f t="shared" si="4"/>
        <v>21230.0537295994</v>
      </c>
      <c r="O26" s="218">
        <f t="shared" si="4"/>
        <v>18407.362733640075</v>
      </c>
      <c r="P26" s="218">
        <f t="shared" si="4"/>
        <v>15111.014957227773</v>
      </c>
      <c r="Q26" s="218">
        <f t="shared" si="4"/>
        <v>11967.618835373503</v>
      </c>
      <c r="R26" s="218">
        <f t="shared" si="4"/>
        <v>8921.7530128596027</v>
      </c>
      <c r="S26" s="218">
        <f t="shared" si="4"/>
        <v>539473.91006824386</v>
      </c>
    </row>
    <row r="27" spans="1:19" x14ac:dyDescent="0.25">
      <c r="G27" s="223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182"/>
    </row>
  </sheetData>
  <mergeCells count="3">
    <mergeCell ref="G1:K1"/>
    <mergeCell ref="G3:K3"/>
    <mergeCell ref="G6:I6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C4FA-D56C-4425-9031-B27D27804C4D}">
  <sheetPr>
    <pageSetUpPr fitToPage="1"/>
  </sheetPr>
  <dimension ref="A1:K37"/>
  <sheetViews>
    <sheetView topLeftCell="A7" workbookViewId="0">
      <selection activeCell="I19" sqref="I19:I33"/>
    </sheetView>
  </sheetViews>
  <sheetFormatPr defaultColWidth="9.33203125" defaultRowHeight="15" x14ac:dyDescent="0.25"/>
  <cols>
    <col min="1" max="1" width="12.5" style="152" bestFit="1" customWidth="1"/>
    <col min="2" max="2" width="9.33203125" style="152"/>
    <col min="3" max="3" width="18.5" style="152" bestFit="1" customWidth="1"/>
    <col min="4" max="4" width="17" style="152" customWidth="1"/>
    <col min="5" max="5" width="19" style="152" customWidth="1"/>
    <col min="6" max="6" width="14.6640625" style="152" customWidth="1"/>
    <col min="7" max="7" width="12.33203125" style="152" bestFit="1" customWidth="1"/>
    <col min="8" max="8" width="17.1640625" style="152" customWidth="1"/>
    <col min="9" max="9" width="16.6640625" style="152" customWidth="1"/>
    <col min="10" max="11" width="16.6640625" style="152" bestFit="1" customWidth="1"/>
    <col min="12" max="16384" width="9.33203125" style="152"/>
  </cols>
  <sheetData>
    <row r="1" spans="1:11" x14ac:dyDescent="0.25">
      <c r="B1" s="318" t="s">
        <v>9</v>
      </c>
      <c r="C1" s="318"/>
      <c r="D1" s="318"/>
      <c r="E1" s="318"/>
      <c r="F1" s="318"/>
      <c r="G1" s="318"/>
      <c r="H1" s="318"/>
      <c r="I1" s="318"/>
    </row>
    <row r="2" spans="1:11" x14ac:dyDescent="0.25">
      <c r="B2" s="323" t="s">
        <v>186</v>
      </c>
      <c r="C2" s="323"/>
      <c r="D2" s="323"/>
      <c r="E2" s="323"/>
      <c r="F2" s="323"/>
      <c r="G2" s="323"/>
      <c r="H2" s="323"/>
      <c r="I2" s="323"/>
    </row>
    <row r="3" spans="1:11" x14ac:dyDescent="0.25">
      <c r="B3" s="318" t="s">
        <v>12</v>
      </c>
      <c r="C3" s="318"/>
      <c r="D3" s="318"/>
      <c r="E3" s="318"/>
      <c r="F3" s="318"/>
      <c r="G3" s="318"/>
      <c r="H3" s="318"/>
      <c r="I3" s="318"/>
    </row>
    <row r="5" spans="1:11" x14ac:dyDescent="0.25">
      <c r="B5" s="194"/>
      <c r="C5" s="193">
        <v>503</v>
      </c>
      <c r="D5" s="193">
        <v>504</v>
      </c>
      <c r="E5" s="169">
        <v>505</v>
      </c>
      <c r="F5" s="169">
        <v>511</v>
      </c>
      <c r="G5" s="169">
        <v>570</v>
      </c>
      <c r="H5" s="195">
        <v>663</v>
      </c>
      <c r="I5" s="195" t="s">
        <v>90</v>
      </c>
    </row>
    <row r="6" spans="1:11" x14ac:dyDescent="0.25">
      <c r="A6" s="228" t="s">
        <v>187</v>
      </c>
      <c r="B6" s="229">
        <v>45139</v>
      </c>
      <c r="C6" s="230">
        <v>2530851</v>
      </c>
      <c r="D6" s="230">
        <v>2602457</v>
      </c>
      <c r="E6" s="230">
        <v>485379</v>
      </c>
      <c r="F6" s="230">
        <v>968498</v>
      </c>
      <c r="G6" s="230">
        <v>85131</v>
      </c>
      <c r="H6" s="231">
        <v>81641857</v>
      </c>
      <c r="I6" s="232">
        <f t="shared" ref="I6:I17" si="0">+C6+D6+E6+F6+G6</f>
        <v>6672316</v>
      </c>
      <c r="J6" s="160"/>
      <c r="K6" s="164"/>
    </row>
    <row r="7" spans="1:11" x14ac:dyDescent="0.25">
      <c r="A7" s="228" t="s">
        <v>187</v>
      </c>
      <c r="B7" s="229">
        <v>45170</v>
      </c>
      <c r="C7" s="233">
        <v>3984080</v>
      </c>
      <c r="D7" s="233">
        <v>3809259</v>
      </c>
      <c r="E7" s="233">
        <v>534789</v>
      </c>
      <c r="F7" s="233">
        <v>616105</v>
      </c>
      <c r="G7" s="233">
        <v>107273</v>
      </c>
      <c r="H7" s="231">
        <v>85129383</v>
      </c>
      <c r="I7" s="232">
        <f t="shared" si="0"/>
        <v>9051506</v>
      </c>
      <c r="J7" s="160"/>
      <c r="K7" s="164"/>
    </row>
    <row r="8" spans="1:11" x14ac:dyDescent="0.25">
      <c r="A8" s="228" t="s">
        <v>187</v>
      </c>
      <c r="B8" s="229">
        <v>45200</v>
      </c>
      <c r="C8" s="230">
        <v>8301482</v>
      </c>
      <c r="D8" s="230">
        <v>6570526</v>
      </c>
      <c r="E8" s="230">
        <v>919554</v>
      </c>
      <c r="F8" s="230">
        <v>1191358</v>
      </c>
      <c r="G8" s="230">
        <v>169608</v>
      </c>
      <c r="H8" s="231">
        <v>83947162</v>
      </c>
      <c r="I8" s="232">
        <f t="shared" si="0"/>
        <v>17152528</v>
      </c>
      <c r="J8" s="160"/>
      <c r="K8" s="164"/>
    </row>
    <row r="9" spans="1:11" x14ac:dyDescent="0.25">
      <c r="A9" s="228" t="s">
        <v>187</v>
      </c>
      <c r="B9" s="229">
        <v>45231</v>
      </c>
      <c r="C9" s="233">
        <v>16563910</v>
      </c>
      <c r="D9" s="233">
        <v>10761463</v>
      </c>
      <c r="E9" s="233">
        <v>989405</v>
      </c>
      <c r="F9" s="233">
        <v>1545484</v>
      </c>
      <c r="G9" s="233">
        <v>236897</v>
      </c>
      <c r="H9" s="231">
        <v>84060377</v>
      </c>
      <c r="I9" s="232">
        <f t="shared" si="0"/>
        <v>30097159</v>
      </c>
      <c r="J9" s="160"/>
      <c r="K9" s="164"/>
    </row>
    <row r="10" spans="1:11" x14ac:dyDescent="0.25">
      <c r="A10" s="228" t="s">
        <v>187</v>
      </c>
      <c r="B10" s="229">
        <v>45261</v>
      </c>
      <c r="C10" s="230">
        <v>17765095</v>
      </c>
      <c r="D10" s="230">
        <v>12514189</v>
      </c>
      <c r="E10" s="230">
        <v>1357607</v>
      </c>
      <c r="F10" s="230">
        <v>1600841</v>
      </c>
      <c r="G10" s="230">
        <v>249527</v>
      </c>
      <c r="H10" s="231">
        <v>86386506</v>
      </c>
      <c r="I10" s="232">
        <f t="shared" si="0"/>
        <v>33487259</v>
      </c>
      <c r="J10" s="160"/>
      <c r="K10" s="164"/>
    </row>
    <row r="11" spans="1:11" x14ac:dyDescent="0.25">
      <c r="A11" s="228" t="s">
        <v>187</v>
      </c>
      <c r="B11" s="229">
        <v>45292</v>
      </c>
      <c r="C11" s="230">
        <v>22656500</v>
      </c>
      <c r="D11" s="230">
        <v>15736158</v>
      </c>
      <c r="E11" s="230">
        <v>1696449</v>
      </c>
      <c r="F11" s="233">
        <v>2212395</v>
      </c>
      <c r="G11" s="233">
        <v>264985</v>
      </c>
      <c r="H11" s="231">
        <v>94592428</v>
      </c>
      <c r="I11" s="232">
        <f t="shared" si="0"/>
        <v>42566487</v>
      </c>
      <c r="J11" s="160"/>
      <c r="K11" s="164"/>
    </row>
    <row r="12" spans="1:11" x14ac:dyDescent="0.25">
      <c r="A12" s="228" t="s">
        <v>187</v>
      </c>
      <c r="B12" s="229">
        <v>45323</v>
      </c>
      <c r="C12" s="234">
        <v>15847810</v>
      </c>
      <c r="D12" s="234">
        <v>12440097</v>
      </c>
      <c r="E12" s="234">
        <v>1501675</v>
      </c>
      <c r="F12" s="230">
        <v>1692041</v>
      </c>
      <c r="G12" s="230">
        <v>238288</v>
      </c>
      <c r="H12" s="231">
        <v>89087373</v>
      </c>
      <c r="I12" s="232">
        <f t="shared" si="0"/>
        <v>31719911</v>
      </c>
      <c r="J12" s="160"/>
      <c r="K12" s="164"/>
    </row>
    <row r="13" spans="1:11" x14ac:dyDescent="0.25">
      <c r="A13" s="228" t="s">
        <v>187</v>
      </c>
      <c r="B13" s="229">
        <v>45352</v>
      </c>
      <c r="C13" s="233">
        <v>14304551</v>
      </c>
      <c r="D13" s="233">
        <v>9572614</v>
      </c>
      <c r="E13" s="233">
        <v>1333223</v>
      </c>
      <c r="F13" s="233">
        <v>1371096</v>
      </c>
      <c r="G13" s="233">
        <v>228698</v>
      </c>
      <c r="H13" s="231">
        <v>78870217</v>
      </c>
      <c r="I13" s="232">
        <f t="shared" si="0"/>
        <v>26810182</v>
      </c>
      <c r="J13" s="160"/>
      <c r="K13" s="164"/>
    </row>
    <row r="14" spans="1:11" x14ac:dyDescent="0.25">
      <c r="A14" s="228" t="s">
        <v>187</v>
      </c>
      <c r="B14" s="229">
        <v>45383</v>
      </c>
      <c r="C14" s="230">
        <v>8696083</v>
      </c>
      <c r="D14" s="230">
        <v>6697941</v>
      </c>
      <c r="E14" s="230">
        <v>1053452</v>
      </c>
      <c r="F14" s="230">
        <v>1185738</v>
      </c>
      <c r="G14" s="230">
        <v>195240</v>
      </c>
      <c r="H14" s="231">
        <v>79992973</v>
      </c>
      <c r="I14" s="232">
        <f t="shared" si="0"/>
        <v>17828454</v>
      </c>
      <c r="J14" s="160"/>
      <c r="K14" s="164"/>
    </row>
    <row r="15" spans="1:11" x14ac:dyDescent="0.25">
      <c r="A15" s="228" t="s">
        <v>187</v>
      </c>
      <c r="B15" s="229">
        <v>45413</v>
      </c>
      <c r="C15" s="233">
        <v>6252809</v>
      </c>
      <c r="D15" s="233">
        <v>4637605</v>
      </c>
      <c r="E15" s="233">
        <v>922926</v>
      </c>
      <c r="F15" s="233">
        <v>886290</v>
      </c>
      <c r="G15" s="233">
        <v>163264</v>
      </c>
      <c r="H15" s="231">
        <v>46208422</v>
      </c>
      <c r="I15" s="232">
        <f t="shared" si="0"/>
        <v>12862894</v>
      </c>
      <c r="J15" s="160"/>
      <c r="K15" s="164"/>
    </row>
    <row r="16" spans="1:11" x14ac:dyDescent="0.25">
      <c r="A16" s="228" t="s">
        <v>187</v>
      </c>
      <c r="B16" s="229">
        <v>45444</v>
      </c>
      <c r="C16" s="230">
        <v>2458689</v>
      </c>
      <c r="D16" s="230">
        <v>3582147</v>
      </c>
      <c r="E16" s="230">
        <v>588410</v>
      </c>
      <c r="F16" s="230">
        <v>862944</v>
      </c>
      <c r="G16" s="230">
        <v>113835</v>
      </c>
      <c r="H16" s="231">
        <v>58286341</v>
      </c>
      <c r="I16" s="232">
        <f t="shared" si="0"/>
        <v>7606025</v>
      </c>
      <c r="J16" s="160"/>
      <c r="K16" s="164"/>
    </row>
    <row r="17" spans="1:10" x14ac:dyDescent="0.25">
      <c r="A17" s="228" t="s">
        <v>187</v>
      </c>
      <c r="B17" s="229">
        <v>45474</v>
      </c>
      <c r="C17" s="235">
        <v>3131406</v>
      </c>
      <c r="D17" s="236">
        <v>1892047</v>
      </c>
      <c r="E17" s="236">
        <v>498355</v>
      </c>
      <c r="F17" s="235">
        <v>588899</v>
      </c>
      <c r="G17" s="235">
        <v>35751</v>
      </c>
      <c r="H17" s="231">
        <v>72010025</v>
      </c>
      <c r="I17" s="232">
        <f t="shared" si="0"/>
        <v>6146458</v>
      </c>
      <c r="J17" s="160"/>
    </row>
    <row r="18" spans="1:10" x14ac:dyDescent="0.25">
      <c r="A18" s="228"/>
      <c r="B18" s="237"/>
      <c r="C18" s="238"/>
      <c r="D18" s="239"/>
      <c r="E18" s="239"/>
      <c r="F18" s="239"/>
      <c r="G18" s="239"/>
      <c r="H18" s="239"/>
      <c r="I18" s="240"/>
    </row>
    <row r="19" spans="1:10" x14ac:dyDescent="0.25">
      <c r="A19" s="228" t="s">
        <v>66</v>
      </c>
      <c r="B19" s="241">
        <v>45505</v>
      </c>
      <c r="C19" s="160">
        <f t="shared" ref="C19:C30" si="1">(+C6/I6)*I19</f>
        <v>2403018.7329706806</v>
      </c>
      <c r="D19" s="160">
        <f t="shared" ref="D19:D30" si="2">(+D6/I6)*I19</f>
        <v>2471007.9426843692</v>
      </c>
      <c r="E19" s="160">
        <f t="shared" ref="E19:E30" si="3">(+E6/I6)*I19</f>
        <v>460862.70175153576</v>
      </c>
      <c r="F19" s="160">
        <f t="shared" ref="F19:F30" si="4">(+F6/I6)*I19</f>
        <v>919579.55519492773</v>
      </c>
      <c r="G19" s="160">
        <f t="shared" ref="G19:G30" si="5">(+G6/I6)*I19</f>
        <v>80831.067398486528</v>
      </c>
      <c r="H19" s="160">
        <f t="shared" ref="H19:H30" si="6">+H6</f>
        <v>81641857</v>
      </c>
      <c r="I19" s="242">
        <v>6335300</v>
      </c>
    </row>
    <row r="20" spans="1:10" x14ac:dyDescent="0.25">
      <c r="A20" s="228" t="s">
        <v>66</v>
      </c>
      <c r="B20" s="241">
        <v>45536</v>
      </c>
      <c r="C20" s="160">
        <f t="shared" si="1"/>
        <v>3500213.2215346266</v>
      </c>
      <c r="D20" s="160">
        <f t="shared" si="2"/>
        <v>3346624.2435015789</v>
      </c>
      <c r="E20" s="160">
        <f t="shared" si="3"/>
        <v>469838.84071888146</v>
      </c>
      <c r="F20" s="160">
        <f t="shared" si="4"/>
        <v>541279.00716190215</v>
      </c>
      <c r="G20" s="160">
        <f t="shared" si="5"/>
        <v>94244.687083011377</v>
      </c>
      <c r="H20" s="160">
        <f t="shared" si="6"/>
        <v>85129383</v>
      </c>
      <c r="I20" s="242">
        <v>7952200</v>
      </c>
    </row>
    <row r="21" spans="1:10" x14ac:dyDescent="0.25">
      <c r="A21" s="228" t="s">
        <v>66</v>
      </c>
      <c r="B21" s="241">
        <v>45566</v>
      </c>
      <c r="C21" s="160">
        <f t="shared" si="1"/>
        <v>10181634.291959763</v>
      </c>
      <c r="D21" s="160">
        <f t="shared" si="2"/>
        <v>8058644.5694652125</v>
      </c>
      <c r="E21" s="160">
        <f t="shared" si="3"/>
        <v>1127818.2064008291</v>
      </c>
      <c r="F21" s="160">
        <f t="shared" si="4"/>
        <v>1461181.4452889976</v>
      </c>
      <c r="G21" s="160">
        <f t="shared" si="5"/>
        <v>208021.48688519851</v>
      </c>
      <c r="H21" s="160">
        <f t="shared" si="6"/>
        <v>83947162</v>
      </c>
      <c r="I21" s="242">
        <v>21037300</v>
      </c>
    </row>
    <row r="22" spans="1:10" x14ac:dyDescent="0.25">
      <c r="A22" s="228" t="s">
        <v>66</v>
      </c>
      <c r="B22" s="241">
        <v>45597</v>
      </c>
      <c r="C22" s="160">
        <f t="shared" si="1"/>
        <v>17300573.306171525</v>
      </c>
      <c r="D22" s="160">
        <f t="shared" si="2"/>
        <v>11240068.287810821</v>
      </c>
      <c r="E22" s="160">
        <f t="shared" si="3"/>
        <v>1033407.7963471569</v>
      </c>
      <c r="F22" s="160">
        <f t="shared" si="4"/>
        <v>1614217.8528810644</v>
      </c>
      <c r="G22" s="160">
        <f t="shared" si="5"/>
        <v>247432.75678943651</v>
      </c>
      <c r="H22" s="160">
        <f t="shared" si="6"/>
        <v>84060377</v>
      </c>
      <c r="I22" s="242">
        <v>31435700</v>
      </c>
    </row>
    <row r="23" spans="1:10" x14ac:dyDescent="0.25">
      <c r="A23" s="228" t="s">
        <v>66</v>
      </c>
      <c r="B23" s="241">
        <v>45627</v>
      </c>
      <c r="C23" s="160">
        <f t="shared" si="1"/>
        <v>26008190.233166143</v>
      </c>
      <c r="D23" s="160">
        <f t="shared" si="2"/>
        <v>18320836.906630401</v>
      </c>
      <c r="E23" s="160">
        <f t="shared" si="3"/>
        <v>1987543.6139169526</v>
      </c>
      <c r="F23" s="160">
        <f t="shared" si="4"/>
        <v>2343639.4379569553</v>
      </c>
      <c r="G23" s="160">
        <f t="shared" si="5"/>
        <v>365308.80832955008</v>
      </c>
      <c r="H23" s="160">
        <f t="shared" si="6"/>
        <v>86386506</v>
      </c>
      <c r="I23" s="242">
        <v>49025519</v>
      </c>
    </row>
    <row r="24" spans="1:10" x14ac:dyDescent="0.25">
      <c r="A24" s="228" t="s">
        <v>66</v>
      </c>
      <c r="B24" s="241">
        <v>45658</v>
      </c>
      <c r="C24" s="160">
        <f t="shared" si="1"/>
        <v>23069541.802921157</v>
      </c>
      <c r="D24" s="160">
        <f t="shared" si="2"/>
        <v>16023037.750684006</v>
      </c>
      <c r="E24" s="160">
        <f t="shared" si="3"/>
        <v>1727376.2991646456</v>
      </c>
      <c r="F24" s="160">
        <f t="shared" si="4"/>
        <v>2252728.3091860507</v>
      </c>
      <c r="G24" s="160">
        <f t="shared" si="5"/>
        <v>269815.8380441402</v>
      </c>
      <c r="H24" s="160">
        <f t="shared" si="6"/>
        <v>94592428</v>
      </c>
      <c r="I24" s="242">
        <v>43342500</v>
      </c>
    </row>
    <row r="25" spans="1:10" x14ac:dyDescent="0.25">
      <c r="A25" s="228" t="s">
        <v>66</v>
      </c>
      <c r="B25" s="241">
        <v>45689</v>
      </c>
      <c r="C25" s="160">
        <f t="shared" si="1"/>
        <v>19458387.413066827</v>
      </c>
      <c r="D25" s="160">
        <f t="shared" si="2"/>
        <v>15274301.426009677</v>
      </c>
      <c r="E25" s="160">
        <f t="shared" si="3"/>
        <v>1843798.8541329766</v>
      </c>
      <c r="F25" s="160">
        <f t="shared" si="4"/>
        <v>2077535.5898886351</v>
      </c>
      <c r="G25" s="160">
        <f t="shared" si="5"/>
        <v>292576.71690188535</v>
      </c>
      <c r="H25" s="160">
        <f t="shared" si="6"/>
        <v>89087373</v>
      </c>
      <c r="I25" s="242">
        <v>38946600</v>
      </c>
    </row>
    <row r="26" spans="1:10" x14ac:dyDescent="0.25">
      <c r="A26" s="228" t="s">
        <v>66</v>
      </c>
      <c r="B26" s="241">
        <v>45717</v>
      </c>
      <c r="C26" s="160">
        <f t="shared" si="1"/>
        <v>16571557.77473275</v>
      </c>
      <c r="D26" s="160">
        <f t="shared" si="2"/>
        <v>11089696.276116291</v>
      </c>
      <c r="E26" s="160">
        <f t="shared" si="3"/>
        <v>1544514.1879044313</v>
      </c>
      <c r="F26" s="160">
        <f t="shared" si="4"/>
        <v>1588389.3579536311</v>
      </c>
      <c r="G26" s="160">
        <f t="shared" si="5"/>
        <v>264942.40329289821</v>
      </c>
      <c r="H26" s="160">
        <f t="shared" si="6"/>
        <v>78870217</v>
      </c>
      <c r="I26" s="242">
        <v>31059100</v>
      </c>
    </row>
    <row r="27" spans="1:10" x14ac:dyDescent="0.25">
      <c r="A27" s="228" t="s">
        <v>66</v>
      </c>
      <c r="B27" s="241">
        <v>45748</v>
      </c>
      <c r="C27" s="160">
        <f t="shared" si="1"/>
        <v>8969155.8801957816</v>
      </c>
      <c r="D27" s="160">
        <f t="shared" si="2"/>
        <v>6908268.5739492616</v>
      </c>
      <c r="E27" s="160">
        <f t="shared" si="3"/>
        <v>1086532.3157913748</v>
      </c>
      <c r="F27" s="160">
        <f t="shared" si="4"/>
        <v>1222972.3376687625</v>
      </c>
      <c r="G27" s="160">
        <f t="shared" si="5"/>
        <v>201370.89239482011</v>
      </c>
      <c r="H27" s="160">
        <f t="shared" si="6"/>
        <v>79992973</v>
      </c>
      <c r="I27" s="242">
        <v>18388300</v>
      </c>
    </row>
    <row r="28" spans="1:10" x14ac:dyDescent="0.25">
      <c r="A28" s="228" t="s">
        <v>66</v>
      </c>
      <c r="B28" s="241">
        <v>45778</v>
      </c>
      <c r="C28" s="160">
        <f t="shared" si="1"/>
        <v>5781477.5803718818</v>
      </c>
      <c r="D28" s="160">
        <f t="shared" si="2"/>
        <v>4288026.282926688</v>
      </c>
      <c r="E28" s="160">
        <f t="shared" si="3"/>
        <v>853356.62377377902</v>
      </c>
      <c r="F28" s="160">
        <f t="shared" si="4"/>
        <v>819482.21426686714</v>
      </c>
      <c r="G28" s="160">
        <f t="shared" si="5"/>
        <v>150957.29866078348</v>
      </c>
      <c r="H28" s="160">
        <f t="shared" si="6"/>
        <v>46208422</v>
      </c>
      <c r="I28" s="242">
        <v>11893300</v>
      </c>
    </row>
    <row r="29" spans="1:10" x14ac:dyDescent="0.25">
      <c r="A29" s="228" t="s">
        <v>66</v>
      </c>
      <c r="B29" s="241">
        <v>45809</v>
      </c>
      <c r="C29" s="160">
        <f t="shared" si="1"/>
        <v>2713891.0928507335</v>
      </c>
      <c r="D29" s="160">
        <f t="shared" si="2"/>
        <v>3953959.5437169876</v>
      </c>
      <c r="E29" s="160">
        <f t="shared" si="3"/>
        <v>649484.60661120631</v>
      </c>
      <c r="F29" s="160">
        <f t="shared" si="4"/>
        <v>952514.1387255498</v>
      </c>
      <c r="G29" s="160">
        <f t="shared" si="5"/>
        <v>125650.61809552295</v>
      </c>
      <c r="H29" s="160">
        <f t="shared" si="6"/>
        <v>58286341</v>
      </c>
      <c r="I29" s="242">
        <v>8395500</v>
      </c>
    </row>
    <row r="30" spans="1:10" x14ac:dyDescent="0.25">
      <c r="A30" s="228" t="s">
        <v>66</v>
      </c>
      <c r="B30" s="241">
        <v>45839</v>
      </c>
      <c r="C30" s="160">
        <f t="shared" si="1"/>
        <v>3993697.1234489852</v>
      </c>
      <c r="D30" s="160">
        <f t="shared" si="2"/>
        <v>2413057.4768427606</v>
      </c>
      <c r="E30" s="160">
        <f t="shared" si="3"/>
        <v>635586.35640233767</v>
      </c>
      <c r="F30" s="160">
        <f t="shared" si="4"/>
        <v>751063.3377792543</v>
      </c>
      <c r="G30" s="160">
        <f t="shared" si="5"/>
        <v>45595.70552666267</v>
      </c>
      <c r="H30" s="160">
        <f t="shared" si="6"/>
        <v>72010025</v>
      </c>
      <c r="I30" s="242">
        <v>7839000</v>
      </c>
    </row>
    <row r="31" spans="1:10" x14ac:dyDescent="0.25">
      <c r="A31" s="228" t="s">
        <v>66</v>
      </c>
      <c r="B31" s="241">
        <v>45870</v>
      </c>
      <c r="C31" s="160">
        <f>(+C19/I19)*I31</f>
        <v>2475580.0139861479</v>
      </c>
      <c r="D31" s="160">
        <f>(+D19/I19)*I31</f>
        <v>2545622.2181623294</v>
      </c>
      <c r="E31" s="160">
        <f>(+E19/I19)*I31</f>
        <v>474778.85960437125</v>
      </c>
      <c r="F31" s="160">
        <f>(+F19/I19)*I31</f>
        <v>947347.07510855293</v>
      </c>
      <c r="G31" s="160">
        <f>(+G19/I19)*I31</f>
        <v>83271.833138598362</v>
      </c>
      <c r="H31" s="160">
        <f>+H19</f>
        <v>81641857</v>
      </c>
      <c r="I31" s="242">
        <v>6526600</v>
      </c>
    </row>
    <row r="32" spans="1:10" x14ac:dyDescent="0.25">
      <c r="A32" s="228" t="s">
        <v>66</v>
      </c>
      <c r="B32" s="241">
        <v>45901</v>
      </c>
      <c r="C32" s="160">
        <f>(+C20/I20)*I32</f>
        <v>3605762.7714106361</v>
      </c>
      <c r="D32" s="160">
        <f>(+D20/I20)*I32</f>
        <v>3447542.2905315426</v>
      </c>
      <c r="E32" s="160">
        <f>(+E20/I20)*I32</f>
        <v>484006.91420853056</v>
      </c>
      <c r="F32" s="160">
        <f>(+F20/I20)*I32</f>
        <v>557601.37152867159</v>
      </c>
      <c r="G32" s="160">
        <f>(+G20/I20)*I32</f>
        <v>97086.652320619352</v>
      </c>
      <c r="H32" s="160">
        <f>+H20</f>
        <v>85129383</v>
      </c>
      <c r="I32" s="242">
        <v>8192000</v>
      </c>
    </row>
    <row r="33" spans="1:9" x14ac:dyDescent="0.25">
      <c r="A33" s="228" t="s">
        <v>66</v>
      </c>
      <c r="B33" s="241">
        <v>45931</v>
      </c>
      <c r="C33" s="160">
        <f>(+C21/I21)*I33</f>
        <v>10268460.319633352</v>
      </c>
      <c r="D33" s="160">
        <f>(+D21/I21)*I33</f>
        <v>8127366.3558048122</v>
      </c>
      <c r="E33" s="160">
        <f>(+E21/I21)*I33</f>
        <v>1137435.9133417534</v>
      </c>
      <c r="F33" s="160">
        <f>(+F21/I21)*I33</f>
        <v>1473641.9773575068</v>
      </c>
      <c r="G33" s="160">
        <f>(+G21/I21)*I33</f>
        <v>209795.43386257702</v>
      </c>
      <c r="H33" s="160">
        <f>+H21</f>
        <v>83947162</v>
      </c>
      <c r="I33" s="242">
        <v>21216700</v>
      </c>
    </row>
    <row r="35" spans="1:9" x14ac:dyDescent="0.25">
      <c r="A35" s="228" t="s">
        <v>188</v>
      </c>
      <c r="B35" s="241" t="s">
        <v>189</v>
      </c>
      <c r="C35" s="160">
        <f t="shared" ref="C35:I35" si="7">SUM(C22:C33)</f>
        <v>140216275.3119559</v>
      </c>
      <c r="D35" s="160">
        <f t="shared" si="7"/>
        <v>103631783.38918559</v>
      </c>
      <c r="E35" s="160">
        <f t="shared" si="7"/>
        <v>13457822.341199517</v>
      </c>
      <c r="F35" s="160">
        <f t="shared" si="7"/>
        <v>16601133.000301499</v>
      </c>
      <c r="G35" s="160">
        <f t="shared" si="7"/>
        <v>2353804.9573574951</v>
      </c>
      <c r="H35" s="160">
        <f t="shared" si="7"/>
        <v>940213064</v>
      </c>
      <c r="I35" s="160">
        <f t="shared" si="7"/>
        <v>276260819</v>
      </c>
    </row>
    <row r="36" spans="1:9" x14ac:dyDescent="0.25">
      <c r="C36" s="243">
        <v>1</v>
      </c>
      <c r="D36" s="243">
        <v>2</v>
      </c>
      <c r="E36" s="243">
        <v>3</v>
      </c>
      <c r="F36" s="243">
        <v>4</v>
      </c>
      <c r="G36" s="243">
        <v>5</v>
      </c>
      <c r="H36" s="243">
        <v>6</v>
      </c>
      <c r="I36" s="244">
        <v>7</v>
      </c>
    </row>
    <row r="37" spans="1:9" x14ac:dyDescent="0.25">
      <c r="B37" s="241"/>
      <c r="C37" s="206"/>
      <c r="D37" s="206"/>
      <c r="E37" s="206"/>
      <c r="F37" s="206"/>
      <c r="G37" s="206"/>
      <c r="H37" s="206"/>
      <c r="I37" s="206"/>
    </row>
  </sheetData>
  <mergeCells count="3">
    <mergeCell ref="B1:I1"/>
    <mergeCell ref="B2:I2"/>
    <mergeCell ref="B3:I3"/>
  </mergeCells>
  <printOptions horizontalCentered="1"/>
  <pageMargins left="0.25" right="0.25" top="1" bottom="1" header="0.5" footer="0.5"/>
  <pageSetup scale="67" orientation="landscape" r:id="rId1"/>
  <headerFooter alignWithMargins="0">
    <oddFooter>&amp;L
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6303-6FB1-4C4C-84BB-E9FEB5BD36E8}">
  <dimension ref="A1:L49"/>
  <sheetViews>
    <sheetView topLeftCell="A19" workbookViewId="0">
      <selection activeCell="I28" sqref="I28:I31"/>
    </sheetView>
  </sheetViews>
  <sheetFormatPr defaultColWidth="12" defaultRowHeight="15" x14ac:dyDescent="0.25"/>
  <cols>
    <col min="1" max="1" width="1.6640625" style="247" customWidth="1"/>
    <col min="2" max="2" width="5.83203125" style="246" customWidth="1"/>
    <col min="3" max="3" width="15.5" style="247" customWidth="1"/>
    <col min="4" max="4" width="20" style="247" customWidth="1"/>
    <col min="5" max="5" width="10.6640625" style="246" bestFit="1" customWidth="1"/>
    <col min="6" max="6" width="16" style="247" bestFit="1" customWidth="1"/>
    <col min="7" max="7" width="16.5" style="247" customWidth="1"/>
    <col min="8" max="8" width="2.33203125" style="247" customWidth="1"/>
    <col min="9" max="9" width="19.1640625" style="247" bestFit="1" customWidth="1"/>
    <col min="10" max="10" width="2.33203125" style="247" customWidth="1"/>
    <col min="11" max="12" width="15" style="247" bestFit="1" customWidth="1"/>
    <col min="13" max="13" width="5.6640625" style="247" customWidth="1"/>
    <col min="14" max="16384" width="12" style="247"/>
  </cols>
  <sheetData>
    <row r="1" spans="1:12" ht="18" customHeight="1" x14ac:dyDescent="0.25">
      <c r="A1" s="245"/>
      <c r="C1" s="318" t="s">
        <v>9</v>
      </c>
      <c r="D1" s="318"/>
      <c r="E1" s="318"/>
      <c r="F1" s="318"/>
      <c r="G1" s="318"/>
      <c r="H1" s="318"/>
      <c r="I1" s="318"/>
      <c r="J1" s="318"/>
    </row>
    <row r="2" spans="1:12" x14ac:dyDescent="0.25">
      <c r="C2" s="324" t="s">
        <v>190</v>
      </c>
      <c r="D2" s="325"/>
      <c r="E2" s="325"/>
      <c r="F2" s="325"/>
      <c r="G2" s="325"/>
      <c r="H2" s="325"/>
      <c r="I2" s="325"/>
      <c r="J2" s="325"/>
    </row>
    <row r="3" spans="1:12" x14ac:dyDescent="0.25">
      <c r="C3" s="324" t="s">
        <v>191</v>
      </c>
      <c r="D3" s="325"/>
      <c r="E3" s="325"/>
      <c r="F3" s="325"/>
      <c r="G3" s="325"/>
      <c r="H3" s="325"/>
      <c r="I3" s="325"/>
      <c r="J3" s="325"/>
    </row>
    <row r="4" spans="1:12" x14ac:dyDescent="0.25">
      <c r="C4" s="318" t="s">
        <v>12</v>
      </c>
      <c r="D4" s="325"/>
      <c r="E4" s="325"/>
      <c r="F4" s="325"/>
      <c r="G4" s="325"/>
      <c r="H4" s="325"/>
      <c r="I4" s="325"/>
      <c r="J4" s="325"/>
    </row>
    <row r="5" spans="1:12" ht="6" customHeight="1" x14ac:dyDescent="0.25"/>
    <row r="6" spans="1:12" x14ac:dyDescent="0.25">
      <c r="B6" s="248"/>
      <c r="C6" s="249"/>
      <c r="D6" s="249"/>
      <c r="E6" s="248"/>
      <c r="F6" s="248"/>
      <c r="G6" s="248"/>
      <c r="I6" s="248"/>
    </row>
    <row r="7" spans="1:12" x14ac:dyDescent="0.25">
      <c r="B7" s="250" t="s">
        <v>45</v>
      </c>
      <c r="C7" s="246"/>
      <c r="D7" s="246"/>
      <c r="E7" s="250" t="s">
        <v>64</v>
      </c>
      <c r="F7" s="250" t="s">
        <v>65</v>
      </c>
      <c r="G7" s="250" t="s">
        <v>192</v>
      </c>
      <c r="H7" s="246"/>
      <c r="I7" s="250" t="s">
        <v>67</v>
      </c>
      <c r="J7" s="246"/>
      <c r="K7" s="246"/>
      <c r="L7" s="246"/>
    </row>
    <row r="8" spans="1:12" x14ac:dyDescent="0.25">
      <c r="B8" s="250" t="s">
        <v>51</v>
      </c>
      <c r="C8" s="251"/>
      <c r="D8" s="246" t="s">
        <v>3</v>
      </c>
      <c r="E8" s="250" t="s">
        <v>71</v>
      </c>
      <c r="F8" s="250" t="s">
        <v>72</v>
      </c>
      <c r="G8" s="250" t="s">
        <v>73</v>
      </c>
      <c r="H8" s="246"/>
      <c r="I8" s="250" t="s">
        <v>74</v>
      </c>
      <c r="J8" s="246"/>
      <c r="K8" s="246"/>
      <c r="L8" s="246"/>
    </row>
    <row r="9" spans="1:12" x14ac:dyDescent="0.25">
      <c r="B9" s="250"/>
      <c r="C9" s="251"/>
      <c r="D9" s="246" t="s">
        <v>27</v>
      </c>
      <c r="E9" s="252" t="s">
        <v>28</v>
      </c>
      <c r="F9" s="252" t="s">
        <v>29</v>
      </c>
      <c r="G9" s="252" t="s">
        <v>30</v>
      </c>
      <c r="H9" s="246"/>
      <c r="I9" s="252" t="s">
        <v>76</v>
      </c>
      <c r="J9" s="246"/>
      <c r="K9" s="246"/>
      <c r="L9" s="246"/>
    </row>
    <row r="10" spans="1:12" x14ac:dyDescent="0.25">
      <c r="B10" s="253"/>
      <c r="C10" s="254" t="s">
        <v>79</v>
      </c>
      <c r="D10" s="255"/>
      <c r="E10" s="253"/>
      <c r="F10" s="255"/>
      <c r="G10" s="255"/>
      <c r="I10" s="256"/>
    </row>
    <row r="11" spans="1:12" x14ac:dyDescent="0.25">
      <c r="B11" s="248"/>
      <c r="C11" s="257" t="s">
        <v>54</v>
      </c>
      <c r="D11" s="258"/>
      <c r="E11" s="259"/>
      <c r="F11" s="249"/>
      <c r="G11" s="260"/>
      <c r="I11" s="260"/>
    </row>
    <row r="12" spans="1:12" x14ac:dyDescent="0.25">
      <c r="B12" s="250">
        <v>1</v>
      </c>
      <c r="C12" s="261" t="s">
        <v>193</v>
      </c>
      <c r="D12" s="262"/>
      <c r="E12" s="263">
        <v>503</v>
      </c>
      <c r="F12" s="264">
        <v>204189</v>
      </c>
      <c r="G12" s="265">
        <v>122238548</v>
      </c>
      <c r="I12" s="266">
        <f>180894056.86+2819119</f>
        <v>183713175.86000001</v>
      </c>
      <c r="K12" s="267"/>
      <c r="L12" s="268"/>
    </row>
    <row r="13" spans="1:12" x14ac:dyDescent="0.25">
      <c r="B13" s="250">
        <v>2</v>
      </c>
      <c r="C13" s="261"/>
      <c r="D13" s="262"/>
      <c r="E13" s="263"/>
      <c r="F13" s="264"/>
      <c r="G13" s="265"/>
      <c r="I13" s="266"/>
      <c r="K13" s="267"/>
      <c r="L13" s="268"/>
    </row>
    <row r="14" spans="1:12" x14ac:dyDescent="0.25">
      <c r="B14" s="250">
        <v>3</v>
      </c>
      <c r="C14" s="269" t="s">
        <v>194</v>
      </c>
      <c r="E14" s="250">
        <v>503</v>
      </c>
      <c r="F14" s="264"/>
      <c r="G14" s="265">
        <v>1709750</v>
      </c>
      <c r="H14" s="267"/>
      <c r="I14" s="266">
        <v>2892288.17</v>
      </c>
      <c r="J14" s="267"/>
      <c r="K14" s="267"/>
      <c r="L14" s="268"/>
    </row>
    <row r="15" spans="1:12" x14ac:dyDescent="0.25">
      <c r="B15" s="250">
        <v>4</v>
      </c>
      <c r="C15" s="270" t="s">
        <v>195</v>
      </c>
      <c r="D15" s="271"/>
      <c r="E15" s="252">
        <v>503</v>
      </c>
      <c r="F15" s="272"/>
      <c r="G15" s="273">
        <v>-1455032</v>
      </c>
      <c r="H15" s="267"/>
      <c r="I15" s="274">
        <v>-2335339.27</v>
      </c>
      <c r="J15" s="267"/>
      <c r="K15" s="267"/>
      <c r="L15" s="268"/>
    </row>
    <row r="16" spans="1:12" s="166" customFormat="1" x14ac:dyDescent="0.25">
      <c r="B16" s="250">
        <v>5</v>
      </c>
      <c r="C16" s="275" t="s">
        <v>196</v>
      </c>
      <c r="D16" s="276"/>
      <c r="E16" s="277"/>
      <c r="F16" s="278">
        <f>SUM(F12:F15)</f>
        <v>204189</v>
      </c>
      <c r="G16" s="279">
        <f>SUM(G12:G15)</f>
        <v>122493266</v>
      </c>
      <c r="H16" s="280"/>
      <c r="I16" s="281">
        <f>SUM(I12:I15)</f>
        <v>184270124.75999999</v>
      </c>
      <c r="J16" s="280"/>
      <c r="K16" s="280"/>
      <c r="L16" s="282"/>
    </row>
    <row r="17" spans="2:12" x14ac:dyDescent="0.25">
      <c r="B17" s="250">
        <v>6</v>
      </c>
      <c r="C17" s="257" t="s">
        <v>55</v>
      </c>
      <c r="D17" s="262"/>
      <c r="E17" s="263"/>
      <c r="F17" s="267"/>
      <c r="G17" s="265"/>
      <c r="H17" s="267"/>
      <c r="I17" s="266"/>
      <c r="K17" s="267"/>
      <c r="L17" s="283"/>
    </row>
    <row r="18" spans="2:12" x14ac:dyDescent="0.25">
      <c r="B18" s="250">
        <v>7</v>
      </c>
      <c r="C18" s="284" t="s">
        <v>193</v>
      </c>
      <c r="D18" s="262"/>
      <c r="E18" s="263" t="s">
        <v>83</v>
      </c>
      <c r="F18" s="267">
        <v>27579</v>
      </c>
      <c r="G18" s="265">
        <v>90523524</v>
      </c>
      <c r="H18" s="267"/>
      <c r="I18" s="266">
        <v>123747537.20999999</v>
      </c>
      <c r="K18" s="267"/>
      <c r="L18" s="268"/>
    </row>
    <row r="19" spans="2:12" x14ac:dyDescent="0.25">
      <c r="B19" s="250">
        <v>8</v>
      </c>
      <c r="C19" s="284" t="s">
        <v>197</v>
      </c>
      <c r="D19" s="262"/>
      <c r="E19" s="263" t="s">
        <v>87</v>
      </c>
      <c r="F19" s="267">
        <f>69+3</f>
        <v>72</v>
      </c>
      <c r="G19" s="265">
        <v>10097271</v>
      </c>
      <c r="I19" s="266">
        <v>12165842.199999999</v>
      </c>
      <c r="K19" s="267"/>
      <c r="L19" s="268"/>
    </row>
    <row r="20" spans="2:12" x14ac:dyDescent="0.25">
      <c r="B20" s="250">
        <v>9</v>
      </c>
      <c r="C20" s="284"/>
      <c r="D20" s="262"/>
      <c r="E20" s="263"/>
      <c r="F20" s="267"/>
      <c r="G20" s="265"/>
      <c r="I20" s="266"/>
      <c r="K20" s="267"/>
      <c r="L20" s="268"/>
    </row>
    <row r="21" spans="2:12" x14ac:dyDescent="0.25">
      <c r="B21" s="250">
        <v>10</v>
      </c>
      <c r="C21" s="247" t="str">
        <f>C14</f>
        <v>EOM</v>
      </c>
      <c r="D21" s="262"/>
      <c r="E21" s="263">
        <v>504</v>
      </c>
      <c r="G21" s="265">
        <v>1592933</v>
      </c>
      <c r="H21" s="267"/>
      <c r="I21" s="285">
        <v>2374361.67</v>
      </c>
      <c r="J21" s="267"/>
      <c r="K21" s="267"/>
      <c r="L21" s="268"/>
    </row>
    <row r="22" spans="2:12" x14ac:dyDescent="0.25">
      <c r="B22" s="250">
        <v>11</v>
      </c>
      <c r="C22" s="247" t="str">
        <f>C15</f>
        <v>LM</v>
      </c>
      <c r="D22" s="262"/>
      <c r="E22" s="263">
        <v>504</v>
      </c>
      <c r="G22" s="265">
        <v>-1299954</v>
      </c>
      <c r="H22" s="267"/>
      <c r="I22" s="285">
        <v>-1788760.89</v>
      </c>
      <c r="J22" s="267"/>
      <c r="K22" s="267"/>
      <c r="L22" s="268"/>
    </row>
    <row r="23" spans="2:12" x14ac:dyDescent="0.25">
      <c r="B23" s="250">
        <v>12</v>
      </c>
      <c r="C23" s="247" t="s">
        <v>194</v>
      </c>
      <c r="D23" s="262"/>
      <c r="E23" s="263">
        <v>511</v>
      </c>
      <c r="G23" s="265">
        <v>195051</v>
      </c>
      <c r="H23" s="267"/>
      <c r="I23" s="285">
        <v>250281.57</v>
      </c>
      <c r="J23" s="267"/>
      <c r="K23" s="267"/>
      <c r="L23" s="268"/>
    </row>
    <row r="24" spans="2:12" x14ac:dyDescent="0.25">
      <c r="B24" s="250">
        <v>13</v>
      </c>
      <c r="C24" s="247" t="s">
        <v>195</v>
      </c>
      <c r="D24" s="262"/>
      <c r="E24" s="263">
        <v>511</v>
      </c>
      <c r="G24" s="265">
        <v>-167353</v>
      </c>
      <c r="H24" s="267"/>
      <c r="I24" s="285">
        <v>-176241.16</v>
      </c>
      <c r="J24" s="267"/>
      <c r="K24" s="267"/>
      <c r="L24" s="268"/>
    </row>
    <row r="25" spans="2:12" x14ac:dyDescent="0.25">
      <c r="B25" s="250">
        <v>14</v>
      </c>
      <c r="C25" s="284" t="s">
        <v>198</v>
      </c>
      <c r="D25" s="262"/>
      <c r="E25" s="263"/>
      <c r="F25" s="267"/>
      <c r="G25" s="265">
        <v>0</v>
      </c>
      <c r="H25" s="267"/>
      <c r="I25" s="274"/>
      <c r="K25" s="267"/>
      <c r="L25" s="286"/>
    </row>
    <row r="26" spans="2:12" s="166" customFormat="1" x14ac:dyDescent="0.25">
      <c r="B26" s="250">
        <v>15</v>
      </c>
      <c r="C26" s="275" t="s">
        <v>199</v>
      </c>
      <c r="D26" s="287"/>
      <c r="E26" s="277"/>
      <c r="F26" s="278">
        <f>SUM(F18:F25)</f>
        <v>27651</v>
      </c>
      <c r="G26" s="279">
        <f>SUM(G18:G25)</f>
        <v>100941472</v>
      </c>
      <c r="H26" s="280"/>
      <c r="I26" s="281">
        <f>SUM(I18:I25)</f>
        <v>136573020.59999999</v>
      </c>
      <c r="J26" s="280"/>
      <c r="K26" s="280"/>
      <c r="L26" s="282"/>
    </row>
    <row r="27" spans="2:12" x14ac:dyDescent="0.25">
      <c r="B27" s="250">
        <v>16</v>
      </c>
      <c r="C27" s="257" t="s">
        <v>57</v>
      </c>
      <c r="D27" s="262"/>
      <c r="E27" s="263"/>
      <c r="F27" s="267"/>
      <c r="G27" s="265"/>
      <c r="H27" s="267"/>
      <c r="I27" s="266"/>
      <c r="K27" s="267"/>
      <c r="L27" s="286"/>
    </row>
    <row r="28" spans="2:12" x14ac:dyDescent="0.25">
      <c r="B28" s="250">
        <v>17</v>
      </c>
      <c r="C28" s="284" t="s">
        <v>193</v>
      </c>
      <c r="D28" s="262"/>
      <c r="E28" s="263" t="s">
        <v>85</v>
      </c>
      <c r="F28" s="267">
        <v>495</v>
      </c>
      <c r="G28" s="265">
        <v>11881224</v>
      </c>
      <c r="H28" s="267"/>
      <c r="I28" s="266">
        <v>14347313.25</v>
      </c>
      <c r="K28" s="267"/>
      <c r="L28" s="286"/>
    </row>
    <row r="29" spans="2:12" x14ac:dyDescent="0.25">
      <c r="B29" s="250">
        <v>18</v>
      </c>
      <c r="C29" s="284" t="s">
        <v>197</v>
      </c>
      <c r="D29" s="262"/>
      <c r="E29" s="263" t="s">
        <v>87</v>
      </c>
      <c r="F29" s="267">
        <v>27</v>
      </c>
      <c r="G29" s="265">
        <v>4596720</v>
      </c>
      <c r="I29" s="266">
        <v>5272343.55</v>
      </c>
      <c r="K29" s="267"/>
      <c r="L29" s="286"/>
    </row>
    <row r="30" spans="2:12" x14ac:dyDescent="0.25">
      <c r="B30" s="250">
        <v>19</v>
      </c>
      <c r="C30" s="247" t="str">
        <f>+C21</f>
        <v>EOM</v>
      </c>
      <c r="D30" s="262"/>
      <c r="E30" s="263" t="s">
        <v>85</v>
      </c>
      <c r="F30" s="267"/>
      <c r="G30" s="265"/>
      <c r="I30" s="266">
        <v>12936</v>
      </c>
      <c r="K30" s="267"/>
      <c r="L30" s="286"/>
    </row>
    <row r="31" spans="2:12" x14ac:dyDescent="0.25">
      <c r="B31" s="250">
        <v>20</v>
      </c>
      <c r="C31" s="251" t="str">
        <f>+C22</f>
        <v>LM</v>
      </c>
      <c r="D31" s="262"/>
      <c r="E31" s="263" t="s">
        <v>85</v>
      </c>
      <c r="F31" s="267"/>
      <c r="G31" s="288">
        <v>0</v>
      </c>
      <c r="I31" s="266">
        <v>-12936</v>
      </c>
      <c r="K31" s="267"/>
      <c r="L31" s="286"/>
    </row>
    <row r="32" spans="2:12" s="166" customFormat="1" x14ac:dyDescent="0.25">
      <c r="B32" s="250">
        <v>21</v>
      </c>
      <c r="C32" s="275" t="s">
        <v>200</v>
      </c>
      <c r="D32" s="287"/>
      <c r="E32" s="277"/>
      <c r="F32" s="279">
        <f>SUM(F28:F31)</f>
        <v>522</v>
      </c>
      <c r="G32" s="279">
        <f>SUM(G28:G31)</f>
        <v>16477944</v>
      </c>
      <c r="H32" s="280"/>
      <c r="I32" s="289">
        <f>SUM(I28:I31)</f>
        <v>19619656.800000001</v>
      </c>
      <c r="J32" s="280"/>
      <c r="K32" s="280"/>
      <c r="L32" s="282"/>
    </row>
    <row r="33" spans="2:12" x14ac:dyDescent="0.25">
      <c r="B33" s="250">
        <v>22</v>
      </c>
      <c r="C33" s="257" t="s">
        <v>201</v>
      </c>
      <c r="D33" s="262"/>
      <c r="E33" s="263"/>
      <c r="F33" s="267"/>
      <c r="G33" s="265"/>
      <c r="H33" s="267"/>
      <c r="I33" s="266"/>
      <c r="K33" s="267"/>
      <c r="L33" s="286"/>
    </row>
    <row r="34" spans="2:12" x14ac:dyDescent="0.25">
      <c r="B34" s="250">
        <v>23</v>
      </c>
      <c r="C34" s="284" t="s">
        <v>202</v>
      </c>
      <c r="D34" s="262"/>
      <c r="E34" s="263" t="s">
        <v>89</v>
      </c>
      <c r="F34" s="267">
        <v>7</v>
      </c>
      <c r="G34" s="265">
        <v>2138948</v>
      </c>
      <c r="H34" s="267"/>
      <c r="I34" s="266">
        <v>2156758</v>
      </c>
      <c r="K34" s="267"/>
      <c r="L34" s="286"/>
    </row>
    <row r="35" spans="2:12" x14ac:dyDescent="0.25">
      <c r="B35" s="250">
        <v>24</v>
      </c>
      <c r="C35" s="284" t="str">
        <f>+C30</f>
        <v>EOM</v>
      </c>
      <c r="D35" s="262"/>
      <c r="E35" s="263"/>
      <c r="F35" s="267"/>
      <c r="G35" s="265">
        <v>35751</v>
      </c>
      <c r="I35" s="266">
        <v>39723.18</v>
      </c>
      <c r="K35" s="267"/>
      <c r="L35" s="286"/>
    </row>
    <row r="36" spans="2:12" x14ac:dyDescent="0.25">
      <c r="B36" s="250">
        <v>25</v>
      </c>
      <c r="C36" s="284" t="str">
        <f>+C31</f>
        <v>LM</v>
      </c>
      <c r="D36" s="262"/>
      <c r="E36" s="263"/>
      <c r="F36" s="267"/>
      <c r="G36" s="265">
        <v>-86202</v>
      </c>
      <c r="I36" s="266">
        <v>-86675.02</v>
      </c>
      <c r="K36" s="267"/>
      <c r="L36" s="286"/>
    </row>
    <row r="37" spans="2:12" x14ac:dyDescent="0.25">
      <c r="B37" s="250">
        <v>26</v>
      </c>
      <c r="C37" s="284"/>
      <c r="D37" s="262"/>
      <c r="E37" s="263"/>
      <c r="F37" s="267"/>
      <c r="G37" s="265"/>
      <c r="I37" s="266"/>
      <c r="K37" s="267"/>
      <c r="L37" s="286"/>
    </row>
    <row r="38" spans="2:12" x14ac:dyDescent="0.25">
      <c r="B38" s="250">
        <v>27</v>
      </c>
      <c r="C38" s="284"/>
      <c r="D38" s="262"/>
      <c r="E38" s="263"/>
      <c r="F38" s="267"/>
      <c r="G38" s="265"/>
      <c r="I38" s="266"/>
      <c r="K38" s="267"/>
      <c r="L38" s="286"/>
    </row>
    <row r="39" spans="2:12" s="166" customFormat="1" x14ac:dyDescent="0.25">
      <c r="B39" s="250">
        <v>28</v>
      </c>
      <c r="C39" s="254" t="s">
        <v>203</v>
      </c>
      <c r="D39" s="287"/>
      <c r="E39" s="277"/>
      <c r="F39" s="278">
        <f>SUM(F34:F34)</f>
        <v>7</v>
      </c>
      <c r="G39" s="279">
        <f>SUM(G34:G36)</f>
        <v>2088497</v>
      </c>
      <c r="H39" s="280"/>
      <c r="I39" s="281">
        <f>+I34+I35+I36</f>
        <v>2109806.16</v>
      </c>
      <c r="J39" s="280"/>
      <c r="K39" s="280"/>
      <c r="L39" s="282"/>
    </row>
    <row r="40" spans="2:12" s="166" customFormat="1" x14ac:dyDescent="0.25">
      <c r="B40" s="250">
        <v>29</v>
      </c>
      <c r="C40" s="290" t="s">
        <v>204</v>
      </c>
      <c r="E40" s="291"/>
      <c r="F40" s="280">
        <f>+F39+F32+F26+F16</f>
        <v>232369</v>
      </c>
      <c r="G40" s="279">
        <f>G16+G26+G32+G39</f>
        <v>242001179</v>
      </c>
      <c r="H40" s="280"/>
      <c r="I40" s="281">
        <f>I16+I26+I32+I39</f>
        <v>342572608.32000005</v>
      </c>
      <c r="J40" s="280"/>
      <c r="K40" s="280"/>
      <c r="L40" s="282"/>
    </row>
    <row r="41" spans="2:12" x14ac:dyDescent="0.25">
      <c r="B41" s="253"/>
      <c r="C41" s="254" t="s">
        <v>205</v>
      </c>
      <c r="D41" s="255"/>
      <c r="E41" s="253"/>
      <c r="F41" s="256"/>
      <c r="G41" s="256"/>
      <c r="H41" s="267"/>
      <c r="I41" s="163"/>
      <c r="K41" s="267"/>
      <c r="L41" s="286"/>
    </row>
    <row r="42" spans="2:12" x14ac:dyDescent="0.25">
      <c r="B42" s="248">
        <v>30</v>
      </c>
      <c r="C42" s="251"/>
      <c r="D42" s="262"/>
      <c r="E42" s="263"/>
      <c r="F42" s="267"/>
      <c r="G42" s="265"/>
      <c r="H42" s="292"/>
      <c r="I42" s="293"/>
      <c r="J42" s="251"/>
      <c r="K42" s="267"/>
      <c r="L42" s="286"/>
    </row>
    <row r="43" spans="2:12" x14ac:dyDescent="0.25">
      <c r="B43" s="250">
        <v>31</v>
      </c>
      <c r="C43" s="294" t="s">
        <v>206</v>
      </c>
      <c r="D43" s="262"/>
      <c r="E43" s="263"/>
      <c r="F43" s="267"/>
      <c r="G43" s="265"/>
      <c r="H43" s="292"/>
      <c r="I43" s="295"/>
      <c r="K43" s="267"/>
      <c r="L43" s="286"/>
    </row>
    <row r="44" spans="2:12" x14ac:dyDescent="0.25">
      <c r="B44" s="250">
        <v>32</v>
      </c>
      <c r="C44" s="284" t="s">
        <v>202</v>
      </c>
      <c r="D44" s="262"/>
      <c r="E44" s="263" t="s">
        <v>207</v>
      </c>
      <c r="F44" s="267">
        <v>192</v>
      </c>
      <c r="G44" s="265">
        <v>940213064</v>
      </c>
      <c r="H44" s="267"/>
      <c r="I44" s="266">
        <v>30374009</v>
      </c>
      <c r="J44" s="251"/>
      <c r="K44" s="267"/>
      <c r="L44" s="286"/>
    </row>
    <row r="45" spans="2:12" x14ac:dyDescent="0.25">
      <c r="B45" s="250">
        <v>33</v>
      </c>
      <c r="C45" s="284" t="s">
        <v>208</v>
      </c>
      <c r="D45" s="262"/>
      <c r="E45" s="263" t="s">
        <v>209</v>
      </c>
      <c r="F45" s="296">
        <v>7</v>
      </c>
      <c r="G45" s="273">
        <v>193605986</v>
      </c>
      <c r="I45" s="274">
        <v>3641422.7</v>
      </c>
      <c r="K45" s="267"/>
      <c r="L45" s="286"/>
    </row>
    <row r="46" spans="2:12" s="166" customFormat="1" x14ac:dyDescent="0.25">
      <c r="B46" s="250">
        <v>34</v>
      </c>
      <c r="C46" s="297" t="s">
        <v>210</v>
      </c>
      <c r="D46" s="287"/>
      <c r="E46" s="291"/>
      <c r="F46" s="298">
        <f>SUM(F42:F45)</f>
        <v>199</v>
      </c>
      <c r="G46" s="299">
        <f>SUM(G42:G45)</f>
        <v>1133819050</v>
      </c>
      <c r="I46" s="300">
        <f>SUM(I42:I45)</f>
        <v>34015431.700000003</v>
      </c>
      <c r="L46" s="282"/>
    </row>
    <row r="47" spans="2:12" s="166" customFormat="1" x14ac:dyDescent="0.25">
      <c r="B47" s="252">
        <v>35</v>
      </c>
      <c r="C47" s="297" t="s">
        <v>211</v>
      </c>
      <c r="D47" s="301"/>
      <c r="E47" s="291"/>
      <c r="F47" s="298">
        <f>+F46+F40</f>
        <v>232568</v>
      </c>
      <c r="G47" s="299">
        <f>G40+G46</f>
        <v>1375820229</v>
      </c>
      <c r="H47" s="280"/>
      <c r="I47" s="281">
        <f>I40+I46</f>
        <v>376588040.02000004</v>
      </c>
      <c r="J47" s="280"/>
      <c r="K47" s="280"/>
      <c r="L47" s="282"/>
    </row>
    <row r="48" spans="2:12" x14ac:dyDescent="0.25">
      <c r="B48" s="302"/>
      <c r="C48" s="245"/>
      <c r="D48" s="251"/>
      <c r="F48" s="251"/>
      <c r="G48" s="251"/>
      <c r="H48" s="251"/>
      <c r="I48" s="303"/>
    </row>
    <row r="49" spans="2:10" x14ac:dyDescent="0.25">
      <c r="B49" s="302"/>
      <c r="C49" s="245"/>
      <c r="D49" s="245"/>
      <c r="E49" s="302"/>
      <c r="F49" s="304"/>
      <c r="G49" s="304"/>
      <c r="H49" s="304"/>
      <c r="I49" s="305"/>
      <c r="J49" s="166"/>
    </row>
  </sheetData>
  <mergeCells count="4">
    <mergeCell ref="C1:J1"/>
    <mergeCell ref="C2:J2"/>
    <mergeCell ref="C3:J3"/>
    <mergeCell ref="C4:J4"/>
  </mergeCells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9394026887F843B06181C08E82B00C" ma:contentTypeVersion="16" ma:contentTypeDescription="" ma:contentTypeScope="" ma:versionID="7892ad337c1a25367729f37674e1c3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2024-09-16T07:00:00+00:00</OpenedDate>
    <SignificantOrder xmlns="dc463f71-b30c-4ab2-9473-d307f9d35888">false</SignificantOrder>
    <Date1 xmlns="dc463f71-b30c-4ab2-9473-d307f9d35888">2024-09-16T07:00:00+00:00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240697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693401-A0AC-40A8-A444-C1B4A4F8BC46}"/>
</file>

<file path=customXml/itemProps2.xml><?xml version="1.0" encoding="utf-8"?>
<ds:datastoreItem xmlns:ds="http://schemas.openxmlformats.org/officeDocument/2006/customXml" ds:itemID="{42CEE312-33A6-4A05-BBF6-F6EB8B3575FB}"/>
</file>

<file path=customXml/itemProps3.xml><?xml version="1.0" encoding="utf-8"?>
<ds:datastoreItem xmlns:ds="http://schemas.openxmlformats.org/officeDocument/2006/customXml" ds:itemID="{7F7DA3F3-D030-4C46-9C07-C3E0B8F33312}"/>
</file>

<file path=customXml/itemProps4.xml><?xml version="1.0" encoding="utf-8"?>
<ds:datastoreItem xmlns:ds="http://schemas.openxmlformats.org/officeDocument/2006/customXml" ds:itemID="{22ECDD17-B391-4D65-AE1A-5BF9B8521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CPA Table of Contents</vt:lpstr>
      <vt:lpstr>CPA Summary of Def. Accts.</vt:lpstr>
      <vt:lpstr>CPA Proposed Rate 596</vt:lpstr>
      <vt:lpstr>CPA Amount of Change</vt:lpstr>
      <vt:lpstr>Effects of CPA Avg. Bill</vt:lpstr>
      <vt:lpstr>Workpapers---&gt;</vt:lpstr>
      <vt:lpstr>Balances at 7-31-2024</vt:lpstr>
      <vt:lpstr>Int calc thru 10-31-2024</vt:lpstr>
      <vt:lpstr>Amort Calc thru 10-31-2024</vt:lpstr>
      <vt:lpstr>EstimatedBalances</vt:lpstr>
      <vt:lpstr> Int during Amort</vt:lpstr>
      <vt:lpstr>Test Period Volumes</vt:lpstr>
      <vt:lpstr>Bills-Therms-Revs</vt:lpstr>
      <vt:lpstr>'Balances at 7-31-2024'!BalancesJuly</vt:lpstr>
      <vt:lpstr>'Balances at 7-31-2024'!EstimatedBalances</vt:lpstr>
      <vt:lpstr>'Balances at 7-31-2024'!InterestDuringAmort</vt:lpstr>
      <vt:lpstr>' Int during Amort'!Print_Area</vt:lpstr>
      <vt:lpstr>'Bills-Therms-Revs'!Print_Area</vt:lpstr>
      <vt:lpstr>'CPA Proposed Rate 596'!Print_Area</vt:lpstr>
      <vt:lpstr>'Effects of CPA Avg. Bill'!Print_Area</vt:lpstr>
      <vt:lpstr>'Test Period Volumes'!Print_Area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Gresham, Maryalice</dc:creator>
  <cp:lastModifiedBy>Gresham, Maryalice</cp:lastModifiedBy>
  <dcterms:created xsi:type="dcterms:W3CDTF">2024-08-16T15:14:20Z</dcterms:created>
  <dcterms:modified xsi:type="dcterms:W3CDTF">2024-09-12T17:19:11Z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2024-08-16T15:19:16Z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954d7dda-cc69-44b4-b636-61e04ee9302d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0x0101006E56B4D1795A2E4DB2F0B01679ED314A000B9394026887F843B06181C08E82B00C</vt:lpwstr>
  </property>
  <property fmtid="{D5CDD505-2E9C-101B-9397-08002B2CF9AE}" pid="10" name="_docset_NoMedatataSyncRequired">
    <vt:lpwstr>False</vt:lpwstr>
  </property>
</Properties>
</file>