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https://stateofwa-my.sharepoint.com/personal/avery_booth_utc_wa_gov/Documents/Local Computer Files/Documents/"/>
    </mc:Choice>
  </mc:AlternateContent>
  <xr:revisionPtr revIDLastSave="0" documentId="8_{42872581-89B1-4D93-B549-37C2CA1D9EA7}" xr6:coauthVersionLast="47" xr6:coauthVersionMax="47" xr10:uidLastSave="{00000000-0000-0000-0000-000000000000}"/>
  <bookViews>
    <workbookView xWindow="-28920" yWindow="-120" windowWidth="29040" windowHeight="15840" tabRatio="765" xr2:uid="{00000000-000D-0000-FFFF-FFFF00000000}"/>
  </bookViews>
  <sheets>
    <sheet name="Proposed ResEx Rate" sheetId="6" r:id="rId1"/>
    <sheet name="Table" sheetId="18" r:id="rId2"/>
    <sheet name="Washington ResX Balances" sheetId="5" r:id="rId3"/>
    <sheet name="Projected Benefits" sheetId="3" r:id="rId4"/>
    <sheet name="Projected kWhs" sheetId="1" r:id="rId5"/>
    <sheet name="July Unbilled" sheetId="12" r:id="rId6"/>
    <sheet name="Load Calculation" sheetId="11" r:id="rId7"/>
    <sheet name="Conversion Factor" sheetId="14" r:id="rId8"/>
  </sheets>
  <definedNames>
    <definedName name="Base1_Billing2" localSheetId="7">#REF!</definedName>
    <definedName name="Base1_Billing2" localSheetId="1">#REF!</definedName>
    <definedName name="Base1_Billing2">#REF!</definedName>
    <definedName name="_xlnm.Print_Area" localSheetId="3">'Projected Benefits'!$A$1:$L$24</definedName>
    <definedName name="_xlnm.Print_Area" localSheetId="1">Table!$A$1:$I$15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6" i="6" l="1"/>
  <c r="G36" i="6" s="1"/>
  <c r="Q12" i="1"/>
  <c r="Q13" i="1"/>
  <c r="Q14" i="1"/>
  <c r="Q15" i="1"/>
  <c r="Q11" i="1"/>
  <c r="P15" i="1"/>
  <c r="P14" i="1"/>
  <c r="P13" i="1"/>
  <c r="P12" i="1"/>
  <c r="P11" i="1"/>
  <c r="Q16" i="1" l="1"/>
  <c r="F33" i="5" l="1"/>
  <c r="F27" i="5"/>
  <c r="E10" i="18" l="1"/>
  <c r="D9" i="18"/>
  <c r="F5" i="18"/>
  <c r="F10" i="18" s="1"/>
  <c r="F16" i="5"/>
  <c r="D10" i="18" l="1"/>
  <c r="H10" i="18" s="1"/>
  <c r="H14" i="18" s="1"/>
  <c r="D9" i="3" l="1"/>
  <c r="D16" i="3"/>
  <c r="D17" i="3"/>
  <c r="F9" i="3"/>
  <c r="F7" i="3"/>
  <c r="F32" i="5" l="1"/>
  <c r="F31" i="5"/>
  <c r="F34" i="5"/>
  <c r="F25" i="5"/>
  <c r="F10" i="5"/>
  <c r="F14" i="5" s="1"/>
  <c r="B85" i="1" l="1"/>
  <c r="D18" i="1" l="1"/>
  <c r="C18" i="1"/>
  <c r="B18" i="1"/>
  <c r="C25" i="1"/>
  <c r="G32" i="6" l="1"/>
  <c r="G31" i="6"/>
  <c r="G26" i="6"/>
  <c r="G33" i="6" l="1"/>
  <c r="G34" i="6" s="1"/>
  <c r="C67" i="1"/>
  <c r="D67" i="1" s="1"/>
  <c r="B23" i="1" s="1"/>
  <c r="B61" i="1"/>
  <c r="B64" i="1"/>
  <c r="H17" i="11" l="1"/>
  <c r="H13" i="11"/>
  <c r="B9" i="1" l="1"/>
  <c r="C9" i="1"/>
  <c r="D9" i="1"/>
  <c r="E9" i="1"/>
  <c r="F9" i="1"/>
  <c r="G9" i="1"/>
  <c r="H9" i="1"/>
  <c r="I9" i="1"/>
  <c r="J9" i="1"/>
  <c r="K9" i="1"/>
  <c r="L9" i="1"/>
  <c r="M9" i="1"/>
  <c r="I19" i="11" l="1"/>
  <c r="C14" i="12" l="1"/>
  <c r="B27" i="1" l="1"/>
  <c r="F19" i="14" l="1"/>
  <c r="F21" i="14" s="1"/>
  <c r="N47" i="1" l="1"/>
  <c r="N49" i="1"/>
  <c r="K17" i="11" l="1"/>
  <c r="K14" i="11"/>
  <c r="D7" i="11"/>
  <c r="D21" i="12" l="1"/>
  <c r="D23" i="1" l="1"/>
  <c r="H15" i="1"/>
  <c r="C23" i="1"/>
  <c r="I15" i="1"/>
  <c r="L15" i="1"/>
  <c r="B15" i="1"/>
  <c r="J15" i="1"/>
  <c r="K15" i="1"/>
  <c r="C15" i="1"/>
  <c r="G15" i="1"/>
  <c r="D15" i="1"/>
  <c r="E15" i="1"/>
  <c r="M15" i="1"/>
  <c r="F15" i="1"/>
  <c r="G13" i="6"/>
  <c r="K7" i="11" l="1"/>
  <c r="D88" i="1" l="1"/>
  <c r="D22" i="1" s="1"/>
  <c r="C88" i="1"/>
  <c r="C22" i="1" s="1"/>
  <c r="B88" i="1"/>
  <c r="B22" i="1" s="1"/>
  <c r="D87" i="1"/>
  <c r="D21" i="1" s="1"/>
  <c r="C87" i="1"/>
  <c r="C21" i="1" s="1"/>
  <c r="B87" i="1"/>
  <c r="B21" i="1" s="1"/>
  <c r="D86" i="1"/>
  <c r="D20" i="1" s="1"/>
  <c r="C86" i="1"/>
  <c r="C20" i="1" s="1"/>
  <c r="B86" i="1"/>
  <c r="B20" i="1" s="1"/>
  <c r="D85" i="1"/>
  <c r="D19" i="1" s="1"/>
  <c r="C85" i="1"/>
  <c r="C19" i="1" s="1"/>
  <c r="B19" i="1"/>
  <c r="B24" i="1" s="1"/>
  <c r="B26" i="1" s="1"/>
  <c r="B28" i="1" s="1"/>
  <c r="C62" i="1"/>
  <c r="C12" i="1" s="1"/>
  <c r="D62" i="1"/>
  <c r="D12" i="1" s="1"/>
  <c r="E62" i="1"/>
  <c r="E12" i="1" s="1"/>
  <c r="F62" i="1"/>
  <c r="F12" i="1" s="1"/>
  <c r="G62" i="1"/>
  <c r="G12" i="1" s="1"/>
  <c r="H62" i="1"/>
  <c r="H12" i="1" s="1"/>
  <c r="I62" i="1"/>
  <c r="I12" i="1" s="1"/>
  <c r="J62" i="1"/>
  <c r="J12" i="1" s="1"/>
  <c r="K62" i="1"/>
  <c r="K12" i="1" s="1"/>
  <c r="L62" i="1"/>
  <c r="L12" i="1" s="1"/>
  <c r="M62" i="1"/>
  <c r="M12" i="1" s="1"/>
  <c r="C63" i="1"/>
  <c r="C13" i="1" s="1"/>
  <c r="D63" i="1"/>
  <c r="D13" i="1" s="1"/>
  <c r="E63" i="1"/>
  <c r="F63" i="1"/>
  <c r="F13" i="1" s="1"/>
  <c r="G63" i="1"/>
  <c r="G13" i="1" s="1"/>
  <c r="H63" i="1"/>
  <c r="H13" i="1" s="1"/>
  <c r="I63" i="1"/>
  <c r="I13" i="1" s="1"/>
  <c r="J63" i="1"/>
  <c r="J13" i="1" s="1"/>
  <c r="K63" i="1"/>
  <c r="K13" i="1" s="1"/>
  <c r="L63" i="1"/>
  <c r="L13" i="1" s="1"/>
  <c r="M63" i="1"/>
  <c r="M13" i="1" s="1"/>
  <c r="C64" i="1"/>
  <c r="C14" i="1" s="1"/>
  <c r="D64" i="1"/>
  <c r="D14" i="1" s="1"/>
  <c r="E64" i="1"/>
  <c r="E14" i="1" s="1"/>
  <c r="F64" i="1"/>
  <c r="F14" i="1" s="1"/>
  <c r="G64" i="1"/>
  <c r="G14" i="1" s="1"/>
  <c r="H64" i="1"/>
  <c r="H14" i="1" s="1"/>
  <c r="I64" i="1"/>
  <c r="I14" i="1" s="1"/>
  <c r="J64" i="1"/>
  <c r="J14" i="1" s="1"/>
  <c r="K64" i="1"/>
  <c r="K14" i="1" s="1"/>
  <c r="L64" i="1"/>
  <c r="L14" i="1" s="1"/>
  <c r="M64" i="1"/>
  <c r="M14" i="1" s="1"/>
  <c r="B14" i="1"/>
  <c r="B63" i="1"/>
  <c r="B13" i="1" s="1"/>
  <c r="B62" i="1"/>
  <c r="B12" i="1" s="1"/>
  <c r="C61" i="1"/>
  <c r="C11" i="1" s="1"/>
  <c r="D61" i="1"/>
  <c r="D11" i="1" s="1"/>
  <c r="E61" i="1"/>
  <c r="E11" i="1" s="1"/>
  <c r="F61" i="1"/>
  <c r="F11" i="1" s="1"/>
  <c r="G61" i="1"/>
  <c r="G11" i="1" s="1"/>
  <c r="H61" i="1"/>
  <c r="H11" i="1" s="1"/>
  <c r="I61" i="1"/>
  <c r="I11" i="1" s="1"/>
  <c r="J61" i="1"/>
  <c r="J11" i="1" s="1"/>
  <c r="K61" i="1"/>
  <c r="K11" i="1" s="1"/>
  <c r="L61" i="1"/>
  <c r="L11" i="1" s="1"/>
  <c r="M61" i="1"/>
  <c r="M11" i="1" s="1"/>
  <c r="B11" i="1"/>
  <c r="N63" i="1" l="1"/>
  <c r="E13" i="1"/>
  <c r="C16" i="1"/>
  <c r="N61" i="1"/>
  <c r="N64" i="1"/>
  <c r="N62" i="1"/>
  <c r="N58" i="1"/>
  <c r="N57" i="1"/>
  <c r="N56" i="1"/>
  <c r="N55" i="1"/>
  <c r="N53" i="1"/>
  <c r="N52" i="1"/>
  <c r="N50" i="1"/>
  <c r="N59" i="1" l="1"/>
  <c r="N14" i="1"/>
  <c r="C18" i="12" l="1"/>
  <c r="C17" i="12"/>
  <c r="C16" i="12"/>
  <c r="C15" i="12"/>
  <c r="B20" i="12" l="1"/>
  <c r="D18" i="12"/>
  <c r="D17" i="12"/>
  <c r="D16" i="12"/>
  <c r="D15" i="12"/>
  <c r="D14" i="12"/>
  <c r="D20" i="12" l="1"/>
  <c r="N12" i="1" l="1"/>
  <c r="N13" i="1"/>
  <c r="N15" i="1"/>
  <c r="G7" i="11"/>
  <c r="L7" i="11"/>
  <c r="D8" i="11"/>
  <c r="G8" i="11"/>
  <c r="H8" i="11" s="1"/>
  <c r="J8" i="11" s="1"/>
  <c r="K8" i="11"/>
  <c r="L8" i="11"/>
  <c r="D9" i="11"/>
  <c r="G9" i="11"/>
  <c r="K9" i="11"/>
  <c r="L9" i="11"/>
  <c r="D10" i="11"/>
  <c r="G10" i="11"/>
  <c r="H10" i="11" s="1"/>
  <c r="J10" i="11" s="1"/>
  <c r="K10" i="11"/>
  <c r="L10" i="11"/>
  <c r="D11" i="11"/>
  <c r="K11" i="11"/>
  <c r="F19" i="11"/>
  <c r="D12" i="11"/>
  <c r="G12" i="11"/>
  <c r="K12" i="11"/>
  <c r="L12" i="11"/>
  <c r="D13" i="11"/>
  <c r="G13" i="11"/>
  <c r="J13" i="11" s="1"/>
  <c r="K13" i="11"/>
  <c r="L13" i="11"/>
  <c r="D14" i="11"/>
  <c r="H14" i="11" s="1"/>
  <c r="J14" i="11" s="1"/>
  <c r="G14" i="11"/>
  <c r="L14" i="11"/>
  <c r="D15" i="11"/>
  <c r="H15" i="11" s="1"/>
  <c r="G15" i="11"/>
  <c r="K15" i="11"/>
  <c r="L15" i="11"/>
  <c r="D16" i="11"/>
  <c r="H16" i="11" s="1"/>
  <c r="G16" i="11"/>
  <c r="K16" i="11"/>
  <c r="L16" i="11"/>
  <c r="D17" i="11"/>
  <c r="G17" i="11"/>
  <c r="L17" i="11"/>
  <c r="C19" i="11"/>
  <c r="G18" i="11"/>
  <c r="M16" i="11" l="1"/>
  <c r="H9" i="11"/>
  <c r="J9" i="11" s="1"/>
  <c r="M17" i="11"/>
  <c r="M13" i="11"/>
  <c r="H12" i="11"/>
  <c r="J12" i="11" s="1"/>
  <c r="J17" i="11"/>
  <c r="M9" i="11"/>
  <c r="M8" i="11"/>
  <c r="E19" i="11"/>
  <c r="D18" i="11"/>
  <c r="M15" i="11"/>
  <c r="M14" i="11"/>
  <c r="L18" i="11"/>
  <c r="J16" i="11"/>
  <c r="J15" i="11"/>
  <c r="M12" i="11"/>
  <c r="M10" i="11"/>
  <c r="H7" i="11"/>
  <c r="L11" i="11"/>
  <c r="M11" i="11" s="1"/>
  <c r="G11" i="11"/>
  <c r="H11" i="11" s="1"/>
  <c r="J11" i="11" s="1"/>
  <c r="B19" i="11"/>
  <c r="K18" i="11"/>
  <c r="D19" i="11" l="1"/>
  <c r="H18" i="11"/>
  <c r="J18" i="11" s="1"/>
  <c r="M18" i="11"/>
  <c r="G19" i="11"/>
  <c r="L19" i="11"/>
  <c r="F24" i="11" s="1"/>
  <c r="D7" i="3" s="1"/>
  <c r="K19" i="11"/>
  <c r="E24" i="11" s="1"/>
  <c r="D8" i="3" s="1"/>
  <c r="M7" i="11"/>
  <c r="J7" i="11"/>
  <c r="J19" i="11" s="1"/>
  <c r="H19" i="11"/>
  <c r="M19" i="11" l="1"/>
  <c r="K20" i="11" s="1"/>
  <c r="L20" i="11" l="1"/>
  <c r="M20" i="11"/>
  <c r="A19" i="1"/>
  <c r="A20" i="1"/>
  <c r="A21" i="1"/>
  <c r="A22" i="1"/>
  <c r="A23" i="1"/>
  <c r="A24" i="1"/>
  <c r="D25" i="1"/>
  <c r="D14" i="3" l="1"/>
  <c r="E7" i="3" l="1"/>
  <c r="E8" i="3"/>
  <c r="F8" i="3" l="1"/>
  <c r="E36" i="6"/>
  <c r="G7" i="6" l="1"/>
  <c r="E9" i="3"/>
  <c r="H16" i="1" l="1"/>
  <c r="B16" i="1"/>
  <c r="K16" i="1"/>
  <c r="D16" i="1"/>
  <c r="M16" i="1"/>
  <c r="L16" i="1"/>
  <c r="J16" i="1"/>
  <c r="N11" i="1"/>
  <c r="N16" i="1" s="1"/>
  <c r="G16" i="1"/>
  <c r="I16" i="1"/>
  <c r="F16" i="1"/>
  <c r="E16" i="1"/>
  <c r="G17" i="6" l="1"/>
  <c r="D24" i="1"/>
  <c r="D26" i="1" s="1"/>
  <c r="C24" i="1"/>
  <c r="C26" i="1" s="1"/>
  <c r="D22" i="12" l="1"/>
  <c r="D27" i="1"/>
  <c r="D28" i="1" s="1"/>
  <c r="F21" i="5" l="1"/>
  <c r="F18" i="5"/>
  <c r="F19" i="5" s="1"/>
  <c r="F22" i="5" s="1"/>
  <c r="C27" i="1"/>
  <c r="C28" i="1" s="1"/>
  <c r="F17" i="5" s="1"/>
  <c r="F23" i="5" l="1"/>
  <c r="F26" i="5" l="1"/>
  <c r="F35" i="5" s="1"/>
  <c r="F36" i="5" s="1"/>
  <c r="G9" i="6" s="1"/>
  <c r="G11" i="6" s="1"/>
  <c r="G15" i="6" s="1"/>
  <c r="G19" i="6" s="1"/>
  <c r="G25" i="6" s="1"/>
  <c r="G21" i="6" l="1"/>
  <c r="G27" i="6"/>
  <c r="G38" i="6" l="1"/>
  <c r="C38" i="6"/>
  <c r="C36" i="6"/>
</calcChain>
</file>

<file path=xl/sharedStrings.xml><?xml version="1.0" encoding="utf-8"?>
<sst xmlns="http://schemas.openxmlformats.org/spreadsheetml/2006/main" count="192" uniqueCount="130">
  <si>
    <t>Total</t>
  </si>
  <si>
    <t>November</t>
  </si>
  <si>
    <t>Avista Utilities</t>
  </si>
  <si>
    <t>Percent</t>
  </si>
  <si>
    <t>Rate</t>
  </si>
  <si>
    <t>Revenue</t>
  </si>
  <si>
    <t>CF</t>
  </si>
  <si>
    <t>Amort</t>
  </si>
  <si>
    <t>Projected Kilowatt-hours</t>
  </si>
  <si>
    <t>$ (000's)</t>
  </si>
  <si>
    <t>and Residential Exchange Amortization</t>
  </si>
  <si>
    <t>Purchase at ASC</t>
  </si>
  <si>
    <t>Sale at PF Exchange Rate</t>
  </si>
  <si>
    <t>WA Credit Amount</t>
  </si>
  <si>
    <t>ID Credit Amount</t>
  </si>
  <si>
    <t xml:space="preserve">   Total</t>
  </si>
  <si>
    <t>Avista Corporation</t>
  </si>
  <si>
    <t>Actual and Projected</t>
  </si>
  <si>
    <t>Balance</t>
  </si>
  <si>
    <t>May credit received in July</t>
  </si>
  <si>
    <t>Amortization</t>
  </si>
  <si>
    <t>Interest</t>
  </si>
  <si>
    <t>June credit received in August</t>
  </si>
  <si>
    <t>July credit received in September</t>
  </si>
  <si>
    <t>(Actual)</t>
  </si>
  <si>
    <t>(Projected)</t>
  </si>
  <si>
    <t>Proposed Rate</t>
  </si>
  <si>
    <t>Check</t>
  </si>
  <si>
    <t>Credits to be received</t>
  </si>
  <si>
    <t>Net benefit for rate adjustment</t>
  </si>
  <si>
    <t>Revenue requirement</t>
  </si>
  <si>
    <t>Proposed rate</t>
  </si>
  <si>
    <t>Rate Impact</t>
  </si>
  <si>
    <t>Proposed rate credit above</t>
  </si>
  <si>
    <t>Existing rate credit</t>
  </si>
  <si>
    <t xml:space="preserve">   Difference</t>
  </si>
  <si>
    <t>Basic charge</t>
  </si>
  <si>
    <t xml:space="preserve">   Rounded</t>
  </si>
  <si>
    <t>April credit received in June</t>
  </si>
  <si>
    <t>Projected Residential Exchange Program Benefits</t>
  </si>
  <si>
    <t>October</t>
  </si>
  <si>
    <t>Credit</t>
  </si>
  <si>
    <t xml:space="preserve">Avista Corp. </t>
  </si>
  <si>
    <t>BPA Residential Exchange Load Calculation</t>
  </si>
  <si>
    <t>Average</t>
  </si>
  <si>
    <t xml:space="preserve">Total </t>
  </si>
  <si>
    <t>WA</t>
  </si>
  <si>
    <t>ID</t>
  </si>
  <si>
    <t>August</t>
  </si>
  <si>
    <t>September</t>
  </si>
  <si>
    <t>December</t>
  </si>
  <si>
    <t>Projected Loads</t>
  </si>
  <si>
    <t>Total Credit</t>
  </si>
  <si>
    <t>Conversion factor</t>
  </si>
  <si>
    <t>Residential Exchange - State of Washington</t>
  </si>
  <si>
    <t>Washington Residential Exchange Account</t>
  </si>
  <si>
    <t>WA001</t>
  </si>
  <si>
    <t>WA012</t>
  </si>
  <si>
    <t>WA022</t>
  </si>
  <si>
    <t>WA032</t>
  </si>
  <si>
    <t>WA048</t>
  </si>
  <si>
    <t>State of Washington</t>
  </si>
  <si>
    <t>KWH (1)</t>
  </si>
  <si>
    <t>First 800 kWh</t>
  </si>
  <si>
    <t>Over 800 kWh</t>
  </si>
  <si>
    <t>CLEG ADJUSTMENTS</t>
  </si>
  <si>
    <t>July</t>
  </si>
  <si>
    <t>June</t>
  </si>
  <si>
    <t>May</t>
  </si>
  <si>
    <t>April</t>
  </si>
  <si>
    <t>March</t>
  </si>
  <si>
    <t>February</t>
  </si>
  <si>
    <t>January</t>
  </si>
  <si>
    <t>Percent rate</t>
  </si>
  <si>
    <t>AVISTA CORPORATION</t>
  </si>
  <si>
    <t>RESIDENTIAL &amp; FARM ENERGY RATE ADJUSTMENT CREDIT</t>
  </si>
  <si>
    <t>Credit Rate</t>
  </si>
  <si>
    <t>On/After</t>
  </si>
  <si>
    <t>Schedule</t>
  </si>
  <si>
    <t>kWh</t>
  </si>
  <si>
    <t>(a)</t>
  </si>
  <si>
    <t>(e)</t>
  </si>
  <si>
    <t>(g)</t>
  </si>
  <si>
    <t>a*c*e=g</t>
  </si>
  <si>
    <t>Schedule Totals</t>
  </si>
  <si>
    <t>kWh (000's)</t>
  </si>
  <si>
    <t>Present</t>
  </si>
  <si>
    <t>1/2</t>
  </si>
  <si>
    <t>WA011</t>
  </si>
  <si>
    <t>WA021</t>
  </si>
  <si>
    <t>WA025</t>
  </si>
  <si>
    <t>WA031</t>
  </si>
  <si>
    <t>WA04X</t>
  </si>
  <si>
    <t>AVISTA UTILITIES</t>
  </si>
  <si>
    <t>Settlement Revenue Conversion Factor</t>
  </si>
  <si>
    <t>TWELVE MONTHS ENDED JUNE 30, 2022</t>
  </si>
  <si>
    <t xml:space="preserve">Line </t>
  </si>
  <si>
    <t>No.</t>
  </si>
  <si>
    <t>Description</t>
  </si>
  <si>
    <t>Factor</t>
  </si>
  <si>
    <t>Revenues</t>
  </si>
  <si>
    <t>Expenses:</t>
  </si>
  <si>
    <t xml:space="preserve">  Uncollectibles</t>
  </si>
  <si>
    <t xml:space="preserve">  Commission Fees</t>
  </si>
  <si>
    <t xml:space="preserve">    Total Expenses</t>
  </si>
  <si>
    <t>Net Operating Income Before FIT</t>
  </si>
  <si>
    <t>Case No. UE-220053: Per Final Stipulation &amp; Settlement</t>
  </si>
  <si>
    <t>Washington Excise Tax</t>
  </si>
  <si>
    <t>Proposed</t>
  </si>
  <si>
    <t>(1) Average of 2021 and 2022 qualifying kilowatt-hours by state.</t>
  </si>
  <si>
    <t>Bill for 932 kWh at present rates with all adders</t>
  </si>
  <si>
    <t>Washington - Electric System</t>
  </si>
  <si>
    <t>Difference</t>
  </si>
  <si>
    <t>Projected kWh 10/1/24 - 9/30/25</t>
  </si>
  <si>
    <t>Total Oct-24 thru Sep-25</t>
  </si>
  <si>
    <t xml:space="preserve">JULY 2024 WASHINGTON ELECTRIC </t>
  </si>
  <si>
    <r>
      <t>Per Verification email sent to</t>
    </r>
    <r>
      <rPr>
        <b/>
        <sz val="10"/>
        <rFont val="Tahoma"/>
        <family val="2"/>
      </rPr>
      <t xml:space="preserve"> BPA</t>
    </r>
  </si>
  <si>
    <r>
      <rPr>
        <b/>
        <sz val="10"/>
        <color rgb="FF0000FF"/>
        <rFont val="Arial"/>
        <family val="2"/>
      </rPr>
      <t>[1]</t>
    </r>
    <r>
      <rPr>
        <sz val="10"/>
        <color theme="1"/>
        <rFont val="Arial"/>
        <family val="2"/>
      </rPr>
      <t xml:space="preserve"> - Forecast available from BPA only based on 2021</t>
    </r>
  </si>
  <si>
    <t>October 1, 2024 - September 30, 2025</t>
  </si>
  <si>
    <t>Total Billed Revenue</t>
  </si>
  <si>
    <t xml:space="preserve"> </t>
  </si>
  <si>
    <t>Amortization Adjustment - July Unbilled</t>
  </si>
  <si>
    <t>August credit received in October</t>
  </si>
  <si>
    <t>Balance 5/31/23 (Actual)</t>
  </si>
  <si>
    <t>Accounting Adjustment</t>
  </si>
  <si>
    <t>Estimated under-refunded balance at end of existing rate</t>
  </si>
  <si>
    <t>Rate Difference for Projected Load</t>
  </si>
  <si>
    <t>JULY UNBILLED</t>
  </si>
  <si>
    <t>Projected kWh 11/1/24 - 10/31/25</t>
  </si>
  <si>
    <t>Washington portion of 2024 fiscal year benefit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</si>
</sst>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6">
    <numFmt numFmtId="5" formatCode="&quot;$&quot;#,##0_);\(&quot;$&quot;#,##0\)"/>
    <numFmt numFmtId="44" formatCode="_(&quot;$&quot;* #,##0.00_);_(&quot;$&quot;* \(#,##0.00\);_(&quot;$&quot;* &quot;-&quot;??_);_(@_)"/>
    <numFmt numFmtId="43" formatCode="_(* #,##0.00_);_(* \(#,##0.00\);_(* &quot;-&quot;??_);_(@_)"/>
    <numFmt numFmtId="164" formatCode="[$-409]mmm\-yy;@"/>
    <numFmt numFmtId="165" formatCode="&quot;$&quot;#,##0.00000"/>
    <numFmt numFmtId="166" formatCode="#,##0.000000"/>
    <numFmt numFmtId="167" formatCode="&quot;$&quot;#,##0"/>
    <numFmt numFmtId="168" formatCode="&quot;$&quot;#,##0.00"/>
    <numFmt numFmtId="169" formatCode="&quot;$&quot;#,##0.00000_);\(&quot;$&quot;#,##0.00000\)"/>
    <numFmt numFmtId="170" formatCode="_(* #,##0_);_(* \(#,##0\);_(* &quot;-&quot;??_);_(@_)"/>
    <numFmt numFmtId="171" formatCode="_(* #,##0.00000_);_(* \(#,##0.00000\);_(* &quot;-&quot;??_);_(@_)"/>
    <numFmt numFmtId="172" formatCode="#,##0.0000"/>
    <numFmt numFmtId="173" formatCode="0.0%"/>
    <numFmt numFmtId="174" formatCode="0.0000000%"/>
    <numFmt numFmtId="175" formatCode="mmm\ yy"/>
    <numFmt numFmtId="176" formatCode="#,##0,;\-#,##0,"/>
    <numFmt numFmtId="177" formatCode="0.000000"/>
    <numFmt numFmtId="178" formatCode="0.00_)"/>
    <numFmt numFmtId="179" formatCode="d/mmm/yy"/>
    <numFmt numFmtId="180" formatCode="#,##0.000\¢\ ;\(#,##0.000\¢\)"/>
    <numFmt numFmtId="181" formatCode="#,##0\ ;\(#,##0\)"/>
    <numFmt numFmtId="182" formatCode="_(&quot;$&quot;* #,##0.00000_);_(&quot;$&quot;* \(#,##0.00000\);_(&quot;$&quot;* &quot;-&quot;??_);_(@_)"/>
    <numFmt numFmtId="183" formatCode="_(&quot;$&quot;* #,##0_);_(&quot;$&quot;* \(#,##0\);_(&quot;$&quot;* &quot;-&quot;??_);_(@_)"/>
    <numFmt numFmtId="184" formatCode="#,##0.000"/>
    <numFmt numFmtId="185" formatCode="0.00000%"/>
    <numFmt numFmtId="186" formatCode="0.000%"/>
  </numFmts>
  <fonts count="39">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theme="1"/>
      <name val="Arial"/>
      <family val="2"/>
    </font>
    <font>
      <sz val="10"/>
      <color theme="1"/>
      <name val="Arial"/>
      <family val="2"/>
    </font>
    <font>
      <sz val="10"/>
      <name val="Arial"/>
      <family val="2"/>
    </font>
    <font>
      <sz val="10"/>
      <color theme="1"/>
      <name val="Tahoma"/>
      <family val="2"/>
    </font>
    <font>
      <b/>
      <sz val="10"/>
      <color theme="1"/>
      <name val="Tahoma"/>
      <family val="2"/>
    </font>
    <font>
      <sz val="10"/>
      <name val="MS Sans Serif"/>
      <family val="2"/>
    </font>
    <font>
      <sz val="10"/>
      <name val="Arial"/>
      <family val="2"/>
    </font>
    <font>
      <b/>
      <sz val="10"/>
      <name val="Arial"/>
      <family val="2"/>
    </font>
    <font>
      <u/>
      <sz val="10"/>
      <name val="Arial"/>
      <family val="2"/>
    </font>
    <font>
      <sz val="10"/>
      <name val="Arial"/>
      <family val="2"/>
    </font>
    <font>
      <sz val="10"/>
      <color rgb="FF0000FF"/>
      <name val="Arial"/>
      <family val="2"/>
    </font>
    <font>
      <b/>
      <sz val="11"/>
      <color theme="1"/>
      <name val="Calibri"/>
      <family val="2"/>
      <scheme val="minor"/>
    </font>
    <font>
      <b/>
      <sz val="10"/>
      <name val="Helv"/>
    </font>
    <font>
      <sz val="10"/>
      <name val="Tahoma"/>
      <family val="2"/>
    </font>
    <font>
      <sz val="8"/>
      <name val="Arial"/>
      <family val="2"/>
    </font>
    <font>
      <b/>
      <sz val="12"/>
      <name val="Helv"/>
    </font>
    <font>
      <b/>
      <sz val="11"/>
      <name val="Helv"/>
    </font>
    <font>
      <b/>
      <i/>
      <sz val="16"/>
      <name val="Helv"/>
    </font>
    <font>
      <sz val="10"/>
      <name val="Geneva"/>
    </font>
    <font>
      <sz val="10"/>
      <name val="Helv"/>
    </font>
    <font>
      <u/>
      <sz val="10"/>
      <name val="Helv"/>
    </font>
    <font>
      <sz val="10"/>
      <name val="Times New Roman"/>
      <family val="1"/>
    </font>
    <font>
      <sz val="12"/>
      <color theme="1"/>
      <name val="Times New Roman"/>
      <family val="1"/>
    </font>
    <font>
      <sz val="10"/>
      <color rgb="FF3333FF"/>
      <name val="Arial"/>
      <family val="2"/>
    </font>
    <font>
      <b/>
      <sz val="10"/>
      <color rgb="FF0000FF"/>
      <name val="Arial"/>
      <family val="2"/>
    </font>
    <font>
      <sz val="10"/>
      <color rgb="FF0000FF"/>
      <name val="Helv"/>
    </font>
    <font>
      <u val="singleAccounting"/>
      <sz val="12"/>
      <color theme="1"/>
      <name val="Times New Roman"/>
      <family val="1"/>
    </font>
    <font>
      <sz val="11"/>
      <name val="Calibri"/>
      <family val="2"/>
      <scheme val="minor"/>
    </font>
    <font>
      <sz val="10"/>
      <name val="Calibri"/>
      <family val="2"/>
      <scheme val="minor"/>
    </font>
    <font>
      <u/>
      <sz val="11"/>
      <name val="Calibri"/>
      <family val="2"/>
      <scheme val="minor"/>
    </font>
    <font>
      <b/>
      <sz val="10"/>
      <name val="Tahoma"/>
      <family val="2"/>
    </font>
    <font>
      <sz val="10"/>
      <color theme="1"/>
      <name val="Times New Roman"/>
      <family val="1"/>
    </font>
    <font>
      <sz val="10"/>
      <color rgb="FFFF0000"/>
      <name val="Arial"/>
      <family val="2"/>
    </font>
  </fonts>
  <fills count="7">
    <fill>
      <patternFill patternType="none"/>
    </fill>
    <fill>
      <patternFill patternType="gray125"/>
    </fill>
    <fill>
      <patternFill patternType="solid">
        <fgColor theme="3"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right/>
      <top/>
      <bottom style="thin">
        <color indexed="64"/>
      </bottom>
      <diagonal/>
    </border>
    <border>
      <left/>
      <right/>
      <top/>
      <bottom style="double">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double">
        <color rgb="FFFF0000"/>
      </left>
      <right style="double">
        <color rgb="FFFF0000"/>
      </right>
      <top style="double">
        <color rgb="FFFF0000"/>
      </top>
      <bottom style="double">
        <color rgb="FFFF0000"/>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26">
    <xf numFmtId="0" fontId="0" fillId="0" borderId="0"/>
    <xf numFmtId="44"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0" fontId="5" fillId="0" borderId="0"/>
    <xf numFmtId="43" fontId="5" fillId="0" borderId="0" applyFont="0" applyFill="0" applyBorder="0" applyAlignment="0" applyProtection="0"/>
    <xf numFmtId="0" fontId="8" fillId="0" borderId="0">
      <alignment readingOrder="1"/>
    </xf>
    <xf numFmtId="43" fontId="8" fillId="0" borderId="0" applyFont="0" applyFill="0" applyBorder="0" applyAlignment="0" applyProtection="0"/>
    <xf numFmtId="9" fontId="8" fillId="0" borderId="0" applyFont="0" applyFill="0" applyBorder="0" applyAlignment="0" applyProtection="0"/>
    <xf numFmtId="0" fontId="5" fillId="0" borderId="0"/>
    <xf numFmtId="3" fontId="7" fillId="0" borderId="0"/>
    <xf numFmtId="3" fontId="7" fillId="0" borderId="0"/>
    <xf numFmtId="0" fontId="4" fillId="0" borderId="0"/>
    <xf numFmtId="43" fontId="4" fillId="0" borderId="0" applyFont="0" applyFill="0" applyBorder="0" applyAlignment="0" applyProtection="0"/>
    <xf numFmtId="0" fontId="8" fillId="0" borderId="0"/>
    <xf numFmtId="0" fontId="9" fillId="0" borderId="0"/>
    <xf numFmtId="0" fontId="8" fillId="0" borderId="0"/>
    <xf numFmtId="43" fontId="9" fillId="0" borderId="0" applyFont="0" applyFill="0" applyBorder="0" applyAlignment="0" applyProtection="0"/>
    <xf numFmtId="9" fontId="9" fillId="0" borderId="0" applyFont="0" applyFill="0" applyBorder="0" applyAlignment="0" applyProtection="0"/>
    <xf numFmtId="0" fontId="11" fillId="0" borderId="0" applyNumberFormat="0" applyFont="0" applyFill="0" applyBorder="0" applyAlignment="0" applyProtection="0">
      <alignment horizontal="left"/>
    </xf>
    <xf numFmtId="0" fontId="12" fillId="0" borderId="0"/>
    <xf numFmtId="43" fontId="12" fillId="0" borderId="0" applyFont="0" applyFill="0" applyBorder="0" applyAlignment="0" applyProtection="0"/>
    <xf numFmtId="44" fontId="12" fillId="0" borderId="0" applyFont="0" applyFill="0" applyBorder="0" applyAlignment="0" applyProtection="0"/>
    <xf numFmtId="0" fontId="15" fillId="0" borderId="0">
      <alignment readingOrder="1"/>
    </xf>
    <xf numFmtId="0" fontId="3" fillId="0" borderId="0"/>
    <xf numFmtId="0" fontId="7" fillId="0" borderId="0"/>
    <xf numFmtId="43" fontId="7" fillId="0" borderId="0" applyFont="0" applyFill="0" applyBorder="0" applyAlignment="0" applyProtection="0"/>
    <xf numFmtId="0" fontId="18" fillId="0" borderId="0"/>
    <xf numFmtId="43" fontId="19"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38" fontId="20" fillId="3" borderId="0" applyNumberFormat="0" applyBorder="0" applyAlignment="0" applyProtection="0"/>
    <xf numFmtId="0" fontId="21" fillId="0" borderId="0">
      <alignment horizontal="left"/>
    </xf>
    <xf numFmtId="10" fontId="20" fillId="4" borderId="5" applyNumberFormat="0" applyBorder="0" applyAlignment="0" applyProtection="0"/>
    <xf numFmtId="0" fontId="22" fillId="0" borderId="6"/>
    <xf numFmtId="178" fontId="23" fillId="0" borderId="0"/>
    <xf numFmtId="0" fontId="2" fillId="0" borderId="0"/>
    <xf numFmtId="0" fontId="15" fillId="0" borderId="0">
      <alignment readingOrder="1"/>
    </xf>
    <xf numFmtId="0" fontId="15" fillId="0" borderId="0">
      <alignment readingOrder="1"/>
    </xf>
    <xf numFmtId="0" fontId="15" fillId="0" borderId="0">
      <alignment readingOrder="1"/>
    </xf>
    <xf numFmtId="0" fontId="15" fillId="0" borderId="0">
      <alignment readingOrder="1"/>
    </xf>
    <xf numFmtId="0" fontId="15" fillId="0" borderId="0">
      <alignment readingOrder="1"/>
    </xf>
    <xf numFmtId="0" fontId="15" fillId="0" borderId="0">
      <alignment readingOrder="1"/>
    </xf>
    <xf numFmtId="0" fontId="15" fillId="0" borderId="0">
      <alignment readingOrder="1"/>
    </xf>
    <xf numFmtId="0" fontId="8"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5" fillId="0" borderId="0">
      <alignment readingOrder="1"/>
    </xf>
    <xf numFmtId="0" fontId="15" fillId="0" borderId="0"/>
    <xf numFmtId="3" fontId="7" fillId="0" borderId="0"/>
    <xf numFmtId="3" fontId="7" fillId="0" borderId="0"/>
    <xf numFmtId="3" fontId="7" fillId="0" borderId="0"/>
    <xf numFmtId="0" fontId="8" fillId="0" borderId="0">
      <alignment readingOrder="1"/>
    </xf>
    <xf numFmtId="0" fontId="2" fillId="0" borderId="0"/>
    <xf numFmtId="0" fontId="8" fillId="0" borderId="0"/>
    <xf numFmtId="0" fontId="2" fillId="0" borderId="0"/>
    <xf numFmtId="0" fontId="7" fillId="0" borderId="0"/>
    <xf numFmtId="10"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22" fillId="0" borderId="0"/>
    <xf numFmtId="0" fontId="15" fillId="0" borderId="0">
      <alignment readingOrder="1"/>
    </xf>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1" fillId="0" borderId="0"/>
    <xf numFmtId="9" fontId="8" fillId="0" borderId="0" applyFont="0" applyFill="0" applyBorder="0" applyAlignment="0" applyProtection="0"/>
    <xf numFmtId="0" fontId="15" fillId="0" borderId="0">
      <alignment readingOrder="1"/>
    </xf>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15" fillId="0" borderId="0">
      <alignment readingOrder="1"/>
    </xf>
    <xf numFmtId="9" fontId="8" fillId="0" borderId="0" applyFont="0" applyFill="0" applyBorder="0" applyAlignment="0" applyProtection="0"/>
    <xf numFmtId="0" fontId="15" fillId="0" borderId="0">
      <alignment readingOrder="1"/>
    </xf>
    <xf numFmtId="0" fontId="15" fillId="0" borderId="0">
      <alignment readingOrder="1"/>
    </xf>
    <xf numFmtId="0" fontId="15" fillId="0" borderId="0">
      <alignment readingOrder="1"/>
    </xf>
    <xf numFmtId="0" fontId="15" fillId="0" borderId="0">
      <alignment readingOrder="1"/>
    </xf>
    <xf numFmtId="0" fontId="15" fillId="0" borderId="0">
      <alignment readingOrder="1"/>
    </xf>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24"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43" fontId="7" fillId="0" borderId="0" applyFont="0" applyFill="0" applyBorder="0" applyAlignment="0" applyProtection="0"/>
    <xf numFmtId="43" fontId="9" fillId="0" borderId="0" applyFont="0" applyFill="0" applyBorder="0" applyAlignment="0" applyProtection="0"/>
    <xf numFmtId="0" fontId="8" fillId="0" borderId="0"/>
  </cellStyleXfs>
  <cellXfs count="205">
    <xf numFmtId="0" fontId="0" fillId="0" borderId="0" xfId="0"/>
    <xf numFmtId="0" fontId="6" fillId="0" borderId="0" xfId="0" applyFont="1"/>
    <xf numFmtId="14" fontId="0" fillId="0" borderId="0" xfId="0" applyNumberFormat="1"/>
    <xf numFmtId="168" fontId="0" fillId="0" borderId="0" xfId="0" applyNumberFormat="1"/>
    <xf numFmtId="3" fontId="8" fillId="0" borderId="0" xfId="0" applyNumberFormat="1" applyFont="1"/>
    <xf numFmtId="3" fontId="8" fillId="0" borderId="1" xfId="0" applyNumberFormat="1" applyFont="1" applyBorder="1"/>
    <xf numFmtId="0" fontId="0" fillId="0" borderId="0" xfId="0" quotePrefix="1"/>
    <xf numFmtId="43" fontId="0" fillId="0" borderId="0" xfId="2" applyFont="1" applyFill="1"/>
    <xf numFmtId="0" fontId="10" fillId="0" borderId="0" xfId="15" applyFont="1"/>
    <xf numFmtId="0" fontId="9" fillId="0" borderId="0" xfId="15"/>
    <xf numFmtId="0" fontId="9" fillId="0" borderId="0" xfId="15" applyAlignment="1">
      <alignment horizontal="center"/>
    </xf>
    <xf numFmtId="0" fontId="10" fillId="0" borderId="0" xfId="15" applyFont="1" applyAlignment="1">
      <alignment horizontal="center"/>
    </xf>
    <xf numFmtId="0" fontId="10" fillId="0" borderId="1" xfId="15" applyFont="1" applyBorder="1" applyAlignment="1">
      <alignment horizontal="center"/>
    </xf>
    <xf numFmtId="170" fontId="9" fillId="0" borderId="0" xfId="15" applyNumberFormat="1"/>
    <xf numFmtId="170" fontId="10" fillId="0" borderId="4" xfId="17" applyNumberFormat="1" applyFont="1" applyBorder="1"/>
    <xf numFmtId="170" fontId="10" fillId="0" borderId="4" xfId="17" applyNumberFormat="1" applyFont="1" applyFill="1" applyBorder="1"/>
    <xf numFmtId="9" fontId="9" fillId="0" borderId="0" xfId="15" applyNumberFormat="1"/>
    <xf numFmtId="170" fontId="10" fillId="0" borderId="0" xfId="15" applyNumberFormat="1" applyFont="1"/>
    <xf numFmtId="43" fontId="0" fillId="0" borderId="0" xfId="2" applyFont="1"/>
    <xf numFmtId="170" fontId="0" fillId="0" borderId="0" xfId="0" applyNumberFormat="1"/>
    <xf numFmtId="174" fontId="0" fillId="0" borderId="0" xfId="3" applyNumberFormat="1" applyFont="1"/>
    <xf numFmtId="0" fontId="8" fillId="0" borderId="0" xfId="0" applyFont="1"/>
    <xf numFmtId="167" fontId="8" fillId="0" borderId="0" xfId="0" applyNumberFormat="1" applyFont="1"/>
    <xf numFmtId="0" fontId="8" fillId="0" borderId="1" xfId="0" applyFont="1" applyBorder="1"/>
    <xf numFmtId="165" fontId="8" fillId="0" borderId="0" xfId="0" applyNumberFormat="1" applyFont="1"/>
    <xf numFmtId="0" fontId="14" fillId="0" borderId="0" xfId="0" applyFont="1"/>
    <xf numFmtId="165" fontId="8" fillId="0" borderId="1" xfId="0" applyNumberFormat="1" applyFont="1" applyBorder="1"/>
    <xf numFmtId="165" fontId="8" fillId="0" borderId="3" xfId="0" applyNumberFormat="1" applyFont="1" applyBorder="1"/>
    <xf numFmtId="168" fontId="8" fillId="0" borderId="0" xfId="0" applyNumberFormat="1" applyFont="1"/>
    <xf numFmtId="169" fontId="8" fillId="0" borderId="0" xfId="1" applyNumberFormat="1" applyFont="1" applyFill="1"/>
    <xf numFmtId="173" fontId="8" fillId="0" borderId="0" xfId="3" applyNumberFormat="1" applyFont="1"/>
    <xf numFmtId="0" fontId="8" fillId="0" borderId="0" xfId="0" applyFont="1" applyAlignment="1">
      <alignment horizontal="center"/>
    </xf>
    <xf numFmtId="0" fontId="14" fillId="0" borderId="0" xfId="0" applyFont="1" applyAlignment="1">
      <alignment horizontal="center"/>
    </xf>
    <xf numFmtId="10" fontId="8" fillId="0" borderId="0" xfId="0" applyNumberFormat="1" applyFont="1"/>
    <xf numFmtId="10" fontId="8" fillId="0" borderId="1" xfId="0" applyNumberFormat="1" applyFont="1" applyBorder="1"/>
    <xf numFmtId="172" fontId="8" fillId="0" borderId="0" xfId="0" applyNumberFormat="1" applyFont="1"/>
    <xf numFmtId="3" fontId="8" fillId="0" borderId="0" xfId="2" applyNumberFormat="1" applyFont="1" applyFill="1"/>
    <xf numFmtId="170" fontId="8" fillId="0" borderId="0" xfId="0" applyNumberFormat="1" applyFont="1"/>
    <xf numFmtId="164" fontId="8" fillId="0" borderId="0" xfId="0" applyNumberFormat="1" applyFont="1" applyAlignment="1">
      <alignment horizontal="center"/>
    </xf>
    <xf numFmtId="164" fontId="14" fillId="0" borderId="0" xfId="0" applyNumberFormat="1" applyFont="1" applyAlignment="1">
      <alignment horizontal="center"/>
    </xf>
    <xf numFmtId="0" fontId="8" fillId="0" borderId="0" xfId="0" applyFont="1" applyAlignment="1">
      <alignment horizontal="left"/>
    </xf>
    <xf numFmtId="164" fontId="8" fillId="0" borderId="0" xfId="0" applyNumberFormat="1" applyFont="1"/>
    <xf numFmtId="0" fontId="8" fillId="0" borderId="0" xfId="0" applyFont="1" applyAlignment="1">
      <alignment readingOrder="1"/>
    </xf>
    <xf numFmtId="175" fontId="13" fillId="0" borderId="0" xfId="0" applyNumberFormat="1" applyFont="1" applyAlignment="1">
      <alignment readingOrder="1"/>
    </xf>
    <xf numFmtId="43" fontId="8" fillId="0" borderId="0" xfId="2" applyFont="1" applyFill="1"/>
    <xf numFmtId="43" fontId="0" fillId="0" borderId="1" xfId="2" applyFont="1" applyFill="1" applyBorder="1"/>
    <xf numFmtId="0" fontId="0" fillId="0" borderId="0" xfId="0" applyAlignment="1">
      <alignment readingOrder="1"/>
    </xf>
    <xf numFmtId="166" fontId="8" fillId="0" borderId="1" xfId="0" applyNumberFormat="1" applyFont="1" applyBorder="1"/>
    <xf numFmtId="0" fontId="10" fillId="0" borderId="1" xfId="15" applyFont="1" applyBorder="1" applyAlignment="1">
      <alignment horizontal="center" wrapText="1"/>
    </xf>
    <xf numFmtId="0" fontId="7" fillId="0" borderId="0" xfId="25"/>
    <xf numFmtId="0" fontId="17" fillId="0" borderId="0" xfId="0" applyFont="1" applyAlignment="1">
      <alignment horizontal="center"/>
    </xf>
    <xf numFmtId="171" fontId="9" fillId="0" borderId="0" xfId="26" applyNumberFormat="1" applyFont="1"/>
    <xf numFmtId="171" fontId="7" fillId="0" borderId="0" xfId="17" applyNumberFormat="1" applyFont="1"/>
    <xf numFmtId="171" fontId="7" fillId="0" borderId="0" xfId="17" applyNumberFormat="1" applyFont="1" applyAlignment="1">
      <alignment horizontal="center"/>
    </xf>
    <xf numFmtId="170" fontId="17" fillId="0" borderId="0" xfId="0" applyNumberFormat="1" applyFont="1" applyAlignment="1">
      <alignment horizontal="center"/>
    </xf>
    <xf numFmtId="170" fontId="17" fillId="0" borderId="4" xfId="2" applyNumberFormat="1" applyFont="1" applyBorder="1" applyAlignment="1">
      <alignment horizontal="center"/>
    </xf>
    <xf numFmtId="170" fontId="7" fillId="0" borderId="0" xfId="17" applyNumberFormat="1" applyFont="1"/>
    <xf numFmtId="170" fontId="7" fillId="0" borderId="0" xfId="17" applyNumberFormat="1" applyFont="1" applyFill="1" applyAlignment="1">
      <alignment horizontal="center"/>
    </xf>
    <xf numFmtId="170" fontId="17" fillId="0" borderId="0" xfId="2" applyNumberFormat="1" applyFont="1" applyBorder="1" applyAlignment="1">
      <alignment horizontal="center"/>
    </xf>
    <xf numFmtId="170" fontId="17" fillId="0" borderId="1" xfId="2" applyNumberFormat="1" applyFont="1" applyFill="1" applyBorder="1" applyAlignment="1">
      <alignment horizontal="center"/>
    </xf>
    <xf numFmtId="0" fontId="17" fillId="0" borderId="1" xfId="0" applyFont="1" applyBorder="1" applyAlignment="1">
      <alignment horizontal="center"/>
    </xf>
    <xf numFmtId="166" fontId="8" fillId="0" borderId="0" xfId="0" applyNumberFormat="1" applyFont="1"/>
    <xf numFmtId="0" fontId="13" fillId="0" borderId="0" xfId="0" applyFont="1" applyAlignment="1">
      <alignment horizontal="right"/>
    </xf>
    <xf numFmtId="176" fontId="15" fillId="0" borderId="0" xfId="80" applyNumberFormat="1">
      <alignment readingOrder="1"/>
    </xf>
    <xf numFmtId="176" fontId="15" fillId="0" borderId="0" xfId="86" applyNumberFormat="1">
      <alignment readingOrder="1"/>
    </xf>
    <xf numFmtId="0" fontId="16" fillId="0" borderId="0" xfId="0" applyFont="1" applyAlignment="1">
      <alignment horizontal="left" indent="1" readingOrder="1"/>
    </xf>
    <xf numFmtId="176" fontId="15" fillId="0" borderId="0" xfId="90" applyNumberFormat="1">
      <alignment readingOrder="1"/>
    </xf>
    <xf numFmtId="170" fontId="8" fillId="0" borderId="0" xfId="2" applyNumberFormat="1" applyFont="1" applyFill="1"/>
    <xf numFmtId="176" fontId="15" fillId="0" borderId="0" xfId="92" applyNumberFormat="1">
      <alignment readingOrder="1"/>
    </xf>
    <xf numFmtId="176" fontId="15" fillId="0" borderId="0" xfId="93" applyNumberFormat="1">
      <alignment readingOrder="1"/>
    </xf>
    <xf numFmtId="176" fontId="15" fillId="0" borderId="0" xfId="94" applyNumberFormat="1">
      <alignment readingOrder="1"/>
    </xf>
    <xf numFmtId="176" fontId="0" fillId="0" borderId="0" xfId="0" applyNumberFormat="1" applyAlignment="1">
      <alignment readingOrder="1"/>
    </xf>
    <xf numFmtId="176" fontId="15" fillId="0" borderId="0" xfId="95" applyNumberFormat="1">
      <alignment readingOrder="1"/>
    </xf>
    <xf numFmtId="170" fontId="8" fillId="0" borderId="0" xfId="2" applyNumberFormat="1" applyFont="1"/>
    <xf numFmtId="176" fontId="15" fillId="0" borderId="0" xfId="96" applyNumberFormat="1">
      <alignment readingOrder="1"/>
    </xf>
    <xf numFmtId="0" fontId="8" fillId="0" borderId="0" xfId="0" applyFont="1" applyAlignment="1">
      <alignment horizontal="right"/>
    </xf>
    <xf numFmtId="0" fontId="8" fillId="0" borderId="0" xfId="122"/>
    <xf numFmtId="0" fontId="25" fillId="0" borderId="0" xfId="122" applyFont="1" applyAlignment="1">
      <alignment horizontal="center"/>
    </xf>
    <xf numFmtId="0" fontId="25" fillId="0" borderId="0" xfId="122" applyFont="1" applyAlignment="1" applyProtection="1">
      <alignment horizontal="center"/>
      <protection locked="0"/>
    </xf>
    <xf numFmtId="0" fontId="26" fillId="0" borderId="0" xfId="122" applyFont="1" applyAlignment="1">
      <alignment horizontal="centerContinuous"/>
    </xf>
    <xf numFmtId="0" fontId="25" fillId="0" borderId="0" xfId="122" applyFont="1" applyAlignment="1">
      <alignment horizontal="centerContinuous"/>
    </xf>
    <xf numFmtId="0" fontId="26" fillId="0" borderId="0" xfId="122" applyFont="1" applyAlignment="1">
      <alignment horizontal="left"/>
    </xf>
    <xf numFmtId="0" fontId="26" fillId="0" borderId="0" xfId="122" applyFont="1" applyAlignment="1">
      <alignment horizontal="center"/>
    </xf>
    <xf numFmtId="43" fontId="25" fillId="0" borderId="0" xfId="2" applyFont="1" applyProtection="1"/>
    <xf numFmtId="4" fontId="25" fillId="0" borderId="0" xfId="122" applyNumberFormat="1" applyFont="1"/>
    <xf numFmtId="43" fontId="25" fillId="0" borderId="1" xfId="2" applyFont="1" applyBorder="1" applyProtection="1"/>
    <xf numFmtId="3" fontId="25" fillId="0" borderId="0" xfId="122" applyNumberFormat="1" applyFont="1"/>
    <xf numFmtId="10" fontId="25" fillId="0" borderId="0" xfId="122" applyNumberFormat="1" applyFont="1"/>
    <xf numFmtId="43" fontId="25" fillId="0" borderId="0" xfId="122" applyNumberFormat="1" applyFont="1"/>
    <xf numFmtId="167" fontId="25" fillId="0" borderId="0" xfId="122" applyNumberFormat="1" applyFont="1"/>
    <xf numFmtId="0" fontId="25" fillId="0" borderId="0" xfId="122" applyFont="1"/>
    <xf numFmtId="181" fontId="25" fillId="0" borderId="0" xfId="122" applyNumberFormat="1" applyFont="1"/>
    <xf numFmtId="0" fontId="26" fillId="0" borderId="0" xfId="122" applyFont="1"/>
    <xf numFmtId="5" fontId="25" fillId="0" borderId="0" xfId="122" applyNumberFormat="1" applyFont="1"/>
    <xf numFmtId="170" fontId="25" fillId="0" borderId="0" xfId="122" applyNumberFormat="1" applyFont="1"/>
    <xf numFmtId="43" fontId="8" fillId="0" borderId="0" xfId="122" applyNumberFormat="1"/>
    <xf numFmtId="0" fontId="27" fillId="0" borderId="0" xfId="122" applyFont="1"/>
    <xf numFmtId="180" fontId="25" fillId="0" borderId="0" xfId="0" applyNumberFormat="1" applyFont="1"/>
    <xf numFmtId="10" fontId="7" fillId="0" borderId="0" xfId="18" applyNumberFormat="1" applyFont="1"/>
    <xf numFmtId="177" fontId="25" fillId="0" borderId="1" xfId="0" applyNumberFormat="1" applyFont="1" applyBorder="1"/>
    <xf numFmtId="44" fontId="0" fillId="0" borderId="0" xfId="1" applyFont="1"/>
    <xf numFmtId="170" fontId="1" fillId="0" borderId="0" xfId="2" applyNumberFormat="1" applyFont="1" applyBorder="1" applyAlignment="1">
      <alignment horizontal="center"/>
    </xf>
    <xf numFmtId="170" fontId="1" fillId="0" borderId="1" xfId="2" applyNumberFormat="1" applyFont="1" applyFill="1" applyBorder="1" applyAlignment="1">
      <alignment horizontal="center"/>
    </xf>
    <xf numFmtId="170" fontId="1" fillId="0" borderId="0" xfId="2" applyNumberFormat="1" applyFont="1" applyFill="1" applyBorder="1" applyAlignment="1">
      <alignment horizontal="center"/>
    </xf>
    <xf numFmtId="182" fontId="8" fillId="0" borderId="0" xfId="1" applyNumberFormat="1" applyFont="1"/>
    <xf numFmtId="0" fontId="28" fillId="0" borderId="0" xfId="0" applyFont="1"/>
    <xf numFmtId="183" fontId="8" fillId="0" borderId="0" xfId="1" applyNumberFormat="1" applyFont="1" applyFill="1"/>
    <xf numFmtId="0" fontId="25" fillId="0" borderId="0" xfId="122" quotePrefix="1" applyFont="1" applyAlignment="1">
      <alignment horizontal="center"/>
    </xf>
    <xf numFmtId="184" fontId="8" fillId="0" borderId="0" xfId="0" applyNumberFormat="1" applyFont="1"/>
    <xf numFmtId="184" fontId="0" fillId="0" borderId="0" xfId="0" applyNumberFormat="1" applyAlignment="1">
      <alignment readingOrder="1"/>
    </xf>
    <xf numFmtId="0" fontId="13" fillId="0" borderId="0" xfId="0" applyFont="1"/>
    <xf numFmtId="165" fontId="13" fillId="0" borderId="2" xfId="0" applyNumberFormat="1" applyFont="1" applyBorder="1"/>
    <xf numFmtId="185" fontId="8" fillId="0" borderId="0" xfId="3" applyNumberFormat="1" applyFont="1" applyFill="1" applyBorder="1"/>
    <xf numFmtId="183" fontId="8" fillId="0" borderId="0" xfId="1" applyNumberFormat="1" applyFont="1"/>
    <xf numFmtId="10" fontId="0" fillId="0" borderId="0" xfId="3" applyNumberFormat="1" applyFont="1"/>
    <xf numFmtId="44" fontId="29" fillId="0" borderId="0" xfId="1" applyFont="1" applyFill="1"/>
    <xf numFmtId="43" fontId="29" fillId="0" borderId="0" xfId="2" applyFont="1" applyFill="1"/>
    <xf numFmtId="43" fontId="29" fillId="0" borderId="1" xfId="2" applyFont="1" applyFill="1" applyBorder="1"/>
    <xf numFmtId="43" fontId="8" fillId="0" borderId="0" xfId="2" applyFont="1"/>
    <xf numFmtId="170" fontId="0" fillId="0" borderId="0" xfId="2" applyNumberFormat="1" applyFont="1" applyAlignment="1">
      <alignment readingOrder="1"/>
    </xf>
    <xf numFmtId="170" fontId="0" fillId="0" borderId="1" xfId="2" applyNumberFormat="1" applyFont="1" applyBorder="1" applyAlignment="1">
      <alignment readingOrder="1"/>
    </xf>
    <xf numFmtId="177" fontId="8" fillId="0" borderId="1" xfId="0" applyNumberFormat="1" applyFont="1" applyBorder="1"/>
    <xf numFmtId="183" fontId="0" fillId="0" borderId="0" xfId="0" applyNumberFormat="1"/>
    <xf numFmtId="170" fontId="16" fillId="0" borderId="0" xfId="7" applyNumberFormat="1" applyFont="1"/>
    <xf numFmtId="0" fontId="16" fillId="0" borderId="0" xfId="0" applyFont="1"/>
    <xf numFmtId="186" fontId="8" fillId="0" borderId="0" xfId="3" applyNumberFormat="1" applyFont="1" applyFill="1"/>
    <xf numFmtId="0" fontId="33" fillId="0" borderId="0" xfId="125" applyFont="1"/>
    <xf numFmtId="0" fontId="34" fillId="0" borderId="0" xfId="125" applyFont="1"/>
    <xf numFmtId="0" fontId="33" fillId="0" borderId="0" xfId="125" applyFont="1" applyAlignment="1">
      <alignment horizontal="center" wrapText="1"/>
    </xf>
    <xf numFmtId="177" fontId="33" fillId="0" borderId="0" xfId="125" applyNumberFormat="1" applyFont="1"/>
    <xf numFmtId="177" fontId="33" fillId="0" borderId="1" xfId="125" applyNumberFormat="1" applyFont="1" applyBorder="1"/>
    <xf numFmtId="177" fontId="33" fillId="0" borderId="7" xfId="125" applyNumberFormat="1" applyFont="1" applyBorder="1"/>
    <xf numFmtId="0" fontId="35" fillId="0" borderId="0" xfId="125" applyFont="1" applyAlignment="1">
      <alignment horizontal="center"/>
    </xf>
    <xf numFmtId="170" fontId="16" fillId="0" borderId="0" xfId="2" applyNumberFormat="1" applyFont="1" applyFill="1"/>
    <xf numFmtId="0" fontId="28" fillId="0" borderId="8" xfId="0" applyFont="1" applyBorder="1"/>
    <xf numFmtId="0" fontId="28" fillId="0" borderId="1" xfId="0" applyFont="1" applyBorder="1"/>
    <xf numFmtId="0" fontId="0" fillId="0" borderId="1" xfId="0" applyBorder="1"/>
    <xf numFmtId="43" fontId="28" fillId="0" borderId="0" xfId="2" applyFont="1" applyBorder="1"/>
    <xf numFmtId="182" fontId="28" fillId="0" borderId="1" xfId="0" applyNumberFormat="1" applyFont="1" applyBorder="1"/>
    <xf numFmtId="0" fontId="0" fillId="0" borderId="10" xfId="0" applyBorder="1"/>
    <xf numFmtId="0" fontId="28" fillId="0" borderId="1" xfId="0" applyFont="1" applyBorder="1" applyAlignment="1">
      <alignment horizontal="center"/>
    </xf>
    <xf numFmtId="170" fontId="7" fillId="0" borderId="0" xfId="124" applyNumberFormat="1" applyFont="1" applyFill="1"/>
    <xf numFmtId="3" fontId="7" fillId="0" borderId="0" xfId="124" applyNumberFormat="1" applyFont="1" applyFill="1"/>
    <xf numFmtId="186" fontId="17" fillId="0" borderId="0" xfId="3" applyNumberFormat="1" applyFont="1" applyFill="1" applyBorder="1" applyAlignment="1">
      <alignment horizontal="center"/>
    </xf>
    <xf numFmtId="3" fontId="31" fillId="0" borderId="0" xfId="122" applyNumberFormat="1" applyFont="1" applyProtection="1">
      <protection locked="0"/>
    </xf>
    <xf numFmtId="3" fontId="31" fillId="0" borderId="1" xfId="122" applyNumberFormat="1" applyFont="1" applyBorder="1" applyProtection="1">
      <protection locked="0"/>
    </xf>
    <xf numFmtId="179" fontId="26" fillId="0" borderId="0" xfId="122" applyNumberFormat="1" applyFont="1" applyAlignment="1">
      <alignment horizontal="center"/>
    </xf>
    <xf numFmtId="164" fontId="30" fillId="0" borderId="0" xfId="0" applyNumberFormat="1" applyFont="1"/>
    <xf numFmtId="170" fontId="16" fillId="0" borderId="0" xfId="7" applyNumberFormat="1" applyFont="1" applyFill="1"/>
    <xf numFmtId="175" fontId="13" fillId="0" borderId="0" xfId="23" applyNumberFormat="1" applyFont="1">
      <alignment readingOrder="1"/>
    </xf>
    <xf numFmtId="165" fontId="16" fillId="0" borderId="1" xfId="0" applyNumberFormat="1" applyFont="1" applyBorder="1"/>
    <xf numFmtId="170" fontId="0" fillId="0" borderId="1" xfId="2" applyNumberFormat="1" applyFont="1" applyFill="1" applyBorder="1" applyAlignment="1">
      <alignment readingOrder="1"/>
    </xf>
    <xf numFmtId="170" fontId="8" fillId="0" borderId="1" xfId="2" applyNumberFormat="1" applyFont="1" applyFill="1" applyBorder="1"/>
    <xf numFmtId="173" fontId="8" fillId="0" borderId="0" xfId="3" applyNumberFormat="1" applyFont="1" applyFill="1"/>
    <xf numFmtId="172" fontId="16" fillId="0" borderId="0" xfId="0" applyNumberFormat="1" applyFont="1"/>
    <xf numFmtId="172" fontId="16" fillId="0" borderId="1" xfId="0" applyNumberFormat="1" applyFont="1" applyBorder="1"/>
    <xf numFmtId="10" fontId="29" fillId="0" borderId="0" xfId="3" applyNumberFormat="1" applyFont="1" applyFill="1"/>
    <xf numFmtId="168" fontId="16" fillId="0" borderId="0" xfId="0" applyNumberFormat="1" applyFont="1"/>
    <xf numFmtId="169" fontId="16" fillId="0" borderId="0" xfId="1" applyNumberFormat="1" applyFont="1" applyFill="1"/>
    <xf numFmtId="0" fontId="37" fillId="0" borderId="0" xfId="0" applyFont="1"/>
    <xf numFmtId="0" fontId="0" fillId="0" borderId="8" xfId="0" applyBorder="1"/>
    <xf numFmtId="10" fontId="28" fillId="0" borderId="0" xfId="3" applyNumberFormat="1" applyFont="1" applyBorder="1"/>
    <xf numFmtId="43" fontId="0" fillId="0" borderId="0" xfId="0" applyNumberFormat="1"/>
    <xf numFmtId="170" fontId="28" fillId="5" borderId="0" xfId="2" applyNumberFormat="1" applyFont="1" applyFill="1"/>
    <xf numFmtId="183" fontId="0" fillId="0" borderId="0" xfId="1" applyNumberFormat="1" applyFont="1" applyFill="1"/>
    <xf numFmtId="44" fontId="8" fillId="0" borderId="0" xfId="1" applyFont="1" applyFill="1"/>
    <xf numFmtId="43" fontId="16" fillId="0" borderId="0" xfId="2" applyFont="1" applyFill="1"/>
    <xf numFmtId="4" fontId="16" fillId="0" borderId="1" xfId="0" applyNumberFormat="1" applyFont="1" applyBorder="1"/>
    <xf numFmtId="4" fontId="0" fillId="0" borderId="0" xfId="0" applyNumberFormat="1"/>
    <xf numFmtId="43" fontId="0" fillId="0" borderId="1" xfId="2" applyFont="1" applyBorder="1"/>
    <xf numFmtId="183" fontId="28" fillId="6" borderId="0" xfId="0" applyNumberFormat="1" applyFont="1" applyFill="1"/>
    <xf numFmtId="44" fontId="0" fillId="0" borderId="0" xfId="0" applyNumberFormat="1"/>
    <xf numFmtId="16" fontId="8" fillId="0" borderId="0" xfId="0" quotePrefix="1" applyNumberFormat="1" applyFont="1" applyAlignment="1">
      <alignment horizontal="center"/>
    </xf>
    <xf numFmtId="0" fontId="8" fillId="0" borderId="0" xfId="0" quotePrefix="1" applyFont="1" applyAlignment="1">
      <alignment horizontal="center"/>
    </xf>
    <xf numFmtId="0" fontId="8" fillId="0" borderId="0" xfId="0" applyFont="1" applyAlignment="1">
      <alignment horizontal="left" indent="3"/>
    </xf>
    <xf numFmtId="10" fontId="8" fillId="0" borderId="0" xfId="3" applyNumberFormat="1" applyFont="1"/>
    <xf numFmtId="183" fontId="0" fillId="6" borderId="0" xfId="0" applyNumberFormat="1" applyFill="1"/>
    <xf numFmtId="0" fontId="28" fillId="6" borderId="0" xfId="0" applyFont="1" applyFill="1"/>
    <xf numFmtId="0" fontId="0" fillId="6" borderId="0" xfId="0" applyFill="1"/>
    <xf numFmtId="43" fontId="8" fillId="0" borderId="0" xfId="0" applyNumberFormat="1" applyFont="1"/>
    <xf numFmtId="0" fontId="38" fillId="0" borderId="0" xfId="0" applyFont="1"/>
    <xf numFmtId="0" fontId="28" fillId="0" borderId="0" xfId="0" applyFont="1" applyAlignment="1">
      <alignment horizontal="center"/>
    </xf>
    <xf numFmtId="182" fontId="28" fillId="5" borderId="1" xfId="1" applyNumberFormat="1" applyFont="1" applyFill="1" applyBorder="1"/>
    <xf numFmtId="183" fontId="32" fillId="0" borderId="1" xfId="0" applyNumberFormat="1" applyFont="1" applyBorder="1"/>
    <xf numFmtId="3" fontId="28" fillId="0" borderId="0" xfId="0" applyNumberFormat="1" applyFont="1"/>
    <xf numFmtId="3" fontId="28" fillId="5" borderId="0" xfId="0" applyNumberFormat="1" applyFont="1" applyFill="1"/>
    <xf numFmtId="183" fontId="28" fillId="0" borderId="0" xfId="1" applyNumberFormat="1" applyFont="1" applyBorder="1"/>
    <xf numFmtId="0" fontId="28" fillId="0" borderId="12" xfId="0" applyFont="1" applyBorder="1" applyAlignment="1">
      <alignment horizontal="center"/>
    </xf>
    <xf numFmtId="0" fontId="28" fillId="0" borderId="13" xfId="0" applyFont="1" applyBorder="1" applyAlignment="1">
      <alignment horizontal="center"/>
    </xf>
    <xf numFmtId="0" fontId="0" fillId="0" borderId="13" xfId="0" applyBorder="1"/>
    <xf numFmtId="0" fontId="28" fillId="0" borderId="14" xfId="0" applyFont="1" applyBorder="1" applyAlignment="1">
      <alignment horizontal="center"/>
    </xf>
    <xf numFmtId="183" fontId="0" fillId="0" borderId="1" xfId="0" applyNumberFormat="1" applyBorder="1"/>
    <xf numFmtId="170" fontId="28" fillId="0" borderId="9" xfId="2" applyNumberFormat="1" applyFont="1" applyBorder="1"/>
    <xf numFmtId="171" fontId="28" fillId="0" borderId="9" xfId="2" applyNumberFormat="1" applyFont="1" applyBorder="1"/>
    <xf numFmtId="0" fontId="0" fillId="0" borderId="11" xfId="0" applyBorder="1"/>
    <xf numFmtId="0" fontId="8" fillId="0" borderId="0" xfId="0" applyFont="1" applyAlignment="1">
      <alignment horizontal="center"/>
    </xf>
    <xf numFmtId="0" fontId="14" fillId="0" borderId="0" xfId="0" applyFont="1" applyAlignment="1">
      <alignment horizontal="center"/>
    </xf>
    <xf numFmtId="0" fontId="28" fillId="0" borderId="12" xfId="0" applyFont="1" applyBorder="1" applyAlignment="1">
      <alignment horizontal="center"/>
    </xf>
    <xf numFmtId="0" fontId="28" fillId="0" borderId="13" xfId="0" applyFont="1" applyBorder="1" applyAlignment="1">
      <alignment horizontal="center"/>
    </xf>
    <xf numFmtId="0" fontId="28" fillId="0" borderId="14" xfId="0" applyFont="1" applyBorder="1" applyAlignment="1">
      <alignment horizontal="center"/>
    </xf>
    <xf numFmtId="0" fontId="0" fillId="0" borderId="0" xfId="0" applyAlignment="1">
      <alignment horizontal="center"/>
    </xf>
    <xf numFmtId="0" fontId="10" fillId="0" borderId="0" xfId="15" applyFont="1" applyAlignment="1">
      <alignment horizontal="center" wrapText="1"/>
    </xf>
    <xf numFmtId="0" fontId="10" fillId="0" borderId="1" xfId="15" applyFont="1" applyBorder="1" applyAlignment="1">
      <alignment horizontal="center" wrapText="1"/>
    </xf>
    <xf numFmtId="0" fontId="10" fillId="0" borderId="1" xfId="15" applyFont="1" applyBorder="1" applyAlignment="1">
      <alignment horizontal="center"/>
    </xf>
    <xf numFmtId="0" fontId="17" fillId="2" borderId="0" xfId="0" applyFont="1" applyFill="1" applyAlignment="1">
      <alignment horizontal="center"/>
    </xf>
  </cellXfs>
  <cellStyles count="126">
    <cellStyle name="category" xfId="27" xr:uid="{00000000-0005-0000-0000-000000000000}"/>
    <cellStyle name="Comma" xfId="2" builtinId="3"/>
    <cellStyle name="Comma 2" xfId="7" xr:uid="{00000000-0005-0000-0000-000002000000}"/>
    <cellStyle name="Comma 2 2" xfId="28" xr:uid="{00000000-0005-0000-0000-000003000000}"/>
    <cellStyle name="Comma 3" xfId="5" xr:uid="{00000000-0005-0000-0000-000004000000}"/>
    <cellStyle name="Comma 3 2" xfId="29" xr:uid="{00000000-0005-0000-0000-000005000000}"/>
    <cellStyle name="Comma 3 2 2" xfId="101" xr:uid="{00000000-0005-0000-0000-000006000000}"/>
    <cellStyle name="Comma 3 3" xfId="26" xr:uid="{00000000-0005-0000-0000-000007000000}"/>
    <cellStyle name="Comma 3 4" xfId="30" xr:uid="{00000000-0005-0000-0000-000008000000}"/>
    <cellStyle name="Comma 3 5" xfId="98" xr:uid="{00000000-0005-0000-0000-000009000000}"/>
    <cellStyle name="Comma 4" xfId="13" xr:uid="{00000000-0005-0000-0000-00000A000000}"/>
    <cellStyle name="Comma 4 2" xfId="31" xr:uid="{00000000-0005-0000-0000-00000B000000}"/>
    <cellStyle name="Comma 4 2 2" xfId="102" xr:uid="{00000000-0005-0000-0000-00000C000000}"/>
    <cellStyle name="Comma 4 3" xfId="100" xr:uid="{00000000-0005-0000-0000-00000D000000}"/>
    <cellStyle name="Comma 5" xfId="17" xr:uid="{00000000-0005-0000-0000-00000E000000}"/>
    <cellStyle name="Comma 5 2" xfId="124" xr:uid="{14D6FDA6-AF4F-43C2-887D-A4893E2CF4A6}"/>
    <cellStyle name="Comma 6" xfId="21" xr:uid="{00000000-0005-0000-0000-00000F000000}"/>
    <cellStyle name="Comma 6 2" xfId="108" xr:uid="{00000000-0005-0000-0000-000010000000}"/>
    <cellStyle name="Comma 62" xfId="123" xr:uid="{390AF808-5DBF-4A23-8A52-07AE760793FB}"/>
    <cellStyle name="Comma 7" xfId="32" xr:uid="{00000000-0005-0000-0000-000011000000}"/>
    <cellStyle name="Comma 7 2" xfId="114" xr:uid="{00000000-0005-0000-0000-000012000000}"/>
    <cellStyle name="Currency" xfId="1" builtinId="4"/>
    <cellStyle name="Currency 2" xfId="22" xr:uid="{00000000-0005-0000-0000-000014000000}"/>
    <cellStyle name="Currency 2 2" xfId="109" xr:uid="{00000000-0005-0000-0000-000015000000}"/>
    <cellStyle name="Currency 3" xfId="33" xr:uid="{00000000-0005-0000-0000-000016000000}"/>
    <cellStyle name="Currency 3 2" xfId="115" xr:uid="{00000000-0005-0000-0000-000017000000}"/>
    <cellStyle name="Grey" xfId="34" xr:uid="{00000000-0005-0000-0000-000018000000}"/>
    <cellStyle name="HEADER" xfId="35" xr:uid="{00000000-0005-0000-0000-000019000000}"/>
    <cellStyle name="Input [yellow]" xfId="36" xr:uid="{00000000-0005-0000-0000-00001A000000}"/>
    <cellStyle name="Model" xfId="37" xr:uid="{00000000-0005-0000-0000-00001B000000}"/>
    <cellStyle name="Normal" xfId="0" builtinId="0"/>
    <cellStyle name="Normal - Style1" xfId="38" xr:uid="{00000000-0005-0000-0000-00001D000000}"/>
    <cellStyle name="Normal 10" xfId="23" xr:uid="{00000000-0005-0000-0000-00001E000000}"/>
    <cellStyle name="Normal 10 2" xfId="107" xr:uid="{00000000-0005-0000-0000-00001F000000}"/>
    <cellStyle name="Normal 11" xfId="39" xr:uid="{00000000-0005-0000-0000-000020000000}"/>
    <cellStyle name="Normal 11 2" xfId="113" xr:uid="{00000000-0005-0000-0000-000021000000}"/>
    <cellStyle name="Normal 12" xfId="40" xr:uid="{00000000-0005-0000-0000-000022000000}"/>
    <cellStyle name="Normal 13" xfId="41" xr:uid="{00000000-0005-0000-0000-000023000000}"/>
    <cellStyle name="Normal 14" xfId="42" xr:uid="{00000000-0005-0000-0000-000024000000}"/>
    <cellStyle name="Normal 15" xfId="43" xr:uid="{00000000-0005-0000-0000-000025000000}"/>
    <cellStyle name="Normal 16" xfId="25" xr:uid="{00000000-0005-0000-0000-000026000000}"/>
    <cellStyle name="Normal 17" xfId="44" xr:uid="{00000000-0005-0000-0000-000027000000}"/>
    <cellStyle name="Normal 18" xfId="45" xr:uid="{00000000-0005-0000-0000-000028000000}"/>
    <cellStyle name="Normal 19" xfId="46" xr:uid="{00000000-0005-0000-0000-000029000000}"/>
    <cellStyle name="Normal 2" xfId="9" xr:uid="{00000000-0005-0000-0000-00002A000000}"/>
    <cellStyle name="Normal 2 2" xfId="14" xr:uid="{00000000-0005-0000-0000-00002B000000}"/>
    <cellStyle name="Normal 2 2 2" xfId="47" xr:uid="{00000000-0005-0000-0000-00002C000000}"/>
    <cellStyle name="Normal 2 2 3" xfId="48" xr:uid="{00000000-0005-0000-0000-00002D000000}"/>
    <cellStyle name="Normal 2 2 4" xfId="49" xr:uid="{00000000-0005-0000-0000-00002E000000}"/>
    <cellStyle name="Normal 2 2 5" xfId="50" xr:uid="{00000000-0005-0000-0000-00002F000000}"/>
    <cellStyle name="Normal 2 2 5 2" xfId="110" xr:uid="{00000000-0005-0000-0000-000030000000}"/>
    <cellStyle name="Normal 2 2 6" xfId="51" xr:uid="{00000000-0005-0000-0000-000031000000}"/>
    <cellStyle name="Normal 2 2 6 2" xfId="116" xr:uid="{00000000-0005-0000-0000-000032000000}"/>
    <cellStyle name="Normal 2 3" xfId="24" xr:uid="{00000000-0005-0000-0000-000033000000}"/>
    <cellStyle name="Normal 2 3 2" xfId="52" xr:uid="{00000000-0005-0000-0000-000034000000}"/>
    <cellStyle name="Normal 2 3 2 2" xfId="111" xr:uid="{00000000-0005-0000-0000-000035000000}"/>
    <cellStyle name="Normal 2 3 3" xfId="53" xr:uid="{00000000-0005-0000-0000-000036000000}"/>
    <cellStyle name="Normal 2 3 3 2" xfId="117" xr:uid="{00000000-0005-0000-0000-000037000000}"/>
    <cellStyle name="Normal 2 3 4" xfId="103" xr:uid="{00000000-0005-0000-0000-000038000000}"/>
    <cellStyle name="Normal 2 4" xfId="54" xr:uid="{00000000-0005-0000-0000-000039000000}"/>
    <cellStyle name="Normal 2 4 2" xfId="55" xr:uid="{00000000-0005-0000-0000-00003A000000}"/>
    <cellStyle name="Normal 2 4 2 2" xfId="118" xr:uid="{00000000-0005-0000-0000-00003B000000}"/>
    <cellStyle name="Normal 2 4 3" xfId="112" xr:uid="{00000000-0005-0000-0000-00003C000000}"/>
    <cellStyle name="Normal 2 5" xfId="56" xr:uid="{00000000-0005-0000-0000-00003D000000}"/>
    <cellStyle name="Normal 2 5 2" xfId="119" xr:uid="{00000000-0005-0000-0000-00003E000000}"/>
    <cellStyle name="Normal 2 6" xfId="57" xr:uid="{00000000-0005-0000-0000-00003F000000}"/>
    <cellStyle name="Normal 2 6 2" xfId="120" xr:uid="{00000000-0005-0000-0000-000040000000}"/>
    <cellStyle name="Normal 2 7" xfId="58" xr:uid="{00000000-0005-0000-0000-000041000000}"/>
    <cellStyle name="Normal 2 7 2" xfId="121" xr:uid="{00000000-0005-0000-0000-000042000000}"/>
    <cellStyle name="Normal 2 8" xfId="84" xr:uid="{00000000-0005-0000-0000-000043000000}"/>
    <cellStyle name="Normal 20" xfId="59" xr:uid="{00000000-0005-0000-0000-000044000000}"/>
    <cellStyle name="Normal 21" xfId="60" xr:uid="{00000000-0005-0000-0000-000045000000}"/>
    <cellStyle name="Normal 21 2" xfId="122" xr:uid="{00000000-0005-0000-0000-000046000000}"/>
    <cellStyle name="Normal 22" xfId="80" xr:uid="{00000000-0005-0000-0000-000047000000}"/>
    <cellStyle name="Normal 22 2" xfId="125" xr:uid="{2B1F3CD7-5C6C-42D0-95AC-BDEC575F7E16}"/>
    <cellStyle name="Normal 23" xfId="86" xr:uid="{00000000-0005-0000-0000-000048000000}"/>
    <cellStyle name="Normal 24" xfId="90" xr:uid="{00000000-0005-0000-0000-000049000000}"/>
    <cellStyle name="Normal 25" xfId="92" xr:uid="{00000000-0005-0000-0000-00004A000000}"/>
    <cellStyle name="Normal 26" xfId="93" xr:uid="{00000000-0005-0000-0000-00004B000000}"/>
    <cellStyle name="Normal 27" xfId="94" xr:uid="{00000000-0005-0000-0000-00004C000000}"/>
    <cellStyle name="Normal 28" xfId="95" xr:uid="{00000000-0005-0000-0000-00004D000000}"/>
    <cellStyle name="Normal 29" xfId="96" xr:uid="{00000000-0005-0000-0000-00004E000000}"/>
    <cellStyle name="Normal 3" xfId="10" xr:uid="{00000000-0005-0000-0000-00004F000000}"/>
    <cellStyle name="Normal 3 2" xfId="16" xr:uid="{00000000-0005-0000-0000-000050000000}"/>
    <cellStyle name="Normal 3 2 2" xfId="61" xr:uid="{00000000-0005-0000-0000-000051000000}"/>
    <cellStyle name="Normal 3 3" xfId="62" xr:uid="{00000000-0005-0000-0000-000052000000}"/>
    <cellStyle name="Normal 3 4" xfId="63" xr:uid="{00000000-0005-0000-0000-000053000000}"/>
    <cellStyle name="Normal 3 5" xfId="64" xr:uid="{00000000-0005-0000-0000-000054000000}"/>
    <cellStyle name="Normal 4" xfId="6" xr:uid="{00000000-0005-0000-0000-000055000000}"/>
    <cellStyle name="Normal 5" xfId="4" xr:uid="{00000000-0005-0000-0000-000056000000}"/>
    <cellStyle name="Normal 5 2" xfId="65" xr:uid="{00000000-0005-0000-0000-000057000000}"/>
    <cellStyle name="Normal 5 2 2" xfId="104" xr:uid="{00000000-0005-0000-0000-000058000000}"/>
    <cellStyle name="Normal 5 3" xfId="66" xr:uid="{00000000-0005-0000-0000-000059000000}"/>
    <cellStyle name="Normal 5 4" xfId="97" xr:uid="{00000000-0005-0000-0000-00005A000000}"/>
    <cellStyle name="Normal 6" xfId="11" xr:uid="{00000000-0005-0000-0000-00005B000000}"/>
    <cellStyle name="Normal 7" xfId="12" xr:uid="{00000000-0005-0000-0000-00005C000000}"/>
    <cellStyle name="Normal 7 2" xfId="67" xr:uid="{00000000-0005-0000-0000-00005D000000}"/>
    <cellStyle name="Normal 7 2 2" xfId="105" xr:uid="{00000000-0005-0000-0000-00005E000000}"/>
    <cellStyle name="Normal 7 3" xfId="68" xr:uid="{00000000-0005-0000-0000-00005F000000}"/>
    <cellStyle name="Normal 7 4" xfId="99" xr:uid="{00000000-0005-0000-0000-000060000000}"/>
    <cellStyle name="Normal 8" xfId="15" xr:uid="{00000000-0005-0000-0000-000061000000}"/>
    <cellStyle name="Normal 9" xfId="20" xr:uid="{00000000-0005-0000-0000-000062000000}"/>
    <cellStyle name="Normal 9 2" xfId="106" xr:uid="{00000000-0005-0000-0000-000063000000}"/>
    <cellStyle name="Percent" xfId="3" builtinId="5"/>
    <cellStyle name="Percent [2]" xfId="69" xr:uid="{00000000-0005-0000-0000-000065000000}"/>
    <cellStyle name="Percent 10" xfId="70" xr:uid="{00000000-0005-0000-0000-000066000000}"/>
    <cellStyle name="Percent 11" xfId="71" xr:uid="{00000000-0005-0000-0000-000067000000}"/>
    <cellStyle name="Percent 12" xfId="72" xr:uid="{00000000-0005-0000-0000-000068000000}"/>
    <cellStyle name="Percent 13" xfId="82" xr:uid="{00000000-0005-0000-0000-000069000000}"/>
    <cellStyle name="Percent 14" xfId="81" xr:uid="{00000000-0005-0000-0000-00006A000000}"/>
    <cellStyle name="Percent 15" xfId="88" xr:uid="{00000000-0005-0000-0000-00006B000000}"/>
    <cellStyle name="Percent 16" xfId="85" xr:uid="{00000000-0005-0000-0000-00006C000000}"/>
    <cellStyle name="Percent 17" xfId="89" xr:uid="{00000000-0005-0000-0000-00006D000000}"/>
    <cellStyle name="Percent 18" xfId="83" xr:uid="{00000000-0005-0000-0000-00006E000000}"/>
    <cellStyle name="Percent 19" xfId="87" xr:uid="{00000000-0005-0000-0000-00006F000000}"/>
    <cellStyle name="Percent 2" xfId="8" xr:uid="{00000000-0005-0000-0000-000070000000}"/>
    <cellStyle name="Percent 20" xfId="91" xr:uid="{00000000-0005-0000-0000-000071000000}"/>
    <cellStyle name="Percent 3" xfId="18" xr:uid="{00000000-0005-0000-0000-000072000000}"/>
    <cellStyle name="Percent 4" xfId="73" xr:uid="{00000000-0005-0000-0000-000073000000}"/>
    <cellStyle name="Percent 5" xfId="74" xr:uid="{00000000-0005-0000-0000-000074000000}"/>
    <cellStyle name="Percent 6" xfId="75" xr:uid="{00000000-0005-0000-0000-000075000000}"/>
    <cellStyle name="Percent 7" xfId="76" xr:uid="{00000000-0005-0000-0000-000076000000}"/>
    <cellStyle name="Percent 8" xfId="77" xr:uid="{00000000-0005-0000-0000-000077000000}"/>
    <cellStyle name="Percent 9" xfId="78" xr:uid="{00000000-0005-0000-0000-000078000000}"/>
    <cellStyle name="PSChar" xfId="19" xr:uid="{00000000-0005-0000-0000-000079000000}"/>
    <cellStyle name="subhead" xfId="79" xr:uid="{00000000-0005-0000-0000-00007A000000}"/>
  </cellStyles>
  <dxfs count="2">
    <dxf>
      <fill>
        <patternFill>
          <bgColor theme="8" tint="0.59996337778862885"/>
        </patternFill>
      </fill>
    </dxf>
    <dxf>
      <fill>
        <patternFill>
          <bgColor theme="8" tint="0.79998168889431442"/>
        </patternFill>
      </fill>
      <border>
        <left style="thin">
          <color theme="8" tint="0.59996337778862885"/>
        </left>
        <right style="thin">
          <color theme="8" tint="0.59996337778862885"/>
        </right>
        <top style="thin">
          <color theme="8" tint="0.59996337778862885"/>
        </top>
        <bottom style="thin">
          <color theme="8" tint="0.59996337778862885"/>
        </bottom>
      </border>
    </dxf>
  </dxfs>
  <tableStyles count="1" defaultTableStyle="TableStyleMedium2" defaultPivotStyle="PivotStyleLight16">
    <tableStyle name="Table Style 1" pivot="0" count="2" xr9:uid="{00000000-0011-0000-FFFF-FFFF00000000}">
      <tableStyleElement type="wholeTable" dxfId="1"/>
      <tableStyleElement type="headerRow" dxfId="0"/>
    </tableStyle>
  </tableStyles>
  <colors>
    <mruColors>
      <color rgb="FFCCFFFF"/>
      <color rgb="FFFFCCFF"/>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57150</xdr:colOff>
      <xdr:row>43</xdr:row>
      <xdr:rowOff>76199</xdr:rowOff>
    </xdr:from>
    <xdr:to>
      <xdr:col>7</xdr:col>
      <xdr:colOff>695739</xdr:colOff>
      <xdr:row>46</xdr:row>
      <xdr:rowOff>99391</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57150" y="7199242"/>
          <a:ext cx="5384524" cy="5201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000" b="0" i="0">
              <a:solidFill>
                <a:schemeClr val="dk1"/>
              </a:solidFill>
              <a:latin typeface="Arial" pitchFamily="34" charset="0"/>
              <a:ea typeface="+mn-ea"/>
              <a:cs typeface="Arial" pitchFamily="34" charset="0"/>
            </a:rPr>
            <a:t>Note 1: The</a:t>
          </a:r>
          <a:r>
            <a:rPr lang="en-US" sz="1000" b="0" i="0" baseline="0">
              <a:solidFill>
                <a:schemeClr val="dk1"/>
              </a:solidFill>
              <a:latin typeface="Arial" pitchFamily="34" charset="0"/>
              <a:ea typeface="+mn-ea"/>
              <a:cs typeface="Arial" pitchFamily="34" charset="0"/>
            </a:rPr>
            <a:t> July activity recorded above was calculated using only the billed portion of loads and the unbilled portion is recorded in August in order to adjust to a calandar year basis.</a:t>
          </a:r>
        </a:p>
        <a:p>
          <a:pPr marL="0" marR="0" indent="0" defTabSz="914400" eaLnBrk="1" fontAlgn="auto" latinLnBrk="0" hangingPunct="1">
            <a:lnSpc>
              <a:spcPct val="100000"/>
            </a:lnSpc>
            <a:spcBef>
              <a:spcPts val="0"/>
            </a:spcBef>
            <a:spcAft>
              <a:spcPts val="0"/>
            </a:spcAft>
            <a:buClrTx/>
            <a:buSzTx/>
            <a:buFontTx/>
            <a:buNone/>
            <a:tabLst/>
            <a:defRPr/>
          </a:pPr>
          <a:endParaRPr lang="en-US" sz="1000" b="0" i="0" baseline="0">
            <a:solidFill>
              <a:schemeClr val="dk1"/>
            </a:solidFill>
            <a:latin typeface="Arial" pitchFamily="34" charset="0"/>
            <a:ea typeface="+mn-ea"/>
            <a:cs typeface="Arial" pitchFamily="34" charset="0"/>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371475</xdr:colOff>
      <xdr:row>35</xdr:row>
      <xdr:rowOff>123825</xdr:rowOff>
    </xdr:from>
    <xdr:to>
      <xdr:col>13</xdr:col>
      <xdr:colOff>209550</xdr:colOff>
      <xdr:row>42</xdr:row>
      <xdr:rowOff>9525</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371475" y="5791200"/>
          <a:ext cx="9991725" cy="1019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Note: The projected kilowatt-hours Included</a:t>
          </a:r>
          <a:r>
            <a:rPr lang="en-US" sz="1100" baseline="0"/>
            <a:t> above contain </a:t>
          </a:r>
          <a:r>
            <a:rPr lang="en-US" sz="1100"/>
            <a:t>both billed and unbilled customer loads. In past filings, prorations had been included for October and November to capture the unbilled loads in the following month when they are billed to customers.  Because both billed and unbilled are included above, no proration is needed.</a:t>
          </a:r>
          <a:r>
            <a:rPr lang="en-US" sz="1100" baseline="0"/>
            <a:t> </a:t>
          </a:r>
        </a:p>
        <a:p>
          <a:endParaRPr lang="en-US" sz="1100" baseline="0"/>
        </a:p>
        <a:p>
          <a:r>
            <a:rPr lang="en-US" sz="1100"/>
            <a:t>Note that either </a:t>
          </a:r>
          <a:r>
            <a:rPr lang="en-US" sz="1100" baseline="0"/>
            <a:t>method would inlcude one calandar year's worth of loads.</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114300</xdr:colOff>
      <xdr:row>21</xdr:row>
      <xdr:rowOff>123825</xdr:rowOff>
    </xdr:from>
    <xdr:to>
      <xdr:col>8</xdr:col>
      <xdr:colOff>540808</xdr:colOff>
      <xdr:row>24</xdr:row>
      <xdr:rowOff>176742</xdr:rowOff>
    </xdr:to>
    <xdr:sp macro="" textlink="">
      <xdr:nvSpPr>
        <xdr:cNvPr id="2" name="TextBox 1">
          <a:extLst>
            <a:ext uri="{FF2B5EF4-FFF2-40B4-BE49-F238E27FC236}">
              <a16:creationId xmlns:a16="http://schemas.microsoft.com/office/drawing/2014/main" id="{E36A2A0E-E34C-4492-A5CB-7DF37E231F53}"/>
            </a:ext>
          </a:extLst>
        </xdr:cNvPr>
        <xdr:cNvSpPr txBox="1"/>
      </xdr:nvSpPr>
      <xdr:spPr>
        <a:xfrm>
          <a:off x="7620000" y="4343400"/>
          <a:ext cx="1569508" cy="62441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Aug-Dec have not yet been verified by BPA. Using 2021 values only.</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P47"/>
  <sheetViews>
    <sheetView tabSelected="1" zoomScale="83" zoomScaleNormal="100" workbookViewId="0">
      <selection activeCell="I13" sqref="I13"/>
    </sheetView>
  </sheetViews>
  <sheetFormatPr defaultRowHeight="12.75"/>
  <cols>
    <col min="1" max="1" width="9.140625" style="21"/>
    <col min="2" max="2" width="3.140625" style="21" customWidth="1"/>
    <col min="3" max="5" width="9.140625" style="21"/>
    <col min="6" max="6" width="9.5703125" style="21" bestFit="1" customWidth="1"/>
    <col min="7" max="7" width="15" style="21" bestFit="1" customWidth="1"/>
    <col min="8" max="8" width="24.85546875" style="21" bestFit="1" customWidth="1"/>
    <col min="9" max="9" width="16" style="21" bestFit="1" customWidth="1"/>
    <col min="10" max="10" width="14.85546875" style="21" customWidth="1"/>
    <col min="11" max="11" width="14.140625" style="21" bestFit="1" customWidth="1"/>
    <col min="12" max="12" width="12.42578125" style="21" bestFit="1" customWidth="1"/>
    <col min="13" max="13" width="9.140625" style="21"/>
    <col min="14" max="14" width="14.85546875" style="21" bestFit="1" customWidth="1"/>
    <col min="15" max="15" width="9.140625" style="21"/>
    <col min="16" max="16" width="11.85546875" style="21" bestFit="1" customWidth="1"/>
    <col min="17" max="16384" width="9.140625" style="21"/>
  </cols>
  <sheetData>
    <row r="1" spans="1:16">
      <c r="A1" s="195" t="s">
        <v>16</v>
      </c>
      <c r="B1" s="195"/>
      <c r="C1" s="195"/>
      <c r="D1" s="195"/>
      <c r="E1" s="195"/>
      <c r="F1" s="195"/>
      <c r="G1" s="195"/>
      <c r="H1" s="195"/>
    </row>
    <row r="2" spans="1:16">
      <c r="A2" s="195" t="s">
        <v>54</v>
      </c>
      <c r="B2" s="195"/>
      <c r="C2" s="195"/>
      <c r="D2" s="195"/>
      <c r="E2" s="195"/>
      <c r="F2" s="195"/>
      <c r="G2" s="195"/>
      <c r="H2" s="195"/>
    </row>
    <row r="3" spans="1:16">
      <c r="A3" s="195" t="s">
        <v>26</v>
      </c>
      <c r="B3" s="195"/>
      <c r="C3" s="195"/>
      <c r="D3" s="195"/>
      <c r="E3" s="195"/>
      <c r="F3" s="195"/>
      <c r="G3" s="195"/>
      <c r="H3" s="195"/>
    </row>
    <row r="4" spans="1:16">
      <c r="A4" s="196" t="s">
        <v>118</v>
      </c>
      <c r="B4" s="196"/>
      <c r="C4" s="196"/>
      <c r="D4" s="196"/>
      <c r="E4" s="196"/>
      <c r="F4" s="196"/>
      <c r="G4" s="196"/>
      <c r="H4" s="196"/>
    </row>
    <row r="7" spans="1:16">
      <c r="A7" s="21" t="s">
        <v>129</v>
      </c>
      <c r="G7" s="22">
        <f>-'Projected Benefits'!F7</f>
        <v>-10780659.72582682</v>
      </c>
    </row>
    <row r="9" spans="1:16">
      <c r="A9" s="21" t="s">
        <v>125</v>
      </c>
      <c r="G9" s="5">
        <f>'Washington ResX Balances'!F36</f>
        <v>-163270.61164064787</v>
      </c>
      <c r="P9" s="179"/>
    </row>
    <row r="11" spans="1:16">
      <c r="A11" s="21" t="s">
        <v>29</v>
      </c>
      <c r="G11" s="22">
        <f>G7+G9</f>
        <v>-10943930.337467467</v>
      </c>
    </row>
    <row r="12" spans="1:16">
      <c r="O12" s="180"/>
    </row>
    <row r="13" spans="1:16">
      <c r="A13" s="21" t="s">
        <v>53</v>
      </c>
      <c r="G13" s="121">
        <f>'Projected kWhs'!B27</f>
        <v>0.9560685516223647</v>
      </c>
    </row>
    <row r="15" spans="1:16">
      <c r="A15" s="21" t="s">
        <v>30</v>
      </c>
      <c r="G15" s="22">
        <f>G11/G13</f>
        <v>-11446805.063189847</v>
      </c>
    </row>
    <row r="17" spans="1:11">
      <c r="A17" s="21" t="s">
        <v>128</v>
      </c>
      <c r="G17" s="5">
        <f>'Projected kWhs'!N16*1000</f>
        <v>2783965909.8364758</v>
      </c>
    </row>
    <row r="19" spans="1:11" ht="13.5" thickBot="1">
      <c r="A19" s="110" t="s">
        <v>31</v>
      </c>
      <c r="B19" s="110"/>
      <c r="C19" s="110"/>
      <c r="D19" s="110"/>
      <c r="E19" s="110"/>
      <c r="F19" s="110"/>
      <c r="G19" s="111">
        <f>ROUND(G15/G17,5)</f>
        <v>-4.1099999999999999E-3</v>
      </c>
    </row>
    <row r="20" spans="1:11" ht="13.5" thickTop="1"/>
    <row r="21" spans="1:11">
      <c r="G21" s="22">
        <f>+G17*G19</f>
        <v>-11442099.889427915</v>
      </c>
    </row>
    <row r="24" spans="1:11">
      <c r="A24" s="25" t="s">
        <v>32</v>
      </c>
    </row>
    <row r="25" spans="1:11">
      <c r="A25" s="21" t="s">
        <v>33</v>
      </c>
      <c r="G25" s="24">
        <f>ROUND(G19,5)</f>
        <v>-4.1099999999999999E-3</v>
      </c>
    </row>
    <row r="26" spans="1:11">
      <c r="A26" s="21" t="s">
        <v>34</v>
      </c>
      <c r="G26" s="26">
        <f>'Projected kWhs'!C25</f>
        <v>-3.8600000000000001E-3</v>
      </c>
    </row>
    <row r="27" spans="1:11" ht="13.5" thickBot="1">
      <c r="A27" s="21" t="s">
        <v>35</v>
      </c>
      <c r="G27" s="27">
        <f>G25-G26</f>
        <v>-2.4999999999999979E-4</v>
      </c>
    </row>
    <row r="28" spans="1:11" ht="13.5" thickTop="1">
      <c r="H28" s="22"/>
      <c r="K28" s="125"/>
    </row>
    <row r="29" spans="1:11">
      <c r="A29" s="21" t="s">
        <v>110</v>
      </c>
      <c r="H29" s="22"/>
    </row>
    <row r="30" spans="1:11">
      <c r="A30" s="21" t="s">
        <v>36</v>
      </c>
      <c r="G30" s="157">
        <v>9</v>
      </c>
      <c r="H30" s="28"/>
      <c r="I30" s="113"/>
    </row>
    <row r="31" spans="1:11">
      <c r="A31" s="21" t="s">
        <v>63</v>
      </c>
      <c r="E31" s="21">
        <v>800</v>
      </c>
      <c r="F31" s="158">
        <v>9.9959999999999993E-2</v>
      </c>
      <c r="G31" s="28">
        <f>ROUND(E31*F31,2)</f>
        <v>79.97</v>
      </c>
      <c r="H31" s="24"/>
    </row>
    <row r="32" spans="1:11">
      <c r="A32" s="21" t="s">
        <v>64</v>
      </c>
      <c r="E32" s="21">
        <v>145</v>
      </c>
      <c r="F32" s="158">
        <v>0.11582000000000001</v>
      </c>
      <c r="G32" s="28">
        <f>ROUND(E32*F32,2)</f>
        <v>16.79</v>
      </c>
      <c r="H32" s="24"/>
    </row>
    <row r="33" spans="1:13">
      <c r="A33" s="21" t="s">
        <v>15</v>
      </c>
      <c r="F33" s="29"/>
      <c r="G33" s="28">
        <f>SUM(G30:G32)</f>
        <v>105.75999999999999</v>
      </c>
      <c r="H33" s="24"/>
    </row>
    <row r="34" spans="1:13">
      <c r="A34" s="21" t="s">
        <v>37</v>
      </c>
      <c r="G34" s="28">
        <f>ROUND(G33,2)</f>
        <v>105.76</v>
      </c>
    </row>
    <row r="35" spans="1:13">
      <c r="E35" s="23"/>
      <c r="H35" s="28"/>
    </row>
    <row r="36" spans="1:13">
      <c r="A36" s="21" t="s">
        <v>31</v>
      </c>
      <c r="C36" t="str">
        <f>IF(F36&lt;0,"Decrease","Increase")</f>
        <v>Decrease</v>
      </c>
      <c r="E36" s="21">
        <f>SUM(E31:E35)</f>
        <v>945</v>
      </c>
      <c r="F36" s="24">
        <f>ROUND(G27,5)</f>
        <v>-2.5000000000000001E-4</v>
      </c>
      <c r="G36" s="28">
        <f>E36*F36</f>
        <v>-0.23625000000000002</v>
      </c>
      <c r="H36" s="28"/>
    </row>
    <row r="37" spans="1:13">
      <c r="H37" s="28"/>
    </row>
    <row r="38" spans="1:13">
      <c r="B38" s="75" t="s">
        <v>73</v>
      </c>
      <c r="C38" t="str">
        <f>IF(F36&lt;0,"Decrease","Increase")</f>
        <v>Decrease</v>
      </c>
      <c r="G38" s="33">
        <f>G36/G33</f>
        <v>-2.2338313161875947E-3</v>
      </c>
      <c r="H38" s="30"/>
    </row>
    <row r="40" spans="1:13">
      <c r="G40" s="28"/>
    </row>
    <row r="41" spans="1:13">
      <c r="J41" s="172"/>
      <c r="K41" s="164"/>
      <c r="L41" s="113"/>
      <c r="M41" s="30"/>
    </row>
    <row r="42" spans="1:13">
      <c r="J42" s="172"/>
      <c r="K42" s="164"/>
      <c r="L42" s="113"/>
      <c r="M42" s="30"/>
    </row>
    <row r="43" spans="1:13">
      <c r="J43" s="173"/>
      <c r="K43" s="164"/>
      <c r="L43" s="113"/>
      <c r="M43" s="30"/>
    </row>
    <row r="44" spans="1:13">
      <c r="J44" s="31"/>
      <c r="K44" s="164"/>
    </row>
    <row r="45" spans="1:13">
      <c r="J45" s="173"/>
      <c r="K45" s="164"/>
      <c r="L45" s="113"/>
      <c r="M45" s="30"/>
    </row>
    <row r="46" spans="1:13">
      <c r="J46" s="31"/>
      <c r="K46" s="164"/>
      <c r="L46" s="113"/>
      <c r="M46" s="30"/>
    </row>
    <row r="47" spans="1:13">
      <c r="I47" s="174"/>
      <c r="J47" s="31"/>
      <c r="K47" s="122"/>
      <c r="L47" s="113"/>
      <c r="M47" s="175"/>
    </row>
  </sheetData>
  <mergeCells count="4">
    <mergeCell ref="A2:H2"/>
    <mergeCell ref="A1:H1"/>
    <mergeCell ref="A3:H3"/>
    <mergeCell ref="A4:H4"/>
  </mergeCells>
  <pageMargins left="1.01" right="0.7" top="0.75" bottom="0.75" header="0.3" footer="0.3"/>
  <pageSetup orientation="portrait" r:id="rId1"/>
  <headerFooter>
    <oddFooter>&amp;L&amp;A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365A3-FC1A-401E-9446-5DE6D7C3D018}">
  <sheetPr>
    <tabColor rgb="FFCCFFFF"/>
  </sheetPr>
  <dimension ref="A2:P31"/>
  <sheetViews>
    <sheetView showGridLines="0" view="pageBreakPreview" zoomScale="145" zoomScaleNormal="90" zoomScaleSheetLayoutView="145" workbookViewId="0">
      <selection activeCell="C36" sqref="C36"/>
    </sheetView>
  </sheetViews>
  <sheetFormatPr defaultRowHeight="12.75"/>
  <cols>
    <col min="1" max="1" width="4.42578125" customWidth="1"/>
    <col min="2" max="2" width="7.7109375" customWidth="1"/>
    <col min="3" max="3" width="10.28515625" customWidth="1"/>
    <col min="4" max="4" width="16.7109375" bestFit="1" customWidth="1"/>
    <col min="5" max="5" width="1.5703125" customWidth="1"/>
    <col min="6" max="6" width="16.7109375" bestFit="1" customWidth="1"/>
    <col min="7" max="7" width="1.5703125" customWidth="1"/>
    <col min="8" max="8" width="17.42578125" bestFit="1" customWidth="1"/>
    <col min="9" max="9" width="4.42578125" customWidth="1"/>
    <col min="10" max="10" width="6.7109375" customWidth="1"/>
    <col min="11" max="11" width="20.140625" customWidth="1"/>
    <col min="16" max="16" width="14" bestFit="1" customWidth="1"/>
  </cols>
  <sheetData>
    <row r="2" spans="1:16" ht="15.75">
      <c r="B2" s="105"/>
      <c r="C2" s="137"/>
      <c r="D2" s="105"/>
      <c r="E2" s="105"/>
      <c r="F2" s="105"/>
      <c r="G2" s="105"/>
      <c r="H2" s="105"/>
    </row>
    <row r="3" spans="1:16" ht="15.75">
      <c r="B3" s="197" t="s">
        <v>126</v>
      </c>
      <c r="C3" s="198"/>
      <c r="D3" s="198"/>
      <c r="E3" s="198"/>
      <c r="F3" s="198"/>
      <c r="G3" s="198"/>
      <c r="H3" s="199"/>
    </row>
    <row r="4" spans="1:16" ht="15.75">
      <c r="B4" s="187"/>
      <c r="C4" s="188"/>
      <c r="D4" s="189"/>
      <c r="E4" s="188"/>
      <c r="F4" s="188"/>
      <c r="G4" s="188"/>
      <c r="H4" s="190"/>
    </row>
    <row r="5" spans="1:16" ht="15.75">
      <c r="B5" s="134" t="s">
        <v>113</v>
      </c>
      <c r="C5" s="105"/>
      <c r="E5" s="105"/>
      <c r="F5" s="184">
        <f>'Proposed ResEx Rate'!G17</f>
        <v>2783965909.8364758</v>
      </c>
      <c r="G5" s="105"/>
      <c r="H5" s="192"/>
    </row>
    <row r="6" spans="1:16" ht="15.75">
      <c r="B6" s="134"/>
      <c r="C6" s="105"/>
      <c r="D6" s="184"/>
      <c r="E6" s="105"/>
      <c r="F6" s="185"/>
      <c r="G6" s="105"/>
      <c r="H6" s="192"/>
    </row>
    <row r="7" spans="1:16" ht="15.75">
      <c r="B7" s="134"/>
      <c r="C7" s="105"/>
      <c r="D7" s="181">
        <v>2024</v>
      </c>
      <c r="E7" s="105"/>
      <c r="F7" s="181">
        <v>2023</v>
      </c>
      <c r="G7" s="105"/>
      <c r="H7" s="192"/>
    </row>
    <row r="8" spans="1:16" ht="15.75">
      <c r="B8" s="134"/>
      <c r="C8" s="105"/>
      <c r="D8" s="140" t="s">
        <v>108</v>
      </c>
      <c r="E8" s="135"/>
      <c r="F8" s="140" t="s">
        <v>86</v>
      </c>
      <c r="G8" s="105"/>
      <c r="H8" s="192"/>
    </row>
    <row r="9" spans="1:16" ht="18">
      <c r="A9" s="105"/>
      <c r="B9" s="134" t="s">
        <v>4</v>
      </c>
      <c r="D9" s="138">
        <f>'Proposed ResEx Rate'!G25</f>
        <v>-4.1099999999999999E-3</v>
      </c>
      <c r="E9" s="183"/>
      <c r="F9" s="182">
        <v>-3.8600000000000001E-3</v>
      </c>
      <c r="G9" s="105"/>
      <c r="H9" s="193"/>
      <c r="P9" s="18"/>
    </row>
    <row r="10" spans="1:16" ht="15.75">
      <c r="A10" s="105"/>
      <c r="B10" s="160"/>
      <c r="D10" s="186">
        <f>+D9*F5</f>
        <v>-11442099.889427915</v>
      </c>
      <c r="E10" s="186">
        <f>+E9*E5</f>
        <v>0</v>
      </c>
      <c r="F10" s="186">
        <f>+F9*F5</f>
        <v>-10746108.411968797</v>
      </c>
      <c r="H10" s="192">
        <f>-(D10-F10)</f>
        <v>695991.47745911777</v>
      </c>
      <c r="L10" s="105"/>
      <c r="P10" s="18"/>
    </row>
    <row r="11" spans="1:16" ht="15.75">
      <c r="A11" s="105"/>
      <c r="B11" s="139"/>
      <c r="C11" s="136"/>
      <c r="D11" s="191"/>
      <c r="E11" s="136"/>
      <c r="F11" s="136"/>
      <c r="G11" s="136"/>
      <c r="H11" s="194"/>
      <c r="L11" s="105"/>
      <c r="M11" s="159"/>
      <c r="P11" s="18"/>
    </row>
    <row r="12" spans="1:16" ht="15.75" customHeight="1">
      <c r="A12" s="105"/>
      <c r="C12" s="105"/>
      <c r="D12" s="105"/>
      <c r="E12" s="105"/>
      <c r="F12" s="105"/>
      <c r="G12" s="105"/>
      <c r="H12" s="105"/>
      <c r="P12" s="18"/>
    </row>
    <row r="13" spans="1:16" ht="15.75" customHeight="1">
      <c r="B13" s="105" t="s">
        <v>119</v>
      </c>
      <c r="C13" s="105"/>
      <c r="E13" s="105"/>
      <c r="F13" s="105"/>
      <c r="G13" s="105"/>
      <c r="H13" s="163">
        <v>654839000</v>
      </c>
      <c r="L13" s="105"/>
    </row>
    <row r="14" spans="1:16" ht="15.75" customHeight="1">
      <c r="C14" s="105"/>
      <c r="D14" s="105"/>
      <c r="E14" s="105"/>
      <c r="F14" s="105"/>
      <c r="G14" s="105"/>
      <c r="H14" s="161">
        <f>H10/H13</f>
        <v>1.0628436569280659E-3</v>
      </c>
      <c r="J14" s="105"/>
      <c r="K14" s="19"/>
      <c r="O14" s="162"/>
    </row>
    <row r="15" spans="1:16" ht="15.75">
      <c r="C15" s="105"/>
      <c r="D15" s="105"/>
      <c r="E15" s="105"/>
      <c r="F15" s="105"/>
      <c r="G15" s="105"/>
      <c r="H15" s="105"/>
      <c r="N15" t="s">
        <v>120</v>
      </c>
    </row>
    <row r="19" spans="11:15" ht="15.75">
      <c r="K19" s="176"/>
      <c r="L19" s="177"/>
      <c r="M19" s="178"/>
      <c r="N19" s="178"/>
      <c r="O19" s="178"/>
    </row>
    <row r="20" spans="11:15" ht="15.75">
      <c r="K20" s="176"/>
      <c r="L20" s="177"/>
      <c r="M20" s="178"/>
      <c r="N20" s="178"/>
      <c r="O20" s="178"/>
    </row>
    <row r="21" spans="11:15" ht="15.75">
      <c r="K21" s="176"/>
      <c r="L21" s="177"/>
      <c r="M21" s="178"/>
      <c r="N21" s="178"/>
      <c r="O21" s="178"/>
    </row>
    <row r="22" spans="11:15" ht="15.75">
      <c r="K22" s="178"/>
      <c r="L22" s="177"/>
      <c r="M22" s="178"/>
      <c r="N22" s="178"/>
      <c r="O22" s="178"/>
    </row>
    <row r="23" spans="11:15">
      <c r="K23" s="176"/>
      <c r="L23" s="178"/>
      <c r="M23" s="178"/>
      <c r="N23" s="178"/>
      <c r="O23" s="178"/>
    </row>
    <row r="24" spans="11:15">
      <c r="K24" s="178"/>
      <c r="L24" s="178"/>
      <c r="M24" s="178"/>
      <c r="N24" s="178"/>
      <c r="O24" s="178"/>
    </row>
    <row r="25" spans="11:15">
      <c r="K25" s="178"/>
      <c r="L25" s="178"/>
      <c r="M25" s="178"/>
      <c r="N25" s="178"/>
      <c r="O25" s="178"/>
    </row>
    <row r="26" spans="11:15" ht="15.75">
      <c r="K26" s="176"/>
      <c r="L26" s="177"/>
      <c r="M26" s="178"/>
      <c r="N26" s="178"/>
      <c r="O26" s="178"/>
    </row>
    <row r="27" spans="11:15" ht="15.75">
      <c r="K27" s="176"/>
      <c r="L27" s="177"/>
      <c r="M27" s="178"/>
      <c r="N27" s="178"/>
      <c r="O27" s="178"/>
    </row>
    <row r="28" spans="11:15" ht="15.75">
      <c r="K28" s="170"/>
      <c r="L28" s="177"/>
      <c r="M28" s="178"/>
      <c r="N28" s="178"/>
      <c r="O28" s="178"/>
    </row>
    <row r="29" spans="11:15">
      <c r="K29" s="178"/>
      <c r="L29" s="178"/>
      <c r="M29" s="178"/>
      <c r="N29" s="178"/>
      <c r="O29" s="178"/>
    </row>
    <row r="30" spans="11:15">
      <c r="K30" s="176"/>
      <c r="L30" s="178"/>
      <c r="M30" s="178"/>
      <c r="N30" s="178"/>
      <c r="O30" s="178"/>
    </row>
    <row r="31" spans="11:15">
      <c r="K31" s="122"/>
    </row>
  </sheetData>
  <mergeCells count="1">
    <mergeCell ref="B3:H3"/>
  </mergeCells>
  <pageMargins left="0.7" right="0.7" top="0.75" bottom="0.75" header="0.3" footer="0.3"/>
  <pageSetup scale="99"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FF"/>
  </sheetPr>
  <dimension ref="A1:Q37"/>
  <sheetViews>
    <sheetView zoomScale="108" zoomScaleNormal="115" workbookViewId="0">
      <selection activeCell="F16" sqref="F16"/>
    </sheetView>
  </sheetViews>
  <sheetFormatPr defaultRowHeight="12.75"/>
  <cols>
    <col min="1" max="1" width="7.7109375" customWidth="1"/>
    <col min="2" max="2" width="10.140625" bestFit="1" customWidth="1"/>
    <col min="6" max="6" width="16.5703125" bestFit="1" customWidth="1"/>
    <col min="8" max="8" width="13.5703125" bestFit="1" customWidth="1"/>
    <col min="11" max="11" width="11.7109375" bestFit="1" customWidth="1"/>
    <col min="12" max="12" width="10.7109375" bestFit="1" customWidth="1"/>
    <col min="14" max="14" width="11.140625" bestFit="1" customWidth="1"/>
  </cols>
  <sheetData>
    <row r="1" spans="1:8">
      <c r="A1" s="200" t="s">
        <v>16</v>
      </c>
      <c r="B1" s="200"/>
      <c r="C1" s="200"/>
      <c r="D1" s="200"/>
      <c r="E1" s="200"/>
      <c r="F1" s="200"/>
      <c r="G1" s="200"/>
      <c r="H1" s="200"/>
    </row>
    <row r="2" spans="1:8">
      <c r="A2" s="200" t="s">
        <v>55</v>
      </c>
      <c r="B2" s="200"/>
      <c r="C2" s="200"/>
      <c r="D2" s="200"/>
      <c r="E2" s="200"/>
      <c r="F2" s="200"/>
      <c r="G2" s="200"/>
      <c r="H2" s="200"/>
    </row>
    <row r="3" spans="1:8">
      <c r="A3" s="200" t="s">
        <v>17</v>
      </c>
      <c r="B3" s="200"/>
      <c r="C3" s="200"/>
      <c r="D3" s="200"/>
      <c r="E3" s="200"/>
      <c r="F3" s="200"/>
      <c r="G3" s="200"/>
      <c r="H3" s="200"/>
    </row>
    <row r="5" spans="1:8">
      <c r="F5" s="7"/>
    </row>
    <row r="6" spans="1:8">
      <c r="A6" t="s">
        <v>18</v>
      </c>
      <c r="B6" s="2">
        <v>45442</v>
      </c>
      <c r="C6" t="s">
        <v>24</v>
      </c>
      <c r="F6" s="115">
        <v>260325.13</v>
      </c>
      <c r="H6" s="156">
        <v>4.87E-2</v>
      </c>
    </row>
    <row r="7" spans="1:8">
      <c r="B7" t="s">
        <v>38</v>
      </c>
      <c r="F7" s="116">
        <v>-830171.7</v>
      </c>
      <c r="H7" s="114"/>
    </row>
    <row r="8" spans="1:8">
      <c r="B8" t="s">
        <v>20</v>
      </c>
      <c r="F8" s="116">
        <v>606707.71</v>
      </c>
    </row>
    <row r="9" spans="1:8">
      <c r="B9" t="s">
        <v>21</v>
      </c>
      <c r="F9" s="117">
        <v>1058.6600000000001</v>
      </c>
    </row>
    <row r="10" spans="1:8">
      <c r="A10" t="s">
        <v>18</v>
      </c>
      <c r="B10" s="2">
        <v>45473</v>
      </c>
      <c r="C10" t="s">
        <v>24</v>
      </c>
      <c r="F10" s="7">
        <f>SUM(F6:F9)</f>
        <v>37919.800000000017</v>
      </c>
    </row>
    <row r="11" spans="1:8">
      <c r="B11" t="s">
        <v>19</v>
      </c>
      <c r="F11" s="116">
        <v>-714565.03</v>
      </c>
    </row>
    <row r="12" spans="1:8">
      <c r="B12" t="s">
        <v>20</v>
      </c>
      <c r="F12" s="166">
        <v>765739.69</v>
      </c>
    </row>
    <row r="13" spans="1:8">
      <c r="B13" t="s">
        <v>21</v>
      </c>
      <c r="F13" s="167">
        <v>153.88999999999999</v>
      </c>
      <c r="H13" s="20"/>
    </row>
    <row r="14" spans="1:8">
      <c r="A14" t="s">
        <v>18</v>
      </c>
      <c r="B14" s="2">
        <v>45504</v>
      </c>
      <c r="C14" t="s">
        <v>24</v>
      </c>
      <c r="F14" s="7">
        <f>SUM(F10:F13)</f>
        <v>89248.349999999962</v>
      </c>
    </row>
    <row r="15" spans="1:8">
      <c r="B15" t="s">
        <v>22</v>
      </c>
      <c r="F15" s="116">
        <v>-701182.81</v>
      </c>
      <c r="H15" s="7"/>
    </row>
    <row r="16" spans="1:8">
      <c r="B16" t="s">
        <v>121</v>
      </c>
      <c r="F16" s="116">
        <f>-'July Unbilled'!D22</f>
        <v>294147.0907180385</v>
      </c>
      <c r="H16" s="7"/>
    </row>
    <row r="17" spans="1:17">
      <c r="B17" t="s">
        <v>20</v>
      </c>
      <c r="F17" s="44">
        <f>-'Projected kWhs'!C28*1000</f>
        <v>619949.67797623191</v>
      </c>
      <c r="H17" s="7"/>
      <c r="K17" s="3"/>
      <c r="N17" s="3"/>
      <c r="P17" s="3"/>
      <c r="Q17" s="3"/>
    </row>
    <row r="18" spans="1:17">
      <c r="B18" t="s">
        <v>21</v>
      </c>
      <c r="F18" s="45">
        <f>(F14*H6)/12</f>
        <v>362.19955374999989</v>
      </c>
      <c r="H18" s="7"/>
    </row>
    <row r="19" spans="1:17">
      <c r="A19" t="s">
        <v>18</v>
      </c>
      <c r="B19" s="2">
        <v>45535</v>
      </c>
      <c r="C19" t="s">
        <v>25</v>
      </c>
      <c r="F19" s="7">
        <f>SUM(F14:F18)</f>
        <v>302524.50824802031</v>
      </c>
      <c r="H19" s="7"/>
    </row>
    <row r="20" spans="1:17">
      <c r="B20" t="s">
        <v>23</v>
      </c>
      <c r="F20" s="116">
        <v>-875315.13</v>
      </c>
      <c r="H20" s="7"/>
    </row>
    <row r="21" spans="1:17">
      <c r="B21" t="s">
        <v>20</v>
      </c>
      <c r="F21" s="44">
        <f>-'Projected kWhs'!D28*1000</f>
        <v>686764.7635783935</v>
      </c>
      <c r="G21" s="6"/>
      <c r="H21" s="7"/>
    </row>
    <row r="22" spans="1:17">
      <c r="B22" t="s">
        <v>21</v>
      </c>
      <c r="F22" s="45">
        <f>(F19*H6)/12</f>
        <v>1227.7452959732157</v>
      </c>
      <c r="H22" s="7"/>
    </row>
    <row r="23" spans="1:17">
      <c r="A23" t="s">
        <v>18</v>
      </c>
      <c r="B23" s="2">
        <v>45565</v>
      </c>
      <c r="C23" t="s">
        <v>25</v>
      </c>
      <c r="F23" s="7">
        <f>SUM(F19:F22)</f>
        <v>115201.88712238702</v>
      </c>
      <c r="H23" s="7"/>
    </row>
    <row r="24" spans="1:17">
      <c r="B24" t="s">
        <v>122</v>
      </c>
      <c r="F24" s="116">
        <v>-965704.79</v>
      </c>
      <c r="H24" s="7"/>
    </row>
    <row r="25" spans="1:17">
      <c r="B25" t="s">
        <v>20</v>
      </c>
      <c r="F25" s="44">
        <f>-'Projected kWhs'!D28*1000</f>
        <v>686764.7635783935</v>
      </c>
      <c r="H25" s="7"/>
    </row>
    <row r="26" spans="1:17">
      <c r="B26" t="s">
        <v>21</v>
      </c>
      <c r="F26" s="45">
        <f>(F23*H6)/12</f>
        <v>467.52765857168737</v>
      </c>
      <c r="H26" s="7"/>
    </row>
    <row r="27" spans="1:17">
      <c r="A27" t="s">
        <v>18</v>
      </c>
      <c r="B27" s="2">
        <v>45596</v>
      </c>
      <c r="C27" t="s">
        <v>25</v>
      </c>
      <c r="F27" s="165">
        <f>SUM(F23:F26)</f>
        <v>-163270.61164064778</v>
      </c>
      <c r="G27" s="6"/>
      <c r="H27" s="7"/>
    </row>
    <row r="28" spans="1:17">
      <c r="F28" s="3"/>
      <c r="H28" s="18"/>
    </row>
    <row r="29" spans="1:17">
      <c r="F29" s="3"/>
    </row>
    <row r="30" spans="1:17">
      <c r="A30" s="1" t="s">
        <v>27</v>
      </c>
      <c r="F30" s="3"/>
    </row>
    <row r="31" spans="1:17">
      <c r="A31" t="s">
        <v>123</v>
      </c>
      <c r="F31" s="100">
        <f>F6</f>
        <v>260325.13</v>
      </c>
      <c r="H31" s="171"/>
    </row>
    <row r="32" spans="1:17">
      <c r="A32" t="s">
        <v>28</v>
      </c>
      <c r="F32" s="18">
        <f>SUM(F20,F24,F15,F11,F7)</f>
        <v>-4086939.46</v>
      </c>
      <c r="H32" s="162"/>
    </row>
    <row r="33" spans="1:8">
      <c r="A33" t="s">
        <v>124</v>
      </c>
      <c r="F33" s="168">
        <f>F16</f>
        <v>294147.0907180385</v>
      </c>
      <c r="H33" s="162"/>
    </row>
    <row r="34" spans="1:8">
      <c r="A34" t="s">
        <v>20</v>
      </c>
      <c r="F34" s="168">
        <f>SUM(F21,F25,F17,F12,F8)</f>
        <v>3365926.6051330189</v>
      </c>
      <c r="H34" s="162"/>
    </row>
    <row r="35" spans="1:8">
      <c r="A35" t="s">
        <v>21</v>
      </c>
      <c r="F35" s="169">
        <f>F22+F26+F18+F13+F9</f>
        <v>3270.0225082949028</v>
      </c>
      <c r="H35" s="162"/>
    </row>
    <row r="36" spans="1:8">
      <c r="A36" t="s">
        <v>18</v>
      </c>
      <c r="F36" s="100">
        <f>SUM(F31:F35)</f>
        <v>-163270.61164064787</v>
      </c>
    </row>
    <row r="37" spans="1:8">
      <c r="F37" s="171"/>
    </row>
  </sheetData>
  <mergeCells count="3">
    <mergeCell ref="A1:H1"/>
    <mergeCell ref="A2:H2"/>
    <mergeCell ref="A3:H3"/>
  </mergeCells>
  <pageMargins left="1.01" right="0.7" top="0.75" bottom="0.75" header="0.3" footer="0.3"/>
  <pageSetup orientation="portrait" r:id="rId1"/>
  <headerFooter>
    <oddFooter>&amp;L&amp;A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R26"/>
  <sheetViews>
    <sheetView view="pageLayout" zoomScaleNormal="100" workbookViewId="0">
      <selection activeCell="D7" sqref="D7"/>
    </sheetView>
  </sheetViews>
  <sheetFormatPr defaultRowHeight="12.75"/>
  <cols>
    <col min="1" max="2" width="9.140625" style="21"/>
    <col min="3" max="3" width="6.85546875" style="21" customWidth="1"/>
    <col min="4" max="4" width="14" style="21" bestFit="1" customWidth="1"/>
    <col min="5" max="5" width="8.28515625" style="21" bestFit="1" customWidth="1"/>
    <col min="6" max="6" width="12.28515625" style="21" customWidth="1"/>
    <col min="7" max="7" width="12.7109375" style="21" bestFit="1" customWidth="1"/>
    <col min="8" max="8" width="8.28515625" style="21" bestFit="1" customWidth="1"/>
    <col min="9" max="9" width="10.140625" style="21" bestFit="1" customWidth="1"/>
    <col min="10" max="10" width="12.7109375" style="21" bestFit="1" customWidth="1"/>
    <col min="11" max="11" width="5.7109375" style="21" bestFit="1" customWidth="1"/>
    <col min="12" max="12" width="12.28515625" style="21" customWidth="1"/>
    <col min="13" max="16384" width="9.140625" style="21"/>
  </cols>
  <sheetData>
    <row r="1" spans="1:11">
      <c r="A1" s="195" t="s">
        <v>16</v>
      </c>
      <c r="B1" s="195"/>
      <c r="C1" s="195"/>
      <c r="D1" s="195"/>
      <c r="E1" s="195"/>
      <c r="F1" s="195"/>
      <c r="G1" s="195"/>
      <c r="H1" s="195"/>
      <c r="I1" s="195"/>
      <c r="J1" s="195"/>
      <c r="K1" s="195"/>
    </row>
    <row r="2" spans="1:11" ht="14.25" customHeight="1">
      <c r="A2" s="195" t="s">
        <v>39</v>
      </c>
      <c r="B2" s="195"/>
      <c r="C2" s="195"/>
      <c r="D2" s="195"/>
      <c r="E2" s="195"/>
      <c r="F2" s="195"/>
      <c r="G2" s="195"/>
      <c r="H2" s="195"/>
      <c r="I2" s="195"/>
      <c r="J2" s="195"/>
      <c r="K2" s="195"/>
    </row>
    <row r="4" spans="1:11">
      <c r="I4" s="31"/>
    </row>
    <row r="6" spans="1:11">
      <c r="A6" s="25" t="s">
        <v>114</v>
      </c>
      <c r="D6" s="32" t="s">
        <v>62</v>
      </c>
      <c r="E6" s="32" t="s">
        <v>3</v>
      </c>
      <c r="F6" s="32" t="s">
        <v>41</v>
      </c>
    </row>
    <row r="7" spans="1:11">
      <c r="A7" s="21" t="s">
        <v>13</v>
      </c>
      <c r="D7" s="4">
        <f>+'Load Calculation'!F24</f>
        <v>2757201975.9147902</v>
      </c>
      <c r="E7" s="33">
        <f>D7/D9</f>
        <v>0.66778496294607281</v>
      </c>
      <c r="F7" s="22">
        <f>F9*E7</f>
        <v>10780659.72582682</v>
      </c>
    </row>
    <row r="8" spans="1:11">
      <c r="A8" s="21" t="s">
        <v>14</v>
      </c>
      <c r="D8" s="5">
        <f>+'Load Calculation'!E24</f>
        <v>1371675026.2728872</v>
      </c>
      <c r="E8" s="34">
        <f>D8/D9</f>
        <v>0.33221503705392724</v>
      </c>
      <c r="F8" s="5">
        <f>F9*E8</f>
        <v>5363249.3527269848</v>
      </c>
    </row>
    <row r="9" spans="1:11">
      <c r="A9" s="21" t="s">
        <v>15</v>
      </c>
      <c r="D9" s="4">
        <f>D7+D8</f>
        <v>4128877002.1876774</v>
      </c>
      <c r="E9" s="33">
        <f>E7+E8</f>
        <v>1</v>
      </c>
      <c r="F9" s="22">
        <f>D17</f>
        <v>16143909.078553805</v>
      </c>
    </row>
    <row r="12" spans="1:11">
      <c r="A12" s="21" t="s">
        <v>11</v>
      </c>
      <c r="D12" s="154">
        <v>70.61</v>
      </c>
    </row>
    <row r="13" spans="1:11">
      <c r="A13" s="21" t="s">
        <v>12</v>
      </c>
      <c r="C13" s="22"/>
      <c r="D13" s="155">
        <v>66.7</v>
      </c>
    </row>
    <row r="14" spans="1:11">
      <c r="C14" s="22"/>
      <c r="D14" s="35">
        <f>D12-D13</f>
        <v>3.9099999999999966</v>
      </c>
    </row>
    <row r="15" spans="1:11">
      <c r="C15" s="22"/>
      <c r="D15" s="35"/>
    </row>
    <row r="16" spans="1:11">
      <c r="A16" s="21" t="s">
        <v>51</v>
      </c>
      <c r="C16" s="22"/>
      <c r="D16" s="36">
        <f>D9</f>
        <v>4128877002.1876774</v>
      </c>
    </row>
    <row r="17" spans="1:18">
      <c r="A17" s="21" t="s">
        <v>52</v>
      </c>
      <c r="C17" s="37"/>
      <c r="D17" s="36">
        <f>D14*D16/1000</f>
        <v>16143909.078553805</v>
      </c>
      <c r="P17" s="38"/>
      <c r="Q17" s="38"/>
      <c r="R17" s="38"/>
    </row>
    <row r="18" spans="1:18">
      <c r="P18" s="31"/>
      <c r="Q18" s="31"/>
      <c r="R18" s="31"/>
    </row>
    <row r="19" spans="1:18">
      <c r="P19" s="31"/>
      <c r="Q19" s="31"/>
      <c r="R19" s="31"/>
    </row>
    <row r="20" spans="1:18">
      <c r="A20" s="21" t="s">
        <v>109</v>
      </c>
      <c r="P20" s="31"/>
      <c r="Q20" s="31"/>
      <c r="R20" s="31"/>
    </row>
    <row r="21" spans="1:18">
      <c r="C21" s="22"/>
      <c r="P21" s="39"/>
      <c r="Q21" s="39"/>
      <c r="R21" s="39"/>
    </row>
    <row r="22" spans="1:18">
      <c r="C22" s="22"/>
    </row>
    <row r="24" spans="1:18">
      <c r="C24" s="22"/>
    </row>
    <row r="25" spans="1:18">
      <c r="C25" s="37"/>
    </row>
    <row r="26" spans="1:18">
      <c r="C26" s="37"/>
    </row>
  </sheetData>
  <mergeCells count="2">
    <mergeCell ref="A1:K1"/>
    <mergeCell ref="A2:K2"/>
  </mergeCells>
  <pageMargins left="1.01" right="0.7" top="0.75" bottom="0.75" header="0.3" footer="0.3"/>
  <pageSetup orientation="landscape" r:id="rId1"/>
  <headerFooter>
    <oddFooter>&amp;L&amp;A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FF"/>
    <pageSetUpPr fitToPage="1"/>
  </sheetPr>
  <dimension ref="A1:X88"/>
  <sheetViews>
    <sheetView zoomScaleNormal="100" workbookViewId="0">
      <selection activeCell="P23" sqref="P23"/>
    </sheetView>
  </sheetViews>
  <sheetFormatPr defaultRowHeight="12.75"/>
  <cols>
    <col min="1" max="1" width="13.140625" style="21" bestFit="1" customWidth="1"/>
    <col min="2" max="2" width="12.85546875" style="21" bestFit="1" customWidth="1"/>
    <col min="3" max="3" width="12.42578125" style="21" bestFit="1" customWidth="1"/>
    <col min="4" max="13" width="12.28515625" style="21" bestFit="1" customWidth="1"/>
    <col min="14" max="14" width="14" style="21" bestFit="1" customWidth="1"/>
    <col min="15" max="16" width="11.28515625" style="21" bestFit="1" customWidth="1"/>
    <col min="17" max="17" width="11.85546875" style="21" bestFit="1" customWidth="1"/>
    <col min="18" max="19" width="16" style="21" bestFit="1" customWidth="1"/>
    <col min="20" max="20" width="14" style="21" bestFit="1" customWidth="1"/>
    <col min="21" max="16384" width="9.140625" style="21"/>
  </cols>
  <sheetData>
    <row r="1" spans="1:20">
      <c r="A1" s="195" t="s">
        <v>2</v>
      </c>
      <c r="B1" s="195"/>
      <c r="C1" s="195"/>
      <c r="D1" s="195"/>
      <c r="E1" s="195"/>
      <c r="F1" s="195"/>
      <c r="G1" s="195"/>
      <c r="H1" s="195"/>
      <c r="I1" s="195"/>
      <c r="J1" s="195"/>
      <c r="K1" s="195"/>
      <c r="L1" s="195"/>
      <c r="M1" s="195"/>
      <c r="N1" s="195"/>
      <c r="O1" s="195"/>
      <c r="P1" s="195"/>
    </row>
    <row r="2" spans="1:20">
      <c r="A2" s="195" t="s">
        <v>8</v>
      </c>
      <c r="B2" s="195"/>
      <c r="C2" s="195"/>
      <c r="D2" s="195"/>
      <c r="E2" s="195"/>
      <c r="F2" s="195"/>
      <c r="G2" s="195"/>
      <c r="H2" s="195"/>
      <c r="I2" s="195"/>
      <c r="J2" s="195"/>
      <c r="K2" s="195"/>
      <c r="L2" s="195"/>
      <c r="M2" s="195"/>
      <c r="N2" s="195"/>
      <c r="O2" s="195"/>
      <c r="P2" s="195"/>
    </row>
    <row r="3" spans="1:20">
      <c r="A3" s="195" t="s">
        <v>10</v>
      </c>
      <c r="B3" s="195"/>
      <c r="C3" s="195"/>
      <c r="D3" s="195"/>
      <c r="E3" s="195"/>
      <c r="F3" s="195"/>
      <c r="G3" s="195"/>
      <c r="H3" s="195"/>
      <c r="I3" s="195"/>
      <c r="J3" s="195"/>
      <c r="K3" s="195"/>
      <c r="L3" s="195"/>
      <c r="M3" s="195"/>
      <c r="N3" s="195"/>
      <c r="O3" s="195"/>
      <c r="P3" s="195"/>
    </row>
    <row r="4" spans="1:20">
      <c r="A4" s="196" t="s">
        <v>61</v>
      </c>
      <c r="B4" s="196"/>
      <c r="C4" s="196"/>
      <c r="D4" s="196"/>
      <c r="E4" s="196"/>
      <c r="F4" s="196"/>
      <c r="G4" s="196"/>
      <c r="H4" s="196"/>
      <c r="I4" s="196"/>
      <c r="J4" s="196"/>
      <c r="K4" s="196"/>
      <c r="L4" s="196"/>
      <c r="M4" s="196"/>
      <c r="N4" s="196"/>
      <c r="O4" s="196"/>
      <c r="P4" s="196"/>
    </row>
    <row r="6" spans="1:20">
      <c r="A6" s="40" t="s">
        <v>85</v>
      </c>
    </row>
    <row r="7" spans="1:20">
      <c r="A7" s="40" t="s">
        <v>9</v>
      </c>
    </row>
    <row r="9" spans="1:20">
      <c r="A9" s="41"/>
      <c r="B9" s="43">
        <f>+B46</f>
        <v>45597</v>
      </c>
      <c r="C9" s="43">
        <f t="shared" ref="C9:M9" si="0">+C46</f>
        <v>45627</v>
      </c>
      <c r="D9" s="43">
        <f t="shared" si="0"/>
        <v>45658</v>
      </c>
      <c r="E9" s="43">
        <f t="shared" si="0"/>
        <v>45689</v>
      </c>
      <c r="F9" s="43">
        <f t="shared" si="0"/>
        <v>45717</v>
      </c>
      <c r="G9" s="43">
        <f t="shared" si="0"/>
        <v>45748</v>
      </c>
      <c r="H9" s="43">
        <f t="shared" si="0"/>
        <v>45778</v>
      </c>
      <c r="I9" s="43">
        <f t="shared" si="0"/>
        <v>45809</v>
      </c>
      <c r="J9" s="43">
        <f t="shared" si="0"/>
        <v>45839</v>
      </c>
      <c r="K9" s="43">
        <f t="shared" si="0"/>
        <v>45870</v>
      </c>
      <c r="L9" s="43">
        <f t="shared" si="0"/>
        <v>45901</v>
      </c>
      <c r="M9" s="43">
        <f t="shared" si="0"/>
        <v>45931</v>
      </c>
      <c r="N9" s="62" t="s">
        <v>0</v>
      </c>
    </row>
    <row r="10" spans="1:20">
      <c r="A10" s="25" t="s">
        <v>0</v>
      </c>
    </row>
    <row r="11" spans="1:20">
      <c r="A11" s="42" t="s">
        <v>56</v>
      </c>
      <c r="B11" s="119">
        <f>B61</f>
        <v>239415.87534043533</v>
      </c>
      <c r="C11" s="119">
        <f t="shared" ref="C11:M11" si="1">C61</f>
        <v>304215.26957546175</v>
      </c>
      <c r="D11" s="119">
        <f t="shared" si="1"/>
        <v>317720.30429503013</v>
      </c>
      <c r="E11" s="119">
        <f t="shared" si="1"/>
        <v>250529.57126444689</v>
      </c>
      <c r="F11" s="119">
        <f t="shared" si="1"/>
        <v>236155.4976089765</v>
      </c>
      <c r="G11" s="119">
        <f t="shared" si="1"/>
        <v>203935.70704712585</v>
      </c>
      <c r="H11" s="119">
        <f t="shared" si="1"/>
        <v>181246.8105236835</v>
      </c>
      <c r="I11" s="119">
        <f t="shared" si="1"/>
        <v>176156.77087080799</v>
      </c>
      <c r="J11" s="119">
        <f t="shared" si="1"/>
        <v>201643.61619570831</v>
      </c>
      <c r="K11" s="119">
        <f t="shared" si="1"/>
        <v>209605.36114545268</v>
      </c>
      <c r="L11" s="119">
        <f t="shared" si="1"/>
        <v>166823.67030291175</v>
      </c>
      <c r="M11" s="119">
        <f t="shared" si="1"/>
        <v>182565.52621839393</v>
      </c>
      <c r="N11" s="73">
        <f>SUM(B11:M11)</f>
        <v>2670013.9803884341</v>
      </c>
      <c r="P11" s="21">
        <f>'Proposed ResEx Rate'!G27</f>
        <v>-2.4999999999999979E-4</v>
      </c>
      <c r="Q11" s="179">
        <f>(N11*1000)*P11</f>
        <v>-667503.49509710795</v>
      </c>
      <c r="R11" s="4"/>
      <c r="S11" s="113"/>
      <c r="T11" s="30"/>
    </row>
    <row r="12" spans="1:20">
      <c r="A12" s="42" t="s">
        <v>57</v>
      </c>
      <c r="B12" s="119">
        <f t="shared" ref="B12:M14" si="2">B62</f>
        <v>6678.5039665747872</v>
      </c>
      <c r="C12" s="119">
        <f t="shared" si="2"/>
        <v>8717.5939734924359</v>
      </c>
      <c r="D12" s="119">
        <f t="shared" si="2"/>
        <v>9024.2137073765953</v>
      </c>
      <c r="E12" s="119">
        <f t="shared" si="2"/>
        <v>6991.0609599690824</v>
      </c>
      <c r="F12" s="119">
        <f t="shared" si="2"/>
        <v>6910.9312865958873</v>
      </c>
      <c r="G12" s="119">
        <f t="shared" si="2"/>
        <v>5564.0704538342479</v>
      </c>
      <c r="H12" s="119">
        <f t="shared" si="2"/>
        <v>4833.802898661148</v>
      </c>
      <c r="I12" s="119">
        <f t="shared" si="2"/>
        <v>4371.4009446307264</v>
      </c>
      <c r="J12" s="119">
        <f t="shared" si="2"/>
        <v>4949.0645201433126</v>
      </c>
      <c r="K12" s="119">
        <f t="shared" si="2"/>
        <v>4724.0319416485299</v>
      </c>
      <c r="L12" s="119">
        <f t="shared" si="2"/>
        <v>4233.5086002744138</v>
      </c>
      <c r="M12" s="119">
        <f t="shared" si="2"/>
        <v>4894.5532063752462</v>
      </c>
      <c r="N12" s="73">
        <f>SUM(B12:M12)</f>
        <v>71892.736459576408</v>
      </c>
      <c r="P12" s="21">
        <f>P11</f>
        <v>-2.4999999999999979E-4</v>
      </c>
      <c r="Q12" s="179">
        <f t="shared" ref="Q12:Q15" si="3">(N12*1000)*P12</f>
        <v>-17973.184114894088</v>
      </c>
      <c r="R12" s="4"/>
      <c r="S12" s="113"/>
      <c r="T12" s="30"/>
    </row>
    <row r="13" spans="1:20">
      <c r="A13" s="42" t="s">
        <v>58</v>
      </c>
      <c r="B13" s="119">
        <f t="shared" si="2"/>
        <v>2704.1403466250272</v>
      </c>
      <c r="C13" s="119">
        <f t="shared" si="2"/>
        <v>3444.6934813220141</v>
      </c>
      <c r="D13" s="119">
        <f t="shared" si="2"/>
        <v>3553.7813232689268</v>
      </c>
      <c r="E13" s="119">
        <f t="shared" si="2"/>
        <v>2808.4608824171682</v>
      </c>
      <c r="F13" s="119">
        <f t="shared" si="2"/>
        <v>2707.2227637538249</v>
      </c>
      <c r="G13" s="119">
        <f t="shared" si="2"/>
        <v>2299.5631059586481</v>
      </c>
      <c r="H13" s="119">
        <f t="shared" si="2"/>
        <v>2104.162927245995</v>
      </c>
      <c r="I13" s="119">
        <f t="shared" si="2"/>
        <v>2089.4184871771176</v>
      </c>
      <c r="J13" s="119">
        <f t="shared" si="2"/>
        <v>2451.2511862399901</v>
      </c>
      <c r="K13" s="119">
        <f t="shared" si="2"/>
        <v>2352.6870353906183</v>
      </c>
      <c r="L13" s="119">
        <f t="shared" si="2"/>
        <v>2036.1495621030494</v>
      </c>
      <c r="M13" s="119">
        <f t="shared" si="2"/>
        <v>2262.9910784414201</v>
      </c>
      <c r="N13" s="73">
        <f>SUM(B13:M13)</f>
        <v>30814.5221799438</v>
      </c>
      <c r="P13" s="21">
        <f>P11</f>
        <v>-2.4999999999999979E-4</v>
      </c>
      <c r="Q13" s="179">
        <f t="shared" si="3"/>
        <v>-7703.6305449859437</v>
      </c>
      <c r="R13" s="4"/>
      <c r="S13" s="113"/>
      <c r="T13" s="30"/>
    </row>
    <row r="14" spans="1:20">
      <c r="A14" s="42" t="s">
        <v>59</v>
      </c>
      <c r="B14" s="119">
        <f t="shared" si="2"/>
        <v>380.81762768570746</v>
      </c>
      <c r="C14" s="119">
        <f t="shared" si="2"/>
        <v>406.61812461074152</v>
      </c>
      <c r="D14" s="119">
        <f t="shared" si="2"/>
        <v>481.16812571570449</v>
      </c>
      <c r="E14" s="119">
        <f t="shared" si="2"/>
        <v>385.64831963218523</v>
      </c>
      <c r="F14" s="119">
        <f t="shared" si="2"/>
        <v>379.76967518172279</v>
      </c>
      <c r="G14" s="119">
        <f t="shared" si="2"/>
        <v>423.60329246978188</v>
      </c>
      <c r="H14" s="119">
        <f t="shared" si="2"/>
        <v>629.06420606084612</v>
      </c>
      <c r="I14" s="119">
        <f t="shared" si="2"/>
        <v>947.01842331732178</v>
      </c>
      <c r="J14" s="119">
        <f t="shared" si="2"/>
        <v>1615.7823304639069</v>
      </c>
      <c r="K14" s="119">
        <f t="shared" si="2"/>
        <v>1874.2330946393479</v>
      </c>
      <c r="L14" s="119">
        <f t="shared" si="2"/>
        <v>1045.2450759003482</v>
      </c>
      <c r="M14" s="119">
        <f t="shared" si="2"/>
        <v>588.36461384348502</v>
      </c>
      <c r="N14" s="73">
        <f>SUM(B14:M14)</f>
        <v>9157.3329095210993</v>
      </c>
      <c r="P14" s="21">
        <f>P11</f>
        <v>-2.4999999999999979E-4</v>
      </c>
      <c r="Q14" s="179">
        <f t="shared" si="3"/>
        <v>-2289.333227380273</v>
      </c>
      <c r="R14" s="4"/>
      <c r="S14" s="113"/>
      <c r="T14" s="30"/>
    </row>
    <row r="15" spans="1:20">
      <c r="A15" s="42" t="s">
        <v>60</v>
      </c>
      <c r="B15" s="151">
        <f>+$D$67</f>
        <v>173.94482491666668</v>
      </c>
      <c r="C15" s="151">
        <f t="shared" ref="C15:M15" si="4">+$D$67</f>
        <v>173.94482491666668</v>
      </c>
      <c r="D15" s="151">
        <f t="shared" si="4"/>
        <v>173.94482491666668</v>
      </c>
      <c r="E15" s="151">
        <f t="shared" si="4"/>
        <v>173.94482491666668</v>
      </c>
      <c r="F15" s="151">
        <f t="shared" si="4"/>
        <v>173.94482491666668</v>
      </c>
      <c r="G15" s="151">
        <f t="shared" si="4"/>
        <v>173.94482491666668</v>
      </c>
      <c r="H15" s="151">
        <f t="shared" si="4"/>
        <v>173.94482491666668</v>
      </c>
      <c r="I15" s="151">
        <f t="shared" si="4"/>
        <v>173.94482491666668</v>
      </c>
      <c r="J15" s="151">
        <f t="shared" si="4"/>
        <v>173.94482491666668</v>
      </c>
      <c r="K15" s="151">
        <f t="shared" si="4"/>
        <v>173.94482491666668</v>
      </c>
      <c r="L15" s="151">
        <f t="shared" si="4"/>
        <v>173.94482491666668</v>
      </c>
      <c r="M15" s="151">
        <f t="shared" si="4"/>
        <v>173.94482491666668</v>
      </c>
      <c r="N15" s="152">
        <f>SUM(B15:M15)</f>
        <v>2087.3378990000001</v>
      </c>
      <c r="P15" s="21">
        <f>P11</f>
        <v>-2.4999999999999979E-4</v>
      </c>
      <c r="Q15" s="179">
        <f t="shared" si="3"/>
        <v>-521.83447474999957</v>
      </c>
      <c r="R15" s="4"/>
      <c r="S15" s="106"/>
      <c r="T15" s="153"/>
    </row>
    <row r="16" spans="1:20">
      <c r="A16" s="21" t="s">
        <v>0</v>
      </c>
      <c r="B16" s="119">
        <f t="shared" ref="B16:M16" si="5">SUM(B11:B15)</f>
        <v>249353.28210623752</v>
      </c>
      <c r="C16" s="119">
        <f t="shared" si="5"/>
        <v>316958.11997980363</v>
      </c>
      <c r="D16" s="119">
        <f t="shared" si="5"/>
        <v>330953.41227630805</v>
      </c>
      <c r="E16" s="119">
        <f t="shared" si="5"/>
        <v>260888.68625138199</v>
      </c>
      <c r="F16" s="119">
        <f t="shared" si="5"/>
        <v>246327.36615942456</v>
      </c>
      <c r="G16" s="119">
        <f t="shared" si="5"/>
        <v>212396.8887243052</v>
      </c>
      <c r="H16" s="119">
        <f t="shared" si="5"/>
        <v>188987.78538056812</v>
      </c>
      <c r="I16" s="119">
        <f t="shared" si="5"/>
        <v>183738.55355084981</v>
      </c>
      <c r="J16" s="119">
        <f t="shared" si="5"/>
        <v>210833.65905747219</v>
      </c>
      <c r="K16" s="119">
        <f t="shared" si="5"/>
        <v>218730.25804204785</v>
      </c>
      <c r="L16" s="119">
        <f t="shared" si="5"/>
        <v>174312.51836610623</v>
      </c>
      <c r="M16" s="119">
        <f t="shared" si="5"/>
        <v>190485.37994197072</v>
      </c>
      <c r="N16" s="73">
        <f t="shared" ref="N16" si="6">SUM(N11:N15)</f>
        <v>2783965.9098364757</v>
      </c>
      <c r="P16" s="104"/>
      <c r="Q16" s="179">
        <f>SUM(Q11:Q15)</f>
        <v>-695991.47745911835</v>
      </c>
      <c r="R16" s="4"/>
      <c r="S16" s="113"/>
    </row>
    <row r="18" spans="1:24">
      <c r="A18" s="25"/>
      <c r="B18" s="149">
        <f>B70</f>
        <v>45505</v>
      </c>
      <c r="C18" s="149">
        <f>C70</f>
        <v>45536</v>
      </c>
      <c r="D18" s="149">
        <f>D70</f>
        <v>45566</v>
      </c>
      <c r="E18" s="33"/>
    </row>
    <row r="19" spans="1:24">
      <c r="A19" s="21" t="str">
        <f t="shared" ref="A19:A24" si="7">A11</f>
        <v>WA001</v>
      </c>
      <c r="B19" s="119">
        <f t="shared" ref="B19:D22" si="8">B85</f>
        <v>205634.89840616786</v>
      </c>
      <c r="C19" s="119">
        <f t="shared" si="8"/>
        <v>160470.27649030823</v>
      </c>
      <c r="D19" s="119">
        <f>D85</f>
        <v>178221.11759096215</v>
      </c>
      <c r="E19" s="4"/>
      <c r="F19" s="4"/>
      <c r="G19" s="4"/>
      <c r="H19" s="4"/>
      <c r="I19" s="4"/>
      <c r="J19" s="4"/>
      <c r="K19" s="4"/>
      <c r="L19" s="4"/>
      <c r="M19" s="4"/>
      <c r="N19" s="4"/>
      <c r="O19" s="4"/>
      <c r="P19" s="4"/>
      <c r="R19" s="106"/>
    </row>
    <row r="20" spans="1:24">
      <c r="A20" s="21" t="str">
        <f t="shared" si="7"/>
        <v>WA012</v>
      </c>
      <c r="B20" s="119">
        <f t="shared" si="8"/>
        <v>4665.9996681473258</v>
      </c>
      <c r="C20" s="119">
        <f t="shared" si="8"/>
        <v>4182.7291640976428</v>
      </c>
      <c r="D20" s="119">
        <f t="shared" si="8"/>
        <v>4845.7224073872067</v>
      </c>
      <c r="E20" s="4"/>
      <c r="F20" s="4"/>
      <c r="G20" s="4"/>
      <c r="H20" s="4"/>
      <c r="I20" s="4"/>
      <c r="J20" s="4"/>
      <c r="K20" s="4"/>
      <c r="L20" s="4"/>
      <c r="M20" s="4"/>
      <c r="N20" s="4"/>
      <c r="O20" s="4"/>
      <c r="P20" s="4"/>
    </row>
    <row r="21" spans="1:24">
      <c r="A21" s="21" t="str">
        <f t="shared" si="7"/>
        <v>WA022</v>
      </c>
      <c r="B21" s="119">
        <f t="shared" si="8"/>
        <v>2338.0739351445472</v>
      </c>
      <c r="C21" s="119">
        <f t="shared" si="8"/>
        <v>2045.0202564702288</v>
      </c>
      <c r="D21" s="119">
        <f t="shared" si="8"/>
        <v>2226.041840623293</v>
      </c>
      <c r="E21" s="4"/>
      <c r="F21" s="4"/>
      <c r="G21" s="4"/>
      <c r="H21" s="4"/>
      <c r="I21" s="4"/>
      <c r="J21" s="4"/>
      <c r="K21" s="4"/>
      <c r="L21" s="4"/>
      <c r="M21" s="4"/>
      <c r="N21" s="4"/>
      <c r="O21" s="4"/>
      <c r="P21" s="4"/>
      <c r="R21" s="112"/>
    </row>
    <row r="22" spans="1:24">
      <c r="A22" s="21" t="str">
        <f t="shared" si="7"/>
        <v>WA032</v>
      </c>
      <c r="B22" s="119">
        <f t="shared" si="8"/>
        <v>1909.4342757574552</v>
      </c>
      <c r="C22" s="119">
        <f t="shared" si="8"/>
        <v>1116.741571258701</v>
      </c>
      <c r="D22" s="119">
        <f t="shared" si="8"/>
        <v>626.87156658872254</v>
      </c>
      <c r="F22" s="4"/>
      <c r="G22" s="4"/>
      <c r="H22" s="71"/>
      <c r="I22" s="71"/>
      <c r="J22" s="71"/>
      <c r="K22" s="71"/>
      <c r="L22" s="71"/>
      <c r="M22" s="71"/>
      <c r="N22" s="71"/>
      <c r="O22" s="71"/>
      <c r="P22" s="71"/>
      <c r="Q22" s="71"/>
      <c r="R22" s="71"/>
      <c r="S22" s="71"/>
    </row>
    <row r="23" spans="1:24">
      <c r="A23" s="21" t="str">
        <f t="shared" si="7"/>
        <v>WA048</v>
      </c>
      <c r="B23" s="120">
        <f>+$D$67</f>
        <v>173.94482491666668</v>
      </c>
      <c r="C23" s="120">
        <f>+$D$67</f>
        <v>173.94482491666668</v>
      </c>
      <c r="D23" s="120">
        <f>+$D$67</f>
        <v>173.94482491666668</v>
      </c>
      <c r="E23" s="4"/>
      <c r="F23" s="4"/>
      <c r="G23" s="4"/>
      <c r="H23" s="4"/>
      <c r="I23" s="4"/>
      <c r="J23" s="4"/>
      <c r="K23" s="4"/>
      <c r="L23" s="4"/>
      <c r="M23" s="4"/>
      <c r="N23" s="108"/>
      <c r="O23" s="4"/>
      <c r="P23" s="4"/>
      <c r="Q23" s="4"/>
      <c r="R23" s="4"/>
      <c r="S23" s="4"/>
    </row>
    <row r="24" spans="1:24">
      <c r="A24" s="21" t="str">
        <f t="shared" si="7"/>
        <v>Total</v>
      </c>
      <c r="B24" s="119">
        <f>SUM(B19:B23)</f>
        <v>214722.35111013387</v>
      </c>
      <c r="C24" s="119">
        <f>SUM(C19:C23)</f>
        <v>167988.71230705144</v>
      </c>
      <c r="D24" s="119">
        <f>SUM(D19:D23)</f>
        <v>186093.69823047807</v>
      </c>
      <c r="E24" s="4"/>
      <c r="F24" s="4"/>
      <c r="G24" s="4"/>
      <c r="H24" s="4"/>
      <c r="I24" s="4"/>
      <c r="J24" s="4"/>
      <c r="K24" s="4"/>
      <c r="L24" s="4"/>
      <c r="M24" s="4"/>
      <c r="N24" s="108"/>
      <c r="O24" s="4"/>
      <c r="P24" s="4"/>
    </row>
    <row r="25" spans="1:24">
      <c r="A25" s="21" t="s">
        <v>4</v>
      </c>
      <c r="B25" s="150">
        <v>-3.8600000000000001E-3</v>
      </c>
      <c r="C25" s="26">
        <f>B25</f>
        <v>-3.8600000000000001E-3</v>
      </c>
      <c r="D25" s="26">
        <f>C25</f>
        <v>-3.8600000000000001E-3</v>
      </c>
      <c r="E25" s="4"/>
      <c r="F25" s="4"/>
      <c r="G25" s="4"/>
      <c r="H25" s="65"/>
      <c r="I25" s="46"/>
      <c r="J25" s="46"/>
      <c r="K25" s="46"/>
      <c r="L25" s="46"/>
      <c r="M25" s="46"/>
      <c r="N25" s="109"/>
      <c r="O25" s="46"/>
      <c r="P25" s="46"/>
      <c r="Q25" s="46"/>
      <c r="R25" s="46"/>
      <c r="S25" s="46"/>
      <c r="T25" s="46"/>
      <c r="U25" s="46"/>
      <c r="V25" s="46"/>
      <c r="W25" s="46"/>
      <c r="X25" s="46"/>
    </row>
    <row r="26" spans="1:24">
      <c r="A26" s="21" t="s">
        <v>5</v>
      </c>
      <c r="B26" s="22">
        <f>B24*B25</f>
        <v>-828.82827528511677</v>
      </c>
      <c r="C26" s="22">
        <f>C24*C25</f>
        <v>-648.4364295052186</v>
      </c>
      <c r="D26" s="22">
        <f>D24*D25</f>
        <v>-718.32167516964535</v>
      </c>
      <c r="E26" s="24"/>
      <c r="F26" s="4"/>
      <c r="G26" s="4"/>
      <c r="H26" s="65"/>
      <c r="I26" s="46"/>
      <c r="J26" s="46"/>
      <c r="K26" s="46"/>
      <c r="L26" s="46"/>
      <c r="M26" s="46"/>
      <c r="N26" s="109"/>
      <c r="O26" s="46"/>
      <c r="P26" s="46"/>
      <c r="Q26" s="46"/>
      <c r="R26" s="46"/>
      <c r="S26" s="46"/>
      <c r="T26" s="46"/>
      <c r="U26" s="46"/>
      <c r="V26" s="46"/>
      <c r="W26" s="46"/>
      <c r="X26" s="46"/>
    </row>
    <row r="27" spans="1:24">
      <c r="A27" s="21" t="s">
        <v>6</v>
      </c>
      <c r="B27" s="121">
        <f>+'Conversion Factor'!F21</f>
        <v>0.9560685516223647</v>
      </c>
      <c r="C27" s="47">
        <f>B27</f>
        <v>0.9560685516223647</v>
      </c>
      <c r="D27" s="47">
        <f>B27</f>
        <v>0.9560685516223647</v>
      </c>
      <c r="E27" s="22"/>
      <c r="F27" s="4"/>
      <c r="G27" s="4"/>
      <c r="H27" s="65"/>
      <c r="I27" s="46"/>
      <c r="J27" s="46"/>
      <c r="K27" s="46"/>
      <c r="L27" s="46"/>
      <c r="M27" s="46"/>
      <c r="N27" s="109"/>
      <c r="O27" s="46"/>
      <c r="P27" s="46"/>
      <c r="Q27" s="46"/>
      <c r="R27" s="46"/>
      <c r="S27" s="46"/>
      <c r="T27" s="46"/>
      <c r="U27" s="46"/>
      <c r="V27" s="46"/>
      <c r="W27" s="46"/>
      <c r="X27" s="46"/>
    </row>
    <row r="28" spans="1:24">
      <c r="A28" s="21" t="s">
        <v>7</v>
      </c>
      <c r="B28" s="22">
        <f>B26*B27</f>
        <v>-792.41664869550414</v>
      </c>
      <c r="C28" s="22">
        <f>C26*C27</f>
        <v>-619.9496779762319</v>
      </c>
      <c r="D28" s="22">
        <f>D26*D27</f>
        <v>-686.76476357839351</v>
      </c>
      <c r="E28" s="61"/>
      <c r="F28" s="4"/>
      <c r="G28" s="4"/>
      <c r="H28" s="65"/>
      <c r="I28" s="46"/>
      <c r="J28" s="46"/>
      <c r="K28" s="46"/>
      <c r="L28" s="46"/>
      <c r="M28" s="46"/>
      <c r="N28" s="46"/>
      <c r="O28" s="46"/>
      <c r="P28" s="46"/>
      <c r="Q28" s="46"/>
      <c r="R28" s="46"/>
      <c r="S28" s="46"/>
      <c r="T28" s="46"/>
      <c r="U28" s="46"/>
      <c r="V28" s="46"/>
      <c r="W28" s="46"/>
      <c r="X28" s="46"/>
    </row>
    <row r="29" spans="1:24">
      <c r="C29" s="4"/>
      <c r="D29" s="22"/>
      <c r="E29" s="22"/>
      <c r="F29" s="4"/>
      <c r="G29" s="4"/>
      <c r="H29" s="65"/>
      <c r="I29" s="46"/>
      <c r="J29" s="46"/>
      <c r="K29" s="46"/>
      <c r="L29" s="46"/>
      <c r="M29" s="46"/>
      <c r="N29" s="46"/>
      <c r="O29" s="46"/>
      <c r="P29" s="46"/>
      <c r="Q29" s="46"/>
      <c r="R29" s="46"/>
      <c r="S29" s="46"/>
      <c r="T29" s="46"/>
      <c r="U29" s="46"/>
      <c r="V29" s="46"/>
      <c r="W29" s="46"/>
      <c r="X29" s="46"/>
    </row>
    <row r="30" spans="1:24">
      <c r="H30" s="65"/>
      <c r="I30" s="46"/>
      <c r="J30" s="46"/>
      <c r="K30" s="46"/>
      <c r="L30" s="46"/>
      <c r="M30" s="46"/>
      <c r="N30" s="46"/>
      <c r="O30" s="46"/>
      <c r="P30" s="46"/>
      <c r="Q30" s="46"/>
      <c r="R30" s="46"/>
      <c r="S30" s="46"/>
      <c r="T30" s="46"/>
      <c r="U30" s="46"/>
      <c r="V30" s="46"/>
      <c r="W30" s="46"/>
      <c r="X30" s="46"/>
    </row>
    <row r="31" spans="1:24">
      <c r="H31" s="69"/>
      <c r="I31" s="69"/>
      <c r="J31" s="69"/>
      <c r="K31" s="69"/>
      <c r="L31" s="69"/>
      <c r="M31" s="69"/>
      <c r="N31" s="69"/>
    </row>
    <row r="32" spans="1:24">
      <c r="D32" s="46"/>
      <c r="E32" s="43"/>
      <c r="F32" s="43"/>
      <c r="H32" s="72"/>
      <c r="I32" s="72"/>
      <c r="J32" s="72"/>
      <c r="K32" s="72"/>
      <c r="L32" s="72"/>
      <c r="M32" s="72"/>
      <c r="N32" s="72"/>
    </row>
    <row r="33" spans="1:14">
      <c r="E33" s="65"/>
      <c r="F33" s="71"/>
      <c r="H33" s="70"/>
      <c r="I33" s="70"/>
      <c r="J33" s="70"/>
      <c r="K33" s="70"/>
      <c r="L33" s="70"/>
      <c r="M33" s="70"/>
      <c r="N33" s="70"/>
    </row>
    <row r="34" spans="1:14">
      <c r="E34" s="65"/>
      <c r="F34" s="71"/>
      <c r="H34" s="74"/>
      <c r="I34" s="74"/>
      <c r="J34" s="74"/>
      <c r="K34" s="74"/>
      <c r="L34" s="74"/>
      <c r="M34" s="74"/>
      <c r="N34" s="74"/>
    </row>
    <row r="35" spans="1:14">
      <c r="A35" s="63"/>
      <c r="B35" s="63"/>
      <c r="C35" s="69"/>
      <c r="D35" s="69"/>
      <c r="E35" s="69"/>
      <c r="F35" s="69"/>
      <c r="G35" s="69"/>
    </row>
    <row r="36" spans="1:14">
      <c r="A36" s="64"/>
      <c r="B36" s="64"/>
      <c r="C36" s="72"/>
      <c r="D36" s="72"/>
      <c r="E36" s="72"/>
      <c r="F36" s="72"/>
      <c r="G36" s="72"/>
      <c r="H36" s="67"/>
      <c r="I36" s="67"/>
      <c r="J36" s="67"/>
      <c r="K36" s="67"/>
      <c r="L36" s="67"/>
      <c r="M36" s="67"/>
      <c r="N36" s="67"/>
    </row>
    <row r="37" spans="1:14">
      <c r="A37" s="66"/>
      <c r="B37" s="66"/>
      <c r="C37" s="70"/>
      <c r="D37" s="70"/>
      <c r="E37" s="70"/>
      <c r="F37" s="70"/>
      <c r="G37" s="70"/>
      <c r="H37" s="67"/>
      <c r="I37" s="67"/>
      <c r="J37" s="67"/>
      <c r="K37" s="67"/>
      <c r="L37" s="67"/>
      <c r="M37" s="67"/>
      <c r="N37" s="67"/>
    </row>
    <row r="38" spans="1:14">
      <c r="A38" s="68"/>
      <c r="B38" s="68"/>
      <c r="C38" s="74"/>
      <c r="D38" s="74"/>
      <c r="E38" s="74"/>
      <c r="F38" s="74"/>
      <c r="G38" s="74"/>
      <c r="H38" s="67"/>
      <c r="I38" s="67"/>
      <c r="J38" s="67"/>
      <c r="K38" s="67"/>
      <c r="L38" s="67"/>
      <c r="M38" s="67"/>
      <c r="N38" s="67"/>
    </row>
    <row r="39" spans="1:14">
      <c r="E39" s="24"/>
      <c r="F39" s="24"/>
      <c r="H39" s="67"/>
      <c r="I39" s="67"/>
      <c r="J39" s="67"/>
      <c r="K39" s="67"/>
      <c r="L39" s="67"/>
      <c r="M39" s="67"/>
      <c r="N39" s="67"/>
    </row>
    <row r="40" spans="1:14">
      <c r="A40" s="67"/>
      <c r="B40" s="67"/>
      <c r="C40" s="67"/>
      <c r="D40" s="67"/>
      <c r="E40" s="67"/>
      <c r="F40" s="67"/>
      <c r="G40" s="67"/>
    </row>
    <row r="41" spans="1:14">
      <c r="A41" s="67"/>
      <c r="B41" s="67"/>
      <c r="C41" s="67"/>
      <c r="D41" s="67"/>
      <c r="E41" s="67"/>
      <c r="F41" s="67"/>
      <c r="G41" s="67"/>
    </row>
    <row r="42" spans="1:14">
      <c r="A42" s="67"/>
      <c r="B42" s="67"/>
      <c r="C42" s="67"/>
      <c r="D42" s="67"/>
      <c r="E42" s="67"/>
      <c r="F42" s="67"/>
      <c r="G42" s="67"/>
    </row>
    <row r="43" spans="1:14">
      <c r="A43" s="67"/>
      <c r="B43" s="67"/>
      <c r="C43" s="67"/>
      <c r="D43" s="67"/>
      <c r="E43" s="67"/>
      <c r="F43" s="67"/>
      <c r="G43" s="67"/>
    </row>
    <row r="46" spans="1:14">
      <c r="A46"/>
      <c r="B46" s="147">
        <v>45597</v>
      </c>
      <c r="C46" s="147">
        <v>45627</v>
      </c>
      <c r="D46" s="147">
        <v>45658</v>
      </c>
      <c r="E46" s="147">
        <v>45689</v>
      </c>
      <c r="F46" s="147">
        <v>45717</v>
      </c>
      <c r="G46" s="147">
        <v>45748</v>
      </c>
      <c r="H46" s="147">
        <v>45778</v>
      </c>
      <c r="I46" s="147">
        <v>45809</v>
      </c>
      <c r="J46" s="147">
        <v>45839</v>
      </c>
      <c r="K46" s="147">
        <v>45870</v>
      </c>
      <c r="L46" s="147">
        <v>45901</v>
      </c>
      <c r="M46" s="147">
        <v>45931</v>
      </c>
      <c r="N46" t="s">
        <v>0</v>
      </c>
    </row>
    <row r="47" spans="1:14">
      <c r="A47" t="s">
        <v>56</v>
      </c>
      <c r="B47" s="148">
        <v>239415875.34043533</v>
      </c>
      <c r="C47" s="148">
        <v>304215269.57546175</v>
      </c>
      <c r="D47" s="148">
        <v>317720304.29503012</v>
      </c>
      <c r="E47" s="148">
        <v>250529571.26444688</v>
      </c>
      <c r="F47" s="148">
        <v>236155497.60897648</v>
      </c>
      <c r="G47" s="148">
        <v>203935707.04712585</v>
      </c>
      <c r="H47" s="148">
        <v>181246810.52368349</v>
      </c>
      <c r="I47" s="148">
        <v>176156770.87080798</v>
      </c>
      <c r="J47" s="148">
        <v>201643616.1957083</v>
      </c>
      <c r="K47" s="148">
        <v>209605361.14545268</v>
      </c>
      <c r="L47" s="148">
        <v>166823670.30291176</v>
      </c>
      <c r="M47" s="148">
        <v>182565526.21839392</v>
      </c>
      <c r="N47" s="19">
        <f>SUM(B47:M47)</f>
        <v>2670013980.3884344</v>
      </c>
    </row>
    <row r="48" spans="1:14">
      <c r="A48"/>
      <c r="B48" s="123"/>
      <c r="C48" s="123"/>
      <c r="D48" s="123"/>
      <c r="E48" s="123"/>
      <c r="F48" s="123"/>
      <c r="G48" s="123"/>
      <c r="H48" s="123"/>
      <c r="I48" s="123"/>
      <c r="J48" s="123"/>
      <c r="K48" s="123"/>
      <c r="L48" s="123"/>
      <c r="M48" s="148"/>
      <c r="N48" s="19"/>
    </row>
    <row r="49" spans="1:14">
      <c r="A49" t="s">
        <v>88</v>
      </c>
      <c r="B49" s="148">
        <v>53678372.729303077</v>
      </c>
      <c r="C49" s="148">
        <v>58796331.265170649</v>
      </c>
      <c r="D49" s="148">
        <v>60533299.262154385</v>
      </c>
      <c r="E49" s="148">
        <v>50494621.579427645</v>
      </c>
      <c r="F49" s="148">
        <v>50041969.479415759</v>
      </c>
      <c r="G49" s="148">
        <v>45995091.468946069</v>
      </c>
      <c r="H49" s="148">
        <v>44802007.039109454</v>
      </c>
      <c r="I49" s="148">
        <v>46495680.324781172</v>
      </c>
      <c r="J49" s="148">
        <v>53963334.934553556</v>
      </c>
      <c r="K49" s="148">
        <v>53312074.950085334</v>
      </c>
      <c r="L49" s="148">
        <v>46228160.209292464</v>
      </c>
      <c r="M49" s="148">
        <v>48418462.076163419</v>
      </c>
      <c r="N49" s="19">
        <f t="shared" ref="N49:N56" si="9">SUM(B49:M49)</f>
        <v>612759405.31840301</v>
      </c>
    </row>
    <row r="50" spans="1:14">
      <c r="A50" t="s">
        <v>57</v>
      </c>
      <c r="B50" s="148">
        <v>6678503.9665747872</v>
      </c>
      <c r="C50" s="148">
        <v>8717593.9734924361</v>
      </c>
      <c r="D50" s="148">
        <v>9024213.7073765956</v>
      </c>
      <c r="E50" s="148">
        <v>6991060.9599690828</v>
      </c>
      <c r="F50" s="148">
        <v>6910931.2865958875</v>
      </c>
      <c r="G50" s="148">
        <v>5564070.4538342478</v>
      </c>
      <c r="H50" s="148">
        <v>4833802.8986611478</v>
      </c>
      <c r="I50" s="148">
        <v>4371400.9446307262</v>
      </c>
      <c r="J50" s="148">
        <v>4949064.5201433124</v>
      </c>
      <c r="K50" s="148">
        <v>4724031.9416485298</v>
      </c>
      <c r="L50" s="148">
        <v>4233508.6002744138</v>
      </c>
      <c r="M50" s="148">
        <v>4894553.2063752459</v>
      </c>
      <c r="N50" s="19">
        <f>SUM(B50:M50)</f>
        <v>71892736.459576413</v>
      </c>
    </row>
    <row r="51" spans="1:14">
      <c r="A51"/>
      <c r="B51" s="123"/>
      <c r="C51" s="123"/>
      <c r="D51" s="123"/>
      <c r="E51" s="123"/>
      <c r="F51" s="123"/>
      <c r="G51" s="123"/>
      <c r="H51" s="123"/>
      <c r="I51" s="123"/>
      <c r="J51" s="123"/>
      <c r="K51" s="123"/>
      <c r="L51" s="123"/>
      <c r="M51" s="148"/>
      <c r="N51" s="19"/>
    </row>
    <row r="52" spans="1:14">
      <c r="A52" t="s">
        <v>89</v>
      </c>
      <c r="B52" s="148">
        <v>113949708.02844103</v>
      </c>
      <c r="C52" s="148">
        <v>109805872.01555914</v>
      </c>
      <c r="D52" s="148">
        <v>111594167.93137099</v>
      </c>
      <c r="E52" s="148">
        <v>93668413.775678813</v>
      </c>
      <c r="F52" s="148">
        <v>96598636.778421611</v>
      </c>
      <c r="G52" s="148">
        <v>91062246.985419735</v>
      </c>
      <c r="H52" s="148">
        <v>96411752.945413947</v>
      </c>
      <c r="I52" s="148">
        <v>103514721.3110524</v>
      </c>
      <c r="J52" s="148">
        <v>114789414.6522166</v>
      </c>
      <c r="K52" s="148">
        <v>107193314.07852583</v>
      </c>
      <c r="L52" s="148">
        <v>93754205.381488502</v>
      </c>
      <c r="M52" s="148">
        <v>106141405.08207507</v>
      </c>
      <c r="N52" s="19">
        <f t="shared" si="9"/>
        <v>1238483858.9656637</v>
      </c>
    </row>
    <row r="53" spans="1:14">
      <c r="A53" t="s">
        <v>58</v>
      </c>
      <c r="B53" s="148">
        <v>2704140.3466250272</v>
      </c>
      <c r="C53" s="148">
        <v>3444693.4813220142</v>
      </c>
      <c r="D53" s="148">
        <v>3553781.3232689267</v>
      </c>
      <c r="E53" s="148">
        <v>2808460.8824171685</v>
      </c>
      <c r="F53" s="148">
        <v>2707222.7637538249</v>
      </c>
      <c r="G53" s="148">
        <v>2299563.105958648</v>
      </c>
      <c r="H53" s="148">
        <v>2104162.927245995</v>
      </c>
      <c r="I53" s="148">
        <v>2089418.4871771177</v>
      </c>
      <c r="J53" s="148">
        <v>2451251.1862399899</v>
      </c>
      <c r="K53" s="148">
        <v>2352687.0353906183</v>
      </c>
      <c r="L53" s="148">
        <v>2036149.5621030494</v>
      </c>
      <c r="M53" s="148">
        <v>2262991.0784414201</v>
      </c>
      <c r="N53" s="19">
        <f>SUM(B53:M53)</f>
        <v>30814522.1799438</v>
      </c>
    </row>
    <row r="54" spans="1:14">
      <c r="A54"/>
      <c r="B54" s="123"/>
      <c r="C54" s="123"/>
      <c r="D54" s="123"/>
      <c r="E54" s="123"/>
      <c r="F54" s="123"/>
      <c r="G54" s="123"/>
      <c r="H54" s="123"/>
      <c r="I54" s="123"/>
      <c r="J54" s="123"/>
      <c r="K54" s="123"/>
      <c r="L54" s="123"/>
      <c r="M54" s="148"/>
      <c r="N54" s="19"/>
    </row>
    <row r="55" spans="1:14">
      <c r="A55" t="s">
        <v>90</v>
      </c>
      <c r="B55" s="148">
        <v>49248530</v>
      </c>
      <c r="C55" s="148">
        <v>49427123</v>
      </c>
      <c r="D55" s="148">
        <v>55614734</v>
      </c>
      <c r="E55" s="148">
        <v>47598641</v>
      </c>
      <c r="F55" s="148">
        <v>53469196</v>
      </c>
      <c r="G55" s="148">
        <v>48593642</v>
      </c>
      <c r="H55" s="148">
        <v>51505608</v>
      </c>
      <c r="I55" s="148">
        <v>52323263</v>
      </c>
      <c r="J55" s="148">
        <v>52611678</v>
      </c>
      <c r="K55" s="148">
        <v>57808452</v>
      </c>
      <c r="L55" s="148">
        <v>50092151</v>
      </c>
      <c r="M55" s="148">
        <v>50742389</v>
      </c>
      <c r="N55" s="19">
        <f t="shared" si="9"/>
        <v>619035407</v>
      </c>
    </row>
    <row r="56" spans="1:14">
      <c r="A56" t="s">
        <v>91</v>
      </c>
      <c r="B56" s="148">
        <v>3793593.5262851678</v>
      </c>
      <c r="C56" s="148">
        <v>3647457.1208414128</v>
      </c>
      <c r="D56" s="148">
        <v>4466264.7198980711</v>
      </c>
      <c r="E56" s="148">
        <v>3291132.1705674292</v>
      </c>
      <c r="F56" s="148">
        <v>4255008.9684777167</v>
      </c>
      <c r="G56" s="148">
        <v>5234502.3037046641</v>
      </c>
      <c r="H56" s="148">
        <v>11282380.197254535</v>
      </c>
      <c r="I56" s="148">
        <v>18688681.781238146</v>
      </c>
      <c r="J56" s="148">
        <v>24163837.904274181</v>
      </c>
      <c r="K56" s="148">
        <v>26372232.262065466</v>
      </c>
      <c r="L56" s="148">
        <v>20182586.439696096</v>
      </c>
      <c r="M56" s="148">
        <v>12399183.675410647</v>
      </c>
      <c r="N56" s="19">
        <f t="shared" si="9"/>
        <v>137776861.06971356</v>
      </c>
    </row>
    <row r="57" spans="1:14">
      <c r="A57" t="s">
        <v>59</v>
      </c>
      <c r="B57" s="148">
        <v>380817.62768570747</v>
      </c>
      <c r="C57" s="148">
        <v>406618.12461074151</v>
      </c>
      <c r="D57" s="148">
        <v>481168.12571570452</v>
      </c>
      <c r="E57" s="148">
        <v>385648.31963218522</v>
      </c>
      <c r="F57" s="148">
        <v>379769.67518172279</v>
      </c>
      <c r="G57" s="148">
        <v>423603.29246978188</v>
      </c>
      <c r="H57" s="148">
        <v>629064.2060608461</v>
      </c>
      <c r="I57" s="148">
        <v>947018.42331732181</v>
      </c>
      <c r="J57" s="148">
        <v>1615782.330463907</v>
      </c>
      <c r="K57" s="148">
        <v>1874233.0946393479</v>
      </c>
      <c r="L57" s="148">
        <v>1045245.0759003481</v>
      </c>
      <c r="M57" s="148">
        <v>588364.61384348501</v>
      </c>
      <c r="N57" s="19">
        <f>SUM(B57:M57)</f>
        <v>9157332.9095210992</v>
      </c>
    </row>
    <row r="58" spans="1:14">
      <c r="A58" t="s">
        <v>92</v>
      </c>
      <c r="B58" s="148">
        <v>1320266.0382451359</v>
      </c>
      <c r="C58" s="148">
        <v>1319835.5894288972</v>
      </c>
      <c r="D58" s="148">
        <v>1312052.5670342222</v>
      </c>
      <c r="E58" s="148">
        <v>1282781.9397454073</v>
      </c>
      <c r="F58" s="148">
        <v>1346978.8782308577</v>
      </c>
      <c r="G58" s="148">
        <v>1282521.0688841238</v>
      </c>
      <c r="H58" s="148">
        <v>1322804.2761951154</v>
      </c>
      <c r="I58" s="148">
        <v>1311334.1459539002</v>
      </c>
      <c r="J58" s="148">
        <v>1318291.5221090443</v>
      </c>
      <c r="K58" s="148">
        <v>1317500.1690632126</v>
      </c>
      <c r="L58" s="148">
        <v>1269268.4803722838</v>
      </c>
      <c r="M58" s="148">
        <v>1295238.796120883</v>
      </c>
      <c r="N58" s="19">
        <f>SUM(B58:M58)</f>
        <v>15698873.471383084</v>
      </c>
    </row>
    <row r="59" spans="1:14">
      <c r="A59"/>
      <c r="B59" s="124"/>
      <c r="C59" s="124"/>
      <c r="D59" s="124"/>
      <c r="E59" s="124"/>
      <c r="F59" s="124"/>
      <c r="G59" s="124"/>
      <c r="H59" s="124"/>
      <c r="I59" s="124"/>
      <c r="J59" s="124"/>
      <c r="K59" s="124"/>
      <c r="L59" s="124"/>
      <c r="M59" s="124"/>
      <c r="N59" s="19">
        <f>SUM(N47:N58)</f>
        <v>5405632977.76264</v>
      </c>
    </row>
    <row r="60" spans="1:14">
      <c r="B60" s="124"/>
      <c r="C60" s="124"/>
      <c r="D60" s="124"/>
      <c r="E60" s="124"/>
      <c r="F60" s="124"/>
      <c r="G60" s="124"/>
      <c r="H60" s="124"/>
      <c r="I60" s="124"/>
      <c r="J60" s="124"/>
      <c r="K60" s="124"/>
      <c r="L60" s="124"/>
      <c r="M60" s="124"/>
    </row>
    <row r="61" spans="1:14">
      <c r="A61" t="s">
        <v>56</v>
      </c>
      <c r="B61" s="73">
        <f>B47/1000</f>
        <v>239415.87534043533</v>
      </c>
      <c r="C61" s="73">
        <f t="shared" ref="C61:M61" si="10">C47/1000</f>
        <v>304215.26957546175</v>
      </c>
      <c r="D61" s="73">
        <f t="shared" si="10"/>
        <v>317720.30429503013</v>
      </c>
      <c r="E61" s="73">
        <f t="shared" si="10"/>
        <v>250529.57126444689</v>
      </c>
      <c r="F61" s="73">
        <f t="shared" si="10"/>
        <v>236155.4976089765</v>
      </c>
      <c r="G61" s="73">
        <f t="shared" si="10"/>
        <v>203935.70704712585</v>
      </c>
      <c r="H61" s="73">
        <f t="shared" si="10"/>
        <v>181246.8105236835</v>
      </c>
      <c r="I61" s="73">
        <f t="shared" si="10"/>
        <v>176156.77087080799</v>
      </c>
      <c r="J61" s="73">
        <f t="shared" si="10"/>
        <v>201643.61619570831</v>
      </c>
      <c r="K61" s="73">
        <f t="shared" si="10"/>
        <v>209605.36114545268</v>
      </c>
      <c r="L61" s="73">
        <f t="shared" si="10"/>
        <v>166823.67030291175</v>
      </c>
      <c r="M61" s="73">
        <f t="shared" si="10"/>
        <v>182565.52621839393</v>
      </c>
      <c r="N61" s="73">
        <f>SUM(B61:M61)</f>
        <v>2670013.9803884341</v>
      </c>
    </row>
    <row r="62" spans="1:14">
      <c r="A62" t="s">
        <v>57</v>
      </c>
      <c r="B62" s="73">
        <f t="shared" ref="B62:M62" si="11">B50/1000</f>
        <v>6678.5039665747872</v>
      </c>
      <c r="C62" s="73">
        <f t="shared" si="11"/>
        <v>8717.5939734924359</v>
      </c>
      <c r="D62" s="73">
        <f t="shared" si="11"/>
        <v>9024.2137073765953</v>
      </c>
      <c r="E62" s="73">
        <f t="shared" si="11"/>
        <v>6991.0609599690824</v>
      </c>
      <c r="F62" s="73">
        <f t="shared" si="11"/>
        <v>6910.9312865958873</v>
      </c>
      <c r="G62" s="73">
        <f t="shared" si="11"/>
        <v>5564.0704538342479</v>
      </c>
      <c r="H62" s="73">
        <f t="shared" si="11"/>
        <v>4833.802898661148</v>
      </c>
      <c r="I62" s="73">
        <f t="shared" si="11"/>
        <v>4371.4009446307264</v>
      </c>
      <c r="J62" s="73">
        <f t="shared" si="11"/>
        <v>4949.0645201433126</v>
      </c>
      <c r="K62" s="73">
        <f t="shared" si="11"/>
        <v>4724.0319416485299</v>
      </c>
      <c r="L62" s="73">
        <f t="shared" si="11"/>
        <v>4233.5086002744138</v>
      </c>
      <c r="M62" s="73">
        <f t="shared" si="11"/>
        <v>4894.5532063752462</v>
      </c>
      <c r="N62" s="73">
        <f>SUM(B62:M62)</f>
        <v>71892.736459576408</v>
      </c>
    </row>
    <row r="63" spans="1:14">
      <c r="A63" t="s">
        <v>58</v>
      </c>
      <c r="B63" s="73">
        <f t="shared" ref="B63:M63" si="12">B53/1000</f>
        <v>2704.1403466250272</v>
      </c>
      <c r="C63" s="73">
        <f t="shared" si="12"/>
        <v>3444.6934813220141</v>
      </c>
      <c r="D63" s="73">
        <f t="shared" si="12"/>
        <v>3553.7813232689268</v>
      </c>
      <c r="E63" s="73">
        <f t="shared" si="12"/>
        <v>2808.4608824171682</v>
      </c>
      <c r="F63" s="73">
        <f t="shared" si="12"/>
        <v>2707.2227637538249</v>
      </c>
      <c r="G63" s="73">
        <f t="shared" si="12"/>
        <v>2299.5631059586481</v>
      </c>
      <c r="H63" s="73">
        <f t="shared" si="12"/>
        <v>2104.162927245995</v>
      </c>
      <c r="I63" s="73">
        <f t="shared" si="12"/>
        <v>2089.4184871771176</v>
      </c>
      <c r="J63" s="73">
        <f t="shared" si="12"/>
        <v>2451.2511862399901</v>
      </c>
      <c r="K63" s="73">
        <f t="shared" si="12"/>
        <v>2352.6870353906183</v>
      </c>
      <c r="L63" s="73">
        <f t="shared" si="12"/>
        <v>2036.1495621030494</v>
      </c>
      <c r="M63" s="73">
        <f t="shared" si="12"/>
        <v>2262.9910784414201</v>
      </c>
      <c r="N63" s="73">
        <f>SUM(B63:M63)</f>
        <v>30814.5221799438</v>
      </c>
    </row>
    <row r="64" spans="1:14">
      <c r="A64" t="s">
        <v>59</v>
      </c>
      <c r="B64" s="73">
        <f>B57/1000</f>
        <v>380.81762768570746</v>
      </c>
      <c r="C64" s="73">
        <f t="shared" ref="C64:M64" si="13">C57/1000</f>
        <v>406.61812461074152</v>
      </c>
      <c r="D64" s="73">
        <f t="shared" si="13"/>
        <v>481.16812571570449</v>
      </c>
      <c r="E64" s="73">
        <f t="shared" si="13"/>
        <v>385.64831963218523</v>
      </c>
      <c r="F64" s="73">
        <f t="shared" si="13"/>
        <v>379.76967518172279</v>
      </c>
      <c r="G64" s="73">
        <f t="shared" si="13"/>
        <v>423.60329246978188</v>
      </c>
      <c r="H64" s="73">
        <f t="shared" si="13"/>
        <v>629.06420606084612</v>
      </c>
      <c r="I64" s="73">
        <f t="shared" si="13"/>
        <v>947.01842331732178</v>
      </c>
      <c r="J64" s="73">
        <f t="shared" si="13"/>
        <v>1615.7823304639069</v>
      </c>
      <c r="K64" s="73">
        <f t="shared" si="13"/>
        <v>1874.2330946393479</v>
      </c>
      <c r="L64" s="73">
        <f t="shared" si="13"/>
        <v>1045.2450759003482</v>
      </c>
      <c r="M64" s="73">
        <f t="shared" si="13"/>
        <v>588.36461384348502</v>
      </c>
      <c r="N64" s="73">
        <f>SUM(B64:M64)</f>
        <v>9157.3329095210993</v>
      </c>
    </row>
    <row r="65" spans="1:4">
      <c r="B65" s="73"/>
    </row>
    <row r="67" spans="1:4">
      <c r="A67" s="21" t="s">
        <v>60</v>
      </c>
      <c r="B67" s="133">
        <v>2087337.899</v>
      </c>
      <c r="C67" s="73">
        <f>+B67/12</f>
        <v>173944.82491666666</v>
      </c>
      <c r="D67" s="118">
        <f>+C67/1000</f>
        <v>173.94482491666668</v>
      </c>
    </row>
    <row r="70" spans="1:4">
      <c r="A70"/>
      <c r="B70" s="147">
        <v>45505</v>
      </c>
      <c r="C70" s="147">
        <v>45536</v>
      </c>
      <c r="D70" s="147">
        <v>45566</v>
      </c>
    </row>
    <row r="71" spans="1:4">
      <c r="A71" t="s">
        <v>56</v>
      </c>
      <c r="B71" s="148">
        <v>205634898.40616786</v>
      </c>
      <c r="C71" s="148">
        <v>160470276.49030823</v>
      </c>
      <c r="D71" s="148">
        <v>178221117.59096214</v>
      </c>
    </row>
    <row r="72" spans="1:4">
      <c r="A72"/>
      <c r="B72" s="148"/>
      <c r="C72" s="148"/>
      <c r="D72" s="148"/>
    </row>
    <row r="73" spans="1:4">
      <c r="A73" t="s">
        <v>88</v>
      </c>
      <c r="B73" s="148">
        <v>53099094.660067178</v>
      </c>
      <c r="C73" s="148">
        <v>46215127.360371478</v>
      </c>
      <c r="D73" s="148">
        <v>48089075.840136901</v>
      </c>
    </row>
    <row r="74" spans="1:4">
      <c r="A74" t="s">
        <v>57</v>
      </c>
      <c r="B74" s="148">
        <v>4665999.6681473255</v>
      </c>
      <c r="C74" s="148">
        <v>4182729.1640976425</v>
      </c>
      <c r="D74" s="148">
        <v>4845722.4073872063</v>
      </c>
    </row>
    <row r="75" spans="1:4">
      <c r="A75"/>
      <c r="B75" s="148"/>
      <c r="C75" s="148"/>
      <c r="D75" s="148"/>
    </row>
    <row r="76" spans="1:4">
      <c r="A76" t="s">
        <v>89</v>
      </c>
      <c r="B76" s="148">
        <v>109306039.02196302</v>
      </c>
      <c r="C76" s="148">
        <v>95873890.097042114</v>
      </c>
      <c r="D76" s="148">
        <v>108461736.93674356</v>
      </c>
    </row>
    <row r="77" spans="1:4">
      <c r="A77" t="s">
        <v>58</v>
      </c>
      <c r="B77" s="148">
        <v>2338073.9351445474</v>
      </c>
      <c r="C77" s="148">
        <v>2045020.2564702288</v>
      </c>
      <c r="D77" s="148">
        <v>2226041.8406232931</v>
      </c>
    </row>
    <row r="78" spans="1:4">
      <c r="A78"/>
      <c r="B78" s="148"/>
      <c r="C78" s="148"/>
      <c r="D78" s="148"/>
    </row>
    <row r="79" spans="1:4">
      <c r="A79" t="s">
        <v>90</v>
      </c>
      <c r="B79" s="148">
        <v>59236945</v>
      </c>
      <c r="C79" s="148">
        <v>49822212</v>
      </c>
      <c r="D79" s="148">
        <v>51363419</v>
      </c>
    </row>
    <row r="80" spans="1:4">
      <c r="A80" t="s">
        <v>91</v>
      </c>
      <c r="B80" s="148">
        <v>26196087.747690693</v>
      </c>
      <c r="C80" s="148">
        <v>21207651.978866506</v>
      </c>
      <c r="D80" s="148">
        <v>12792920.99554177</v>
      </c>
    </row>
    <row r="81" spans="1:4">
      <c r="A81" t="s">
        <v>59</v>
      </c>
      <c r="B81" s="148">
        <v>1909434.2757574553</v>
      </c>
      <c r="C81" s="148">
        <v>1116741.5712587009</v>
      </c>
      <c r="D81" s="148">
        <v>626871.56658872252</v>
      </c>
    </row>
    <row r="82" spans="1:4">
      <c r="A82" t="s">
        <v>92</v>
      </c>
      <c r="B82" s="148">
        <v>1334110.298731857</v>
      </c>
      <c r="C82" s="148">
        <v>1302325.5008865951</v>
      </c>
      <c r="D82" s="148">
        <v>1306182.7894858946</v>
      </c>
    </row>
    <row r="83" spans="1:4">
      <c r="A83"/>
      <c r="B83"/>
      <c r="C83"/>
      <c r="D83"/>
    </row>
    <row r="85" spans="1:4">
      <c r="A85" t="s">
        <v>56</v>
      </c>
      <c r="B85" s="73">
        <f>B71/1000</f>
        <v>205634.89840616786</v>
      </c>
      <c r="C85" s="73">
        <f>C71/1000</f>
        <v>160470.27649030823</v>
      </c>
      <c r="D85" s="73">
        <f>D71/1000</f>
        <v>178221.11759096215</v>
      </c>
    </row>
    <row r="86" spans="1:4">
      <c r="A86" t="s">
        <v>57</v>
      </c>
      <c r="B86" s="73">
        <f>B74/1000</f>
        <v>4665.9996681473258</v>
      </c>
      <c r="C86" s="73">
        <f>C74/1000</f>
        <v>4182.7291640976428</v>
      </c>
      <c r="D86" s="73">
        <f>D74/1000</f>
        <v>4845.7224073872067</v>
      </c>
    </row>
    <row r="87" spans="1:4">
      <c r="A87" t="s">
        <v>58</v>
      </c>
      <c r="B87" s="73">
        <f>B77/1000</f>
        <v>2338.0739351445472</v>
      </c>
      <c r="C87" s="73">
        <f>C77/1000</f>
        <v>2045.0202564702288</v>
      </c>
      <c r="D87" s="73">
        <f>D77/1000</f>
        <v>2226.041840623293</v>
      </c>
    </row>
    <row r="88" spans="1:4">
      <c r="A88" t="s">
        <v>59</v>
      </c>
      <c r="B88" s="73">
        <f>B81/1000</f>
        <v>1909.4342757574552</v>
      </c>
      <c r="C88" s="73">
        <f>C81/1000</f>
        <v>1116.741571258701</v>
      </c>
      <c r="D88" s="73">
        <f>D81/1000</f>
        <v>626.87156658872254</v>
      </c>
    </row>
  </sheetData>
  <mergeCells count="4">
    <mergeCell ref="A1:P1"/>
    <mergeCell ref="A2:P2"/>
    <mergeCell ref="A4:P4"/>
    <mergeCell ref="A3:P3"/>
  </mergeCells>
  <pageMargins left="1.01" right="0.7" top="0.75" bottom="0.75" header="0.3" footer="0.3"/>
  <pageSetup scale="48" orientation="landscape" r:id="rId1"/>
  <headerFooter>
    <oddFooter>&amp;L&amp;A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FFFF"/>
  </sheetPr>
  <dimension ref="A1:J31"/>
  <sheetViews>
    <sheetView zoomScale="79" zoomScaleNormal="145" workbookViewId="0">
      <selection activeCell="E26" sqref="E26"/>
    </sheetView>
  </sheetViews>
  <sheetFormatPr defaultRowHeight="12.75"/>
  <cols>
    <col min="1" max="1" width="24.140625" customWidth="1"/>
    <col min="2" max="2" width="13.7109375" customWidth="1"/>
    <col min="3" max="3" width="16" bestFit="1" customWidth="1"/>
    <col min="4" max="4" width="14.85546875" customWidth="1"/>
    <col min="5" max="5" width="12.85546875" bestFit="1" customWidth="1"/>
  </cols>
  <sheetData>
    <row r="1" spans="1:7">
      <c r="A1" s="76"/>
      <c r="B1" s="77" t="s">
        <v>74</v>
      </c>
      <c r="C1" s="76"/>
      <c r="D1" s="76"/>
      <c r="E1" s="76"/>
      <c r="F1" s="76"/>
      <c r="G1" s="76"/>
    </row>
    <row r="2" spans="1:7">
      <c r="A2" s="77"/>
      <c r="B2" s="77" t="s">
        <v>115</v>
      </c>
      <c r="C2" s="77"/>
      <c r="D2" s="77"/>
      <c r="E2" s="77"/>
      <c r="F2" s="77"/>
      <c r="G2" s="77"/>
    </row>
    <row r="3" spans="1:7">
      <c r="A3" s="77"/>
      <c r="B3" s="78" t="s">
        <v>75</v>
      </c>
      <c r="C3" s="77"/>
      <c r="D3" s="77"/>
      <c r="E3" s="77"/>
      <c r="F3" s="77"/>
      <c r="G3" s="77"/>
    </row>
    <row r="4" spans="1:7">
      <c r="A4" s="77"/>
      <c r="B4" s="77" t="s">
        <v>127</v>
      </c>
      <c r="C4" s="77"/>
      <c r="D4" s="77"/>
      <c r="E4" s="77"/>
      <c r="F4" s="77"/>
      <c r="G4" s="77"/>
    </row>
    <row r="5" spans="1:7">
      <c r="A5" s="77"/>
      <c r="B5" s="77"/>
      <c r="C5" s="77"/>
      <c r="D5" s="77"/>
      <c r="E5" s="77"/>
      <c r="F5" s="77"/>
      <c r="G5" s="77"/>
    </row>
    <row r="6" spans="1:7">
      <c r="A6" s="77"/>
      <c r="B6" s="77"/>
      <c r="C6" s="77"/>
      <c r="D6" s="77"/>
      <c r="E6" s="77"/>
      <c r="F6" s="77"/>
      <c r="G6" s="77"/>
    </row>
    <row r="7" spans="1:7">
      <c r="A7" s="77"/>
      <c r="B7" s="77"/>
      <c r="C7" s="77"/>
      <c r="D7" s="77"/>
      <c r="E7" s="77"/>
      <c r="F7" s="77"/>
      <c r="G7" s="77"/>
    </row>
    <row r="8" spans="1:7">
      <c r="A8" s="77"/>
      <c r="B8" s="76"/>
      <c r="C8" s="79" t="s">
        <v>76</v>
      </c>
      <c r="D8" s="80"/>
      <c r="E8" s="77"/>
      <c r="F8" s="77"/>
      <c r="G8" s="77"/>
    </row>
    <row r="9" spans="1:7">
      <c r="A9" s="77"/>
      <c r="B9" s="77"/>
      <c r="C9" s="77" t="s">
        <v>77</v>
      </c>
      <c r="D9" s="77" t="s">
        <v>77</v>
      </c>
      <c r="E9" s="77"/>
      <c r="F9" s="77"/>
      <c r="G9" s="77"/>
    </row>
    <row r="10" spans="1:7">
      <c r="A10" s="81" t="s">
        <v>78</v>
      </c>
      <c r="B10" s="82" t="s">
        <v>79</v>
      </c>
      <c r="C10" s="146">
        <v>45566</v>
      </c>
      <c r="D10" s="146">
        <v>45566</v>
      </c>
      <c r="E10" s="82"/>
      <c r="F10" s="82"/>
      <c r="G10" s="82"/>
    </row>
    <row r="11" spans="1:7">
      <c r="A11" s="81"/>
      <c r="B11" s="77" t="s">
        <v>80</v>
      </c>
      <c r="C11" s="77" t="s">
        <v>81</v>
      </c>
      <c r="D11" s="77" t="s">
        <v>82</v>
      </c>
      <c r="E11" s="82"/>
      <c r="F11" s="82"/>
      <c r="G11" s="82"/>
    </row>
    <row r="12" spans="1:7">
      <c r="A12" s="76"/>
      <c r="B12" s="76"/>
      <c r="C12" s="76"/>
      <c r="D12" s="77" t="s">
        <v>83</v>
      </c>
      <c r="E12" s="76"/>
      <c r="F12" s="76"/>
      <c r="G12" s="76"/>
    </row>
    <row r="13" spans="1:7">
      <c r="A13" s="76"/>
      <c r="B13" s="76"/>
      <c r="C13" s="76"/>
      <c r="D13" s="77"/>
      <c r="E13" s="76"/>
      <c r="F13" s="76"/>
      <c r="G13" s="76"/>
    </row>
    <row r="14" spans="1:7">
      <c r="A14" s="107" t="s">
        <v>87</v>
      </c>
      <c r="B14" s="144">
        <v>76760791</v>
      </c>
      <c r="C14" s="97">
        <f>+'Projected kWhs'!B25*100</f>
        <v>-0.38600000000000001</v>
      </c>
      <c r="D14" s="83">
        <f>(B14*C14)/100</f>
        <v>-296296.65325999999</v>
      </c>
      <c r="F14" s="76"/>
      <c r="G14" s="84"/>
    </row>
    <row r="15" spans="1:7">
      <c r="A15" s="77">
        <v>12</v>
      </c>
      <c r="B15" s="144">
        <v>1602556</v>
      </c>
      <c r="C15" s="97">
        <f>C14</f>
        <v>-0.38600000000000001</v>
      </c>
      <c r="D15" s="83">
        <f>(B15*C15)/100</f>
        <v>-6185.8661600000005</v>
      </c>
      <c r="E15" s="84"/>
      <c r="F15" s="76"/>
      <c r="G15" s="76"/>
    </row>
    <row r="16" spans="1:7">
      <c r="A16" s="77">
        <v>22</v>
      </c>
      <c r="B16" s="144">
        <v>859006</v>
      </c>
      <c r="C16" s="97">
        <f>C14</f>
        <v>-0.38600000000000001</v>
      </c>
      <c r="D16" s="83">
        <f>(B16*C16)/100</f>
        <v>-3315.76316</v>
      </c>
      <c r="E16" s="84"/>
      <c r="F16" s="76"/>
      <c r="G16" s="76"/>
    </row>
    <row r="17" spans="1:10">
      <c r="A17" s="77">
        <v>32</v>
      </c>
      <c r="B17" s="144">
        <v>483134</v>
      </c>
      <c r="C17" s="97">
        <f>C14</f>
        <v>-0.38600000000000001</v>
      </c>
      <c r="D17" s="83">
        <f>(B17*C17)/100</f>
        <v>-1864.8972400000002</v>
      </c>
      <c r="E17" s="84"/>
      <c r="F17" s="76"/>
      <c r="G17" s="76"/>
      <c r="H17" s="76"/>
      <c r="I17" s="76"/>
      <c r="J17" s="76"/>
    </row>
    <row r="18" spans="1:10">
      <c r="A18" s="77">
        <v>48</v>
      </c>
      <c r="B18" s="145">
        <v>0</v>
      </c>
      <c r="C18" s="97">
        <f>C14</f>
        <v>-0.38600000000000001</v>
      </c>
      <c r="D18" s="85">
        <f>(B18*C18)/100</f>
        <v>0</v>
      </c>
      <c r="E18" s="84"/>
      <c r="F18" s="76"/>
      <c r="G18" s="76"/>
      <c r="H18" s="76"/>
      <c r="I18" s="76"/>
      <c r="J18" s="76"/>
    </row>
    <row r="19" spans="1:10">
      <c r="A19" s="76"/>
      <c r="B19" s="86"/>
      <c r="C19" s="87"/>
      <c r="D19" s="88"/>
      <c r="E19" s="76"/>
      <c r="F19" s="89"/>
      <c r="G19" s="76"/>
      <c r="H19" s="76"/>
      <c r="I19" s="76"/>
      <c r="J19" s="76"/>
    </row>
    <row r="20" spans="1:10">
      <c r="A20" s="90" t="s">
        <v>84</v>
      </c>
      <c r="B20" s="86">
        <f>SUM(B14:B19)</f>
        <v>79705487</v>
      </c>
      <c r="C20" s="84"/>
      <c r="D20" s="88">
        <f>SUM(D14:D19)</f>
        <v>-307663.17981999996</v>
      </c>
      <c r="E20" s="76"/>
      <c r="F20" s="76"/>
      <c r="G20" s="76"/>
      <c r="H20" s="76"/>
      <c r="I20" s="76"/>
      <c r="J20" s="88"/>
    </row>
    <row r="21" spans="1:10">
      <c r="A21" s="76"/>
      <c r="B21" s="86"/>
      <c r="C21" s="91" t="s">
        <v>53</v>
      </c>
      <c r="D21" s="99">
        <f>'Projected kWhs'!B27</f>
        <v>0.9560685516223647</v>
      </c>
      <c r="E21" s="76"/>
      <c r="F21" s="76"/>
      <c r="G21" s="76"/>
      <c r="H21" s="76"/>
      <c r="I21" s="76"/>
      <c r="J21" s="76"/>
    </row>
    <row r="22" spans="1:10">
      <c r="A22" s="92"/>
      <c r="B22" s="86"/>
      <c r="C22" s="93" t="s">
        <v>20</v>
      </c>
      <c r="D22" s="88">
        <f>D20*D21</f>
        <v>-294147.0907180385</v>
      </c>
      <c r="E22" s="76"/>
      <c r="F22" s="76"/>
      <c r="G22" s="76"/>
      <c r="H22" s="76"/>
      <c r="I22" s="76"/>
      <c r="J22" s="76"/>
    </row>
    <row r="23" spans="1:10">
      <c r="A23" s="90"/>
      <c r="B23" s="94"/>
      <c r="C23" s="76"/>
      <c r="D23" s="95"/>
      <c r="E23" s="76"/>
      <c r="F23" s="76"/>
      <c r="G23" s="76"/>
      <c r="H23" s="76"/>
      <c r="I23" s="76"/>
      <c r="J23" s="76"/>
    </row>
    <row r="24" spans="1:10">
      <c r="A24" s="90"/>
      <c r="B24" s="86"/>
      <c r="C24" s="86"/>
      <c r="D24" s="86"/>
      <c r="E24" s="76"/>
      <c r="F24" s="76"/>
      <c r="G24" s="76"/>
      <c r="H24" s="76"/>
      <c r="I24" s="76"/>
      <c r="J24" s="76"/>
    </row>
    <row r="25" spans="1:10">
      <c r="A25" s="76"/>
      <c r="B25" s="94"/>
      <c r="C25" s="86"/>
      <c r="D25" s="86"/>
      <c r="E25" s="76"/>
      <c r="F25" s="76"/>
      <c r="G25" s="76"/>
      <c r="H25" s="76"/>
      <c r="I25" s="76"/>
      <c r="J25" s="76"/>
    </row>
    <row r="26" spans="1:10">
      <c r="A26" s="96"/>
      <c r="B26" s="86"/>
      <c r="C26" s="76"/>
      <c r="D26" s="76"/>
      <c r="E26" s="76"/>
      <c r="F26" s="76"/>
      <c r="G26" s="76"/>
      <c r="H26" s="76"/>
      <c r="I26" s="76"/>
      <c r="J26" s="76"/>
    </row>
    <row r="27" spans="1:10">
      <c r="A27" s="76"/>
      <c r="B27" s="86"/>
      <c r="C27" s="76"/>
      <c r="D27" s="76"/>
      <c r="E27" s="76"/>
      <c r="F27" s="76"/>
      <c r="G27" s="76"/>
      <c r="H27" s="76"/>
      <c r="I27" s="76"/>
      <c r="J27" s="76"/>
    </row>
    <row r="28" spans="1:10">
      <c r="A28" s="76"/>
      <c r="B28" s="76"/>
      <c r="C28" s="76"/>
      <c r="D28" s="76"/>
      <c r="E28" s="76"/>
      <c r="F28" s="76"/>
      <c r="G28" s="76"/>
      <c r="H28" s="76"/>
      <c r="I28" s="76"/>
      <c r="J28" s="76"/>
    </row>
    <row r="29" spans="1:10">
      <c r="A29" s="96"/>
      <c r="B29" s="76"/>
      <c r="C29" s="76"/>
      <c r="D29" s="76"/>
      <c r="E29" s="76"/>
      <c r="F29" s="76"/>
      <c r="G29" s="76"/>
      <c r="H29" s="76"/>
      <c r="I29" s="76"/>
      <c r="J29" s="76"/>
    </row>
    <row r="30" spans="1:10">
      <c r="A30" s="76"/>
      <c r="B30" s="76"/>
      <c r="C30" s="76"/>
      <c r="D30" s="76"/>
      <c r="E30" s="76"/>
      <c r="F30" s="76"/>
      <c r="G30" s="76"/>
      <c r="H30" s="76"/>
      <c r="I30" s="76"/>
      <c r="J30" s="76"/>
    </row>
    <row r="31" spans="1:10">
      <c r="A31" s="76"/>
      <c r="B31" s="76"/>
      <c r="C31" s="76"/>
      <c r="D31" s="76"/>
      <c r="E31" s="76"/>
      <c r="F31" s="76"/>
      <c r="G31" s="76"/>
      <c r="H31" s="76"/>
      <c r="I31" s="76"/>
      <c r="J31" s="76"/>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M33"/>
  <sheetViews>
    <sheetView zoomScaleNormal="100" workbookViewId="0">
      <selection activeCell="G19" sqref="G19"/>
    </sheetView>
  </sheetViews>
  <sheetFormatPr defaultRowHeight="12.75"/>
  <cols>
    <col min="1" max="1" width="10" style="9" bestFit="1" customWidth="1"/>
    <col min="2" max="6" width="17.140625" style="9" customWidth="1"/>
    <col min="7" max="7" width="16.85546875" style="9" bestFit="1" customWidth="1"/>
    <col min="8" max="8" width="17.140625" style="9" customWidth="1"/>
    <col min="9" max="9" width="17.7109375" style="9" customWidth="1"/>
    <col min="10" max="10" width="17.140625" style="10" customWidth="1"/>
    <col min="11" max="13" width="17.140625" style="9" customWidth="1"/>
    <col min="14" max="16384" width="9.140625" style="9"/>
  </cols>
  <sheetData>
    <row r="1" spans="1:13" ht="15">
      <c r="A1" s="8" t="s">
        <v>42</v>
      </c>
      <c r="B1" s="50"/>
      <c r="C1" s="50"/>
      <c r="D1" s="50"/>
      <c r="E1" s="50"/>
      <c r="F1" s="50"/>
      <c r="G1" s="50"/>
      <c r="H1"/>
      <c r="I1" s="49"/>
      <c r="J1" s="49"/>
      <c r="K1" s="49"/>
      <c r="L1" s="49"/>
      <c r="M1" s="49"/>
    </row>
    <row r="2" spans="1:13" ht="15">
      <c r="A2" s="8" t="s">
        <v>43</v>
      </c>
      <c r="B2" s="50"/>
      <c r="C2" s="50"/>
      <c r="D2" s="50"/>
      <c r="E2" s="50"/>
      <c r="F2" s="50"/>
      <c r="G2" s="50"/>
      <c r="H2"/>
      <c r="I2" s="49"/>
      <c r="J2" s="49"/>
      <c r="K2" s="49"/>
      <c r="L2" s="49"/>
      <c r="M2" s="49"/>
    </row>
    <row r="3" spans="1:13" ht="15">
      <c r="A3"/>
      <c r="B3" s="50"/>
      <c r="C3" s="50"/>
      <c r="D3" s="50"/>
      <c r="E3" s="50"/>
      <c r="F3" s="50"/>
      <c r="G3" s="50"/>
      <c r="H3"/>
      <c r="I3"/>
      <c r="J3"/>
      <c r="K3"/>
      <c r="L3"/>
      <c r="M3"/>
    </row>
    <row r="4" spans="1:13" ht="12.75" customHeight="1">
      <c r="A4"/>
      <c r="B4" s="50"/>
      <c r="C4" s="50"/>
      <c r="D4" s="50"/>
      <c r="E4" s="50"/>
      <c r="F4" s="50"/>
      <c r="G4" s="50"/>
      <c r="H4"/>
      <c r="I4" s="201" t="s">
        <v>116</v>
      </c>
      <c r="J4" s="11"/>
      <c r="K4" s="49"/>
      <c r="L4" s="49"/>
      <c r="M4" s="49"/>
    </row>
    <row r="5" spans="1:13" ht="15">
      <c r="A5"/>
      <c r="B5" s="203">
        <v>2021</v>
      </c>
      <c r="C5" s="203"/>
      <c r="D5" s="11"/>
      <c r="E5" s="203">
        <v>2022</v>
      </c>
      <c r="F5" s="203"/>
      <c r="G5" s="50"/>
      <c r="H5"/>
      <c r="I5" s="201"/>
      <c r="J5" s="11"/>
      <c r="K5" s="203" t="s">
        <v>44</v>
      </c>
      <c r="L5" s="203"/>
      <c r="M5" s="203"/>
    </row>
    <row r="6" spans="1:13" ht="34.5" customHeight="1">
      <c r="A6"/>
      <c r="B6" s="60" t="s">
        <v>47</v>
      </c>
      <c r="C6" s="60" t="s">
        <v>46</v>
      </c>
      <c r="D6" s="60" t="s">
        <v>0</v>
      </c>
      <c r="E6" s="60" t="s">
        <v>47</v>
      </c>
      <c r="F6" s="60" t="s">
        <v>46</v>
      </c>
      <c r="G6" s="60" t="s">
        <v>0</v>
      </c>
      <c r="H6" s="12" t="s">
        <v>44</v>
      </c>
      <c r="I6" s="202"/>
      <c r="J6" s="48" t="s">
        <v>112</v>
      </c>
      <c r="K6" s="12" t="s">
        <v>47</v>
      </c>
      <c r="L6" s="12" t="s">
        <v>46</v>
      </c>
      <c r="M6" s="12" t="s">
        <v>45</v>
      </c>
    </row>
    <row r="7" spans="1:13" ht="15">
      <c r="A7" t="s">
        <v>72</v>
      </c>
      <c r="B7" s="101">
        <v>145789673.21902642</v>
      </c>
      <c r="C7" s="101">
        <v>286815108.32903868</v>
      </c>
      <c r="D7" s="58">
        <f>SUM(B7:C7)</f>
        <v>432604781.54806507</v>
      </c>
      <c r="E7" s="103">
        <v>164444692.14185449</v>
      </c>
      <c r="F7" s="103">
        <v>321537788.25949854</v>
      </c>
      <c r="G7" s="58">
        <f t="shared" ref="G7:G18" si="0">SUM(E7:F7)</f>
        <v>485982480.401353</v>
      </c>
      <c r="H7" s="19">
        <f t="shared" ref="H7:H13" si="1">AVERAGE(G7,D7)</f>
        <v>459293630.97470903</v>
      </c>
      <c r="I7" s="141">
        <v>459293631</v>
      </c>
      <c r="J7" s="57">
        <f t="shared" ref="J7:J18" si="2">H7-I7</f>
        <v>-2.5290966033935547E-2</v>
      </c>
      <c r="K7" s="56">
        <f>AVERAGE(E7,B7)</f>
        <v>155117182.68044046</v>
      </c>
      <c r="L7" s="56">
        <f>AVERAGE(F7,C7)</f>
        <v>304176448.29426861</v>
      </c>
      <c r="M7" s="13">
        <f t="shared" ref="M7:M18" si="3">K7+L7</f>
        <v>459293630.97470903</v>
      </c>
    </row>
    <row r="8" spans="1:13" ht="15">
      <c r="A8" t="s">
        <v>71</v>
      </c>
      <c r="B8" s="101">
        <v>137129441.9408772</v>
      </c>
      <c r="C8" s="101">
        <v>272301849.0321036</v>
      </c>
      <c r="D8" s="58">
        <f t="shared" ref="D8:D18" si="4">SUM(B8:C8)</f>
        <v>409431290.9729808</v>
      </c>
      <c r="E8" s="101">
        <v>144954981.24103734</v>
      </c>
      <c r="F8" s="101">
        <v>283216617.06580663</v>
      </c>
      <c r="G8" s="58">
        <f t="shared" si="0"/>
        <v>428171598.306844</v>
      </c>
      <c r="H8" s="19">
        <f t="shared" si="1"/>
        <v>418801444.63991237</v>
      </c>
      <c r="I8" s="142">
        <v>418801445</v>
      </c>
      <c r="J8" s="57">
        <f t="shared" si="2"/>
        <v>-0.36008763313293457</v>
      </c>
      <c r="K8" s="56">
        <f t="shared" ref="K8:K18" si="5">AVERAGE(E8,B8)</f>
        <v>141042211.59095728</v>
      </c>
      <c r="L8" s="56">
        <f t="shared" ref="L8:L18" si="6">AVERAGE(F8,C8)</f>
        <v>277759233.04895508</v>
      </c>
      <c r="M8" s="13">
        <f t="shared" si="3"/>
        <v>418801444.63991237</v>
      </c>
    </row>
    <row r="9" spans="1:13" ht="15">
      <c r="A9" t="s">
        <v>70</v>
      </c>
      <c r="B9" s="101">
        <v>140816990.37520942</v>
      </c>
      <c r="C9" s="101">
        <v>289862501.83402699</v>
      </c>
      <c r="D9" s="58">
        <f t="shared" si="4"/>
        <v>430679492.20923638</v>
      </c>
      <c r="E9" s="101">
        <v>142040847.6608406</v>
      </c>
      <c r="F9" s="101">
        <v>287806803.76379603</v>
      </c>
      <c r="G9" s="58">
        <f t="shared" si="0"/>
        <v>429847651.4246366</v>
      </c>
      <c r="H9" s="19">
        <f t="shared" si="1"/>
        <v>430263571.81693649</v>
      </c>
      <c r="I9" s="142">
        <v>430263572</v>
      </c>
      <c r="J9" s="57">
        <f t="shared" si="2"/>
        <v>-0.18306350708007813</v>
      </c>
      <c r="K9" s="56">
        <f t="shared" si="5"/>
        <v>141428919.01802501</v>
      </c>
      <c r="L9" s="56">
        <f t="shared" si="6"/>
        <v>288834652.79891151</v>
      </c>
      <c r="M9" s="13">
        <f t="shared" si="3"/>
        <v>430263571.81693649</v>
      </c>
    </row>
    <row r="10" spans="1:13" ht="15">
      <c r="A10" t="s">
        <v>69</v>
      </c>
      <c r="B10" s="101">
        <v>105923363.8605562</v>
      </c>
      <c r="C10" s="101">
        <v>207975137.51265633</v>
      </c>
      <c r="D10" s="58">
        <f t="shared" si="4"/>
        <v>313898501.37321252</v>
      </c>
      <c r="E10" s="101">
        <v>109804254.6022961</v>
      </c>
      <c r="F10" s="101">
        <v>211949034.89857361</v>
      </c>
      <c r="G10" s="58">
        <f t="shared" si="0"/>
        <v>321753289.50086969</v>
      </c>
      <c r="H10" s="19">
        <f t="shared" si="1"/>
        <v>317825895.4370411</v>
      </c>
      <c r="I10" s="142">
        <v>317825895</v>
      </c>
      <c r="J10" s="57">
        <f t="shared" si="2"/>
        <v>0.43704110383987427</v>
      </c>
      <c r="K10" s="56">
        <f t="shared" si="5"/>
        <v>107863809.23142615</v>
      </c>
      <c r="L10" s="56">
        <f t="shared" si="6"/>
        <v>209962086.20561498</v>
      </c>
      <c r="M10" s="13">
        <f t="shared" si="3"/>
        <v>317825895.43704116</v>
      </c>
    </row>
    <row r="11" spans="1:13" ht="15">
      <c r="A11" t="s">
        <v>68</v>
      </c>
      <c r="B11" s="101">
        <v>86051361.179129198</v>
      </c>
      <c r="C11" s="101">
        <v>170291372.31838706</v>
      </c>
      <c r="D11" s="58">
        <f t="shared" si="4"/>
        <v>256342733.49751627</v>
      </c>
      <c r="E11" s="101">
        <v>98889161.339786693</v>
      </c>
      <c r="F11" s="101">
        <v>191901351.00307482</v>
      </c>
      <c r="G11" s="58">
        <f t="shared" si="0"/>
        <v>290790512.34286153</v>
      </c>
      <c r="H11" s="19">
        <f t="shared" si="1"/>
        <v>273566622.9201889</v>
      </c>
      <c r="I11" s="142">
        <v>273566623</v>
      </c>
      <c r="J11" s="57">
        <f t="shared" si="2"/>
        <v>-7.981109619140625E-2</v>
      </c>
      <c r="K11" s="56">
        <f t="shared" si="5"/>
        <v>92470261.259457946</v>
      </c>
      <c r="L11" s="56">
        <f t="shared" si="6"/>
        <v>181096361.66073096</v>
      </c>
      <c r="M11" s="13">
        <f t="shared" si="3"/>
        <v>273566622.9201889</v>
      </c>
    </row>
    <row r="12" spans="1:13" ht="15">
      <c r="A12" t="s">
        <v>67</v>
      </c>
      <c r="B12" s="101">
        <v>92116781.450435817</v>
      </c>
      <c r="C12" s="101">
        <v>184981658.04479483</v>
      </c>
      <c r="D12" s="58">
        <f t="shared" si="4"/>
        <v>277098439.49523067</v>
      </c>
      <c r="E12" s="101">
        <v>87472767.384004593</v>
      </c>
      <c r="F12" s="101">
        <v>172315447.00125319</v>
      </c>
      <c r="G12" s="58">
        <f t="shared" si="0"/>
        <v>259788214.38525778</v>
      </c>
      <c r="H12" s="19">
        <f t="shared" si="1"/>
        <v>268443326.9402442</v>
      </c>
      <c r="I12" s="142">
        <v>268443327</v>
      </c>
      <c r="J12" s="57">
        <f t="shared" si="2"/>
        <v>-5.9755802154541016E-2</v>
      </c>
      <c r="K12" s="56">
        <f t="shared" si="5"/>
        <v>89794774.417220205</v>
      </c>
      <c r="L12" s="56">
        <f t="shared" si="6"/>
        <v>178648552.52302402</v>
      </c>
      <c r="M12" s="13">
        <f t="shared" si="3"/>
        <v>268443326.9402442</v>
      </c>
    </row>
    <row r="13" spans="1:13" ht="15">
      <c r="A13" t="s">
        <v>66</v>
      </c>
      <c r="B13" s="101">
        <v>122988150.61120661</v>
      </c>
      <c r="C13" s="101">
        <v>256258805.1615642</v>
      </c>
      <c r="D13" s="58">
        <f t="shared" si="4"/>
        <v>379246955.77277082</v>
      </c>
      <c r="E13" s="101">
        <v>98225554.953923494</v>
      </c>
      <c r="F13" s="101">
        <v>192745022.81852335</v>
      </c>
      <c r="G13" s="58">
        <f t="shared" si="0"/>
        <v>290970577.77244687</v>
      </c>
      <c r="H13" s="19">
        <f t="shared" si="1"/>
        <v>335108766.77260888</v>
      </c>
      <c r="I13" s="141">
        <v>335108767</v>
      </c>
      <c r="J13" s="57">
        <f t="shared" si="2"/>
        <v>-0.22739112377166748</v>
      </c>
      <c r="K13" s="56">
        <f t="shared" si="5"/>
        <v>110606852.78256506</v>
      </c>
      <c r="L13" s="56">
        <f t="shared" si="6"/>
        <v>224501913.99004376</v>
      </c>
      <c r="M13" s="13">
        <f t="shared" si="3"/>
        <v>335108766.77260882</v>
      </c>
    </row>
    <row r="14" spans="1:13" ht="15">
      <c r="A14" t="s">
        <v>48</v>
      </c>
      <c r="B14" s="101">
        <v>117907268.91241699</v>
      </c>
      <c r="C14" s="101">
        <v>251806598.16509801</v>
      </c>
      <c r="D14" s="58">
        <f t="shared" si="4"/>
        <v>369713867.07751501</v>
      </c>
      <c r="E14" s="103"/>
      <c r="F14" s="103"/>
      <c r="G14" s="58">
        <f t="shared" si="0"/>
        <v>0</v>
      </c>
      <c r="H14" s="19">
        <f>+D14</f>
        <v>369713867.07751501</v>
      </c>
      <c r="I14" s="142">
        <v>369713867</v>
      </c>
      <c r="J14" s="57">
        <f t="shared" si="2"/>
        <v>7.7515006065368652E-2</v>
      </c>
      <c r="K14" s="56">
        <f>AVERAGE(E14,B14)</f>
        <v>117907268.91241699</v>
      </c>
      <c r="L14" s="56">
        <f t="shared" si="6"/>
        <v>251806598.16509801</v>
      </c>
      <c r="M14" s="13">
        <f t="shared" si="3"/>
        <v>369713867.07751501</v>
      </c>
    </row>
    <row r="15" spans="1:13" ht="15">
      <c r="A15" t="s">
        <v>49</v>
      </c>
      <c r="B15" s="101">
        <v>89336713.387808248</v>
      </c>
      <c r="C15" s="101">
        <v>193669232.3317658</v>
      </c>
      <c r="D15" s="58">
        <f t="shared" si="4"/>
        <v>283005945.71957403</v>
      </c>
      <c r="E15" s="103"/>
      <c r="F15" s="103"/>
      <c r="G15" s="58">
        <f t="shared" si="0"/>
        <v>0</v>
      </c>
      <c r="H15" s="19">
        <f t="shared" ref="H15:H18" si="7">+D15</f>
        <v>283005945.71957403</v>
      </c>
      <c r="I15" s="142">
        <v>283005946</v>
      </c>
      <c r="J15" s="57">
        <f t="shared" si="2"/>
        <v>-0.28042596578598022</v>
      </c>
      <c r="K15" s="56">
        <f t="shared" si="5"/>
        <v>89336713.387808248</v>
      </c>
      <c r="L15" s="56">
        <f t="shared" si="6"/>
        <v>193669232.3317658</v>
      </c>
      <c r="M15" s="13">
        <f t="shared" si="3"/>
        <v>283005945.71957403</v>
      </c>
    </row>
    <row r="16" spans="1:13" ht="15">
      <c r="A16" t="s">
        <v>40</v>
      </c>
      <c r="B16" s="101">
        <v>84529151.205240518</v>
      </c>
      <c r="C16" s="101">
        <v>170367259.14992908</v>
      </c>
      <c r="D16" s="58">
        <f t="shared" si="4"/>
        <v>254896410.35516959</v>
      </c>
      <c r="E16" s="103"/>
      <c r="F16" s="103"/>
      <c r="G16" s="58">
        <f t="shared" si="0"/>
        <v>0</v>
      </c>
      <c r="H16" s="19">
        <f t="shared" si="7"/>
        <v>254896410.35516959</v>
      </c>
      <c r="I16" s="142">
        <v>254896410</v>
      </c>
      <c r="J16" s="57">
        <f t="shared" si="2"/>
        <v>0.35516959428787231</v>
      </c>
      <c r="K16" s="56">
        <f t="shared" si="5"/>
        <v>84529151.205240518</v>
      </c>
      <c r="L16" s="56">
        <f t="shared" si="6"/>
        <v>170367259.14992908</v>
      </c>
      <c r="M16" s="13">
        <f>K16+L16</f>
        <v>254896410.35516959</v>
      </c>
    </row>
    <row r="17" spans="1:13" ht="15">
      <c r="A17" t="s">
        <v>1</v>
      </c>
      <c r="B17" s="101">
        <v>103453072.14194331</v>
      </c>
      <c r="C17" s="101">
        <v>203535963.7295748</v>
      </c>
      <c r="D17" s="58">
        <f t="shared" si="4"/>
        <v>306989035.87151814</v>
      </c>
      <c r="E17" s="103"/>
      <c r="F17" s="103"/>
      <c r="G17" s="58">
        <f t="shared" si="0"/>
        <v>0</v>
      </c>
      <c r="H17" s="19">
        <f t="shared" si="7"/>
        <v>306989035.87151814</v>
      </c>
      <c r="I17" s="142">
        <v>306989036</v>
      </c>
      <c r="J17" s="57">
        <f t="shared" si="2"/>
        <v>-0.12848186492919922</v>
      </c>
      <c r="K17" s="56">
        <f>AVERAGE(E17,B17)</f>
        <v>103453072.14194331</v>
      </c>
      <c r="L17" s="56">
        <f t="shared" si="6"/>
        <v>203535963.7295748</v>
      </c>
      <c r="M17" s="13">
        <f t="shared" si="3"/>
        <v>306989035.87151814</v>
      </c>
    </row>
    <row r="18" spans="1:13" ht="15">
      <c r="A18" t="s">
        <v>50</v>
      </c>
      <c r="B18" s="102">
        <v>138124809.64538619</v>
      </c>
      <c r="C18" s="102">
        <v>272843674.01687372</v>
      </c>
      <c r="D18" s="59">
        <f t="shared" si="4"/>
        <v>410968483.66225994</v>
      </c>
      <c r="E18" s="102"/>
      <c r="F18" s="102"/>
      <c r="G18" s="58">
        <f t="shared" si="0"/>
        <v>0</v>
      </c>
      <c r="H18" s="19">
        <f t="shared" si="7"/>
        <v>410968483.66225994</v>
      </c>
      <c r="I18" s="142">
        <v>410968484</v>
      </c>
      <c r="J18" s="57">
        <f t="shared" si="2"/>
        <v>-0.33774006366729736</v>
      </c>
      <c r="K18" s="56">
        <f t="shared" si="5"/>
        <v>138124809.64538619</v>
      </c>
      <c r="L18" s="56">
        <f t="shared" si="6"/>
        <v>272843674.01687372</v>
      </c>
      <c r="M18" s="13">
        <f t="shared" si="3"/>
        <v>410968483.66225994</v>
      </c>
    </row>
    <row r="19" spans="1:13" ht="15">
      <c r="A19"/>
      <c r="B19" s="55">
        <f t="shared" ref="B19:H19" si="8">SUM(B7:B18)</f>
        <v>1364166777.9292362</v>
      </c>
      <c r="C19" s="55">
        <f t="shared" si="8"/>
        <v>2760709159.625813</v>
      </c>
      <c r="D19" s="55">
        <f t="shared" si="8"/>
        <v>4124875937.5550499</v>
      </c>
      <c r="E19" s="55">
        <f t="shared" si="8"/>
        <v>845832259.32374322</v>
      </c>
      <c r="F19" s="55">
        <f t="shared" si="8"/>
        <v>1661472064.8105264</v>
      </c>
      <c r="G19" s="55">
        <f t="shared" si="8"/>
        <v>2507304324.1342697</v>
      </c>
      <c r="H19" s="55">
        <f t="shared" si="8"/>
        <v>4128877002.1876779</v>
      </c>
      <c r="I19" s="15">
        <f>SUM(I7:I18)</f>
        <v>4128877003</v>
      </c>
      <c r="J19" s="15">
        <f>SUM(J7:J18)</f>
        <v>-0.81232231855392456</v>
      </c>
      <c r="K19" s="14">
        <f>SUM(K7:K18)</f>
        <v>1371675026.2728872</v>
      </c>
      <c r="L19" s="14">
        <f>SUM(L7:L18)</f>
        <v>2757201975.9147902</v>
      </c>
      <c r="M19" s="14">
        <f>SUM(M7:M18)</f>
        <v>4128877002.1876779</v>
      </c>
    </row>
    <row r="20" spans="1:13" ht="15">
      <c r="A20"/>
      <c r="B20" s="50"/>
      <c r="C20" s="50"/>
      <c r="D20" s="50"/>
      <c r="E20" s="50"/>
      <c r="F20" s="50"/>
      <c r="G20" s="50"/>
      <c r="H20"/>
      <c r="I20" s="49"/>
      <c r="J20" s="49"/>
      <c r="K20" s="98">
        <f>K19/M19</f>
        <v>0.33221503705392719</v>
      </c>
      <c r="L20" s="98">
        <f>L19/M19</f>
        <v>0.6677849629460727</v>
      </c>
      <c r="M20" s="16">
        <f>SUM(K20:L20)</f>
        <v>0.99999999999999989</v>
      </c>
    </row>
    <row r="21" spans="1:13" ht="15">
      <c r="A21" t="s">
        <v>117</v>
      </c>
      <c r="B21" s="143"/>
      <c r="C21" s="50"/>
      <c r="D21" s="50"/>
      <c r="E21" s="50"/>
      <c r="F21" s="50"/>
      <c r="G21" s="50"/>
      <c r="H21"/>
      <c r="I21" s="13"/>
      <c r="J21" s="49"/>
      <c r="K21" s="49"/>
      <c r="L21" s="49"/>
      <c r="M21" s="49"/>
    </row>
    <row r="22" spans="1:13" ht="15">
      <c r="A22"/>
      <c r="B22" s="50"/>
      <c r="C22" s="50"/>
      <c r="D22" s="50"/>
      <c r="E22" s="12" t="s">
        <v>47</v>
      </c>
      <c r="F22" s="12" t="s">
        <v>46</v>
      </c>
      <c r="G22" s="50"/>
      <c r="H22"/>
      <c r="I22" s="49"/>
      <c r="J22" s="49"/>
      <c r="K22" s="49"/>
      <c r="L22" s="49"/>
      <c r="M22" s="49"/>
    </row>
    <row r="23" spans="1:13" ht="15">
      <c r="A23"/>
      <c r="B23" s="50"/>
      <c r="C23" s="50"/>
      <c r="D23" s="50"/>
      <c r="E23" s="13"/>
      <c r="F23" s="13"/>
      <c r="G23" s="50"/>
      <c r="H23"/>
      <c r="I23" s="49"/>
      <c r="J23" s="49"/>
      <c r="K23" s="49"/>
      <c r="L23" s="49"/>
      <c r="M23" s="49"/>
    </row>
    <row r="24" spans="1:13" ht="15">
      <c r="A24"/>
      <c r="B24" s="50"/>
      <c r="C24" s="50"/>
      <c r="D24" s="50"/>
      <c r="E24" s="17">
        <f>+K19</f>
        <v>1371675026.2728872</v>
      </c>
      <c r="F24" s="17">
        <f>+L19</f>
        <v>2757201975.9147902</v>
      </c>
      <c r="G24" s="50"/>
      <c r="H24"/>
      <c r="I24" s="49"/>
      <c r="J24" s="49"/>
      <c r="K24" s="49"/>
      <c r="L24" s="49"/>
      <c r="M24" s="49"/>
    </row>
    <row r="25" spans="1:13" ht="15">
      <c r="A25"/>
      <c r="B25" s="50"/>
      <c r="C25" s="54"/>
      <c r="D25" s="50"/>
      <c r="E25" s="50"/>
      <c r="F25" s="50"/>
      <c r="G25" s="50"/>
      <c r="H25"/>
      <c r="I25" s="52"/>
      <c r="J25" s="53"/>
      <c r="K25" s="52"/>
      <c r="L25" s="51"/>
      <c r="M25" s="49"/>
    </row>
    <row r="26" spans="1:13" ht="15">
      <c r="A26"/>
      <c r="B26" s="204" t="s">
        <v>65</v>
      </c>
      <c r="C26" s="204"/>
      <c r="D26" s="50"/>
      <c r="E26" s="50"/>
      <c r="F26" s="50"/>
      <c r="G26" s="50"/>
      <c r="H26"/>
      <c r="I26" s="49"/>
      <c r="J26" s="49"/>
      <c r="K26" s="49"/>
      <c r="L26" s="49"/>
      <c r="M26" s="49"/>
    </row>
    <row r="33" spans="1:10">
      <c r="A33" s="8"/>
      <c r="J33" s="9"/>
    </row>
  </sheetData>
  <mergeCells count="5">
    <mergeCell ref="I4:I6"/>
    <mergeCell ref="B5:C5"/>
    <mergeCell ref="E5:F5"/>
    <mergeCell ref="K5:M5"/>
    <mergeCell ref="B26:C26"/>
  </mergeCells>
  <pageMargins left="1.01" right="0.7" top="0.75" bottom="0.75" header="0.3" footer="0.3"/>
  <pageSetup scale="54" orientation="landscape" r:id="rId1"/>
  <headerFooter>
    <oddFooter>&amp;L&amp;A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7726B-D443-4A42-BEB4-494C7F196980}">
  <sheetPr>
    <tabColor rgb="FF92D050"/>
  </sheetPr>
  <dimension ref="A1:J25"/>
  <sheetViews>
    <sheetView view="pageBreakPreview" zoomScale="120" zoomScaleNormal="100" zoomScaleSheetLayoutView="120" workbookViewId="0">
      <selection activeCell="C28" sqref="C28"/>
    </sheetView>
  </sheetViews>
  <sheetFormatPr defaultColWidth="9.140625" defaultRowHeight="12.75"/>
  <cols>
    <col min="1" max="4" width="9.140625" style="127"/>
    <col min="5" max="5" width="16.7109375" style="127" customWidth="1"/>
    <col min="6" max="6" width="9.28515625" style="127" customWidth="1"/>
    <col min="7" max="16384" width="9.140625" style="127"/>
  </cols>
  <sheetData>
    <row r="1" spans="1:6" ht="15">
      <c r="A1" s="126" t="s">
        <v>93</v>
      </c>
      <c r="B1" s="126"/>
      <c r="C1" s="126"/>
      <c r="D1" s="126"/>
      <c r="E1" s="126"/>
      <c r="F1" s="126"/>
    </row>
    <row r="2" spans="1:6" ht="15">
      <c r="A2" s="126" t="s">
        <v>94</v>
      </c>
      <c r="B2" s="126"/>
      <c r="C2" s="126"/>
      <c r="D2" s="126"/>
      <c r="E2" s="126"/>
      <c r="F2" s="126"/>
    </row>
    <row r="3" spans="1:6" ht="15">
      <c r="A3" s="126" t="s">
        <v>111</v>
      </c>
      <c r="B3" s="126"/>
      <c r="C3" s="126"/>
      <c r="D3" s="126"/>
      <c r="E3" s="126"/>
      <c r="F3" s="126"/>
    </row>
    <row r="4" spans="1:6" ht="15">
      <c r="A4" s="126" t="s">
        <v>95</v>
      </c>
      <c r="B4" s="126"/>
      <c r="C4" s="126"/>
      <c r="D4" s="126"/>
      <c r="E4" s="126"/>
      <c r="F4" s="126"/>
    </row>
    <row r="5" spans="1:6" ht="15">
      <c r="A5" s="126"/>
      <c r="B5" s="126"/>
      <c r="C5" s="126"/>
      <c r="D5" s="126"/>
      <c r="E5" s="126"/>
      <c r="F5" s="126"/>
    </row>
    <row r="6" spans="1:6" ht="15">
      <c r="A6" s="126"/>
      <c r="B6" s="126"/>
      <c r="C6" s="126"/>
      <c r="D6" s="126"/>
      <c r="E6" s="126"/>
      <c r="F6" s="126"/>
    </row>
    <row r="7" spans="1:6" ht="15">
      <c r="A7" s="126" t="s">
        <v>96</v>
      </c>
      <c r="B7" s="126"/>
      <c r="C7" s="126"/>
      <c r="D7" s="126"/>
      <c r="E7" s="126"/>
      <c r="F7" s="126"/>
    </row>
    <row r="8" spans="1:6" ht="15">
      <c r="A8" s="126" t="s">
        <v>97</v>
      </c>
      <c r="B8" s="126"/>
      <c r="C8" s="126" t="s">
        <v>98</v>
      </c>
      <c r="D8" s="126"/>
      <c r="E8" s="126"/>
      <c r="F8" s="128" t="s">
        <v>99</v>
      </c>
    </row>
    <row r="9" spans="1:6" ht="15">
      <c r="A9" s="126"/>
      <c r="B9" s="126"/>
      <c r="C9" s="126"/>
      <c r="D9" s="126"/>
      <c r="E9" s="126"/>
      <c r="F9" s="126"/>
    </row>
    <row r="10" spans="1:6" ht="15">
      <c r="A10" s="126">
        <v>1</v>
      </c>
      <c r="B10" s="126"/>
      <c r="C10" s="126" t="s">
        <v>100</v>
      </c>
      <c r="D10" s="126"/>
      <c r="E10" s="126"/>
      <c r="F10" s="129">
        <v>1</v>
      </c>
    </row>
    <row r="11" spans="1:6" ht="15">
      <c r="A11" s="126"/>
      <c r="B11" s="126"/>
      <c r="C11" s="126"/>
      <c r="D11" s="126"/>
      <c r="E11" s="126"/>
      <c r="F11" s="129"/>
    </row>
    <row r="12" spans="1:6" ht="15">
      <c r="A12" s="126"/>
      <c r="B12" s="126"/>
      <c r="C12" s="129" t="s">
        <v>101</v>
      </c>
      <c r="D12" s="129"/>
      <c r="E12" s="129"/>
      <c r="F12" s="129"/>
    </row>
    <row r="13" spans="1:6" ht="15">
      <c r="A13" s="126">
        <v>2</v>
      </c>
      <c r="B13" s="126"/>
      <c r="C13" s="129" t="s">
        <v>102</v>
      </c>
      <c r="D13" s="129"/>
      <c r="E13" s="129"/>
      <c r="F13" s="129">
        <v>3.3262888499492435E-3</v>
      </c>
    </row>
    <row r="14" spans="1:6" ht="15">
      <c r="A14" s="126"/>
      <c r="B14" s="126"/>
      <c r="C14" s="129"/>
      <c r="D14" s="129"/>
      <c r="E14" s="129"/>
      <c r="F14" s="129"/>
    </row>
    <row r="15" spans="1:6" ht="15">
      <c r="A15" s="126">
        <v>3</v>
      </c>
      <c r="B15" s="126"/>
      <c r="C15" s="129" t="s">
        <v>103</v>
      </c>
      <c r="D15" s="129"/>
      <c r="E15" s="129"/>
      <c r="F15" s="129">
        <v>2E-3</v>
      </c>
    </row>
    <row r="16" spans="1:6" ht="15">
      <c r="A16" s="126"/>
      <c r="B16" s="126"/>
      <c r="C16" s="129"/>
      <c r="D16" s="129"/>
      <c r="E16" s="129"/>
      <c r="F16" s="129"/>
    </row>
    <row r="17" spans="1:10" ht="15">
      <c r="A17" s="126">
        <v>4</v>
      </c>
      <c r="B17" s="126"/>
      <c r="C17" s="129" t="s">
        <v>107</v>
      </c>
      <c r="D17" s="129"/>
      <c r="E17" s="129"/>
      <c r="F17" s="129">
        <v>3.8605159527686062E-2</v>
      </c>
    </row>
    <row r="18" spans="1:10" ht="15">
      <c r="A18" s="126"/>
      <c r="B18" s="126"/>
      <c r="C18" s="129"/>
      <c r="D18" s="129"/>
      <c r="E18" s="129"/>
      <c r="F18" s="129"/>
    </row>
    <row r="19" spans="1:10" ht="15">
      <c r="A19" s="126">
        <v>5</v>
      </c>
      <c r="B19" s="126"/>
      <c r="C19" s="129" t="s">
        <v>104</v>
      </c>
      <c r="D19" s="129"/>
      <c r="E19" s="129"/>
      <c r="F19" s="130">
        <f>SUM(F13:F17)</f>
        <v>4.3931448377635303E-2</v>
      </c>
    </row>
    <row r="20" spans="1:10" ht="15.75" thickBot="1">
      <c r="A20" s="126"/>
      <c r="B20" s="126"/>
      <c r="C20" s="129"/>
      <c r="D20" s="129"/>
      <c r="E20" s="129"/>
      <c r="F20" s="129"/>
    </row>
    <row r="21" spans="1:10" ht="16.5" thickTop="1" thickBot="1">
      <c r="A21" s="126">
        <v>6</v>
      </c>
      <c r="B21" s="126"/>
      <c r="C21" s="129" t="s">
        <v>105</v>
      </c>
      <c r="D21" s="129"/>
      <c r="E21" s="129"/>
      <c r="F21" s="131">
        <f>F10-F19</f>
        <v>0.9560685516223647</v>
      </c>
      <c r="J21" s="132"/>
    </row>
    <row r="22" spans="1:10" ht="15.75" thickTop="1">
      <c r="A22" s="126"/>
      <c r="B22" s="126"/>
      <c r="C22" s="129"/>
      <c r="D22" s="129"/>
      <c r="E22" s="129"/>
      <c r="F22" s="126"/>
    </row>
    <row r="23" spans="1:10" ht="15">
      <c r="A23" s="126"/>
      <c r="B23" s="126"/>
      <c r="C23" s="126"/>
      <c r="D23" s="126"/>
      <c r="E23" s="126"/>
      <c r="F23" s="126"/>
    </row>
    <row r="25" spans="1:10" ht="15">
      <c r="A25" s="126" t="s">
        <v>106</v>
      </c>
    </row>
  </sheetData>
  <pageMargins left="0.7" right="0.7" top="0.75" bottom="0.75" header="0.3" footer="0.3"/>
  <pageSetup orientation="portrait" r:id="rId1"/>
  <headerFooter>
    <oddFooter>&amp;L&amp;F
&amp;A&amp;RPage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6CA0F2686358BA41B8F05484EDA8B528" ma:contentTypeVersion="16" ma:contentTypeDescription="" ma:contentTypeScope="" ma:versionID="335347b010bfbde2b7cc5b80702162aa">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2024-08-30T07:00:00+00:00</OpenedDate>
    <SignificantOrder xmlns="dc463f71-b30c-4ab2-9473-d307f9d35888">false</SignificantOrder>
    <Date1 xmlns="dc463f71-b30c-4ab2-9473-d307f9d35888">2024-08-30T07:00:00+00:00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240654</DocketNumber>
    <DelegatedOrder xmlns="dc463f71-b30c-4ab2-9473-d307f9d35888">false</DelegatedOrder>
  </documentManagement>
</p:properties>
</file>

<file path=customXml/itemProps1.xml><?xml version="1.0" encoding="utf-8"?>
<ds:datastoreItem xmlns:ds="http://schemas.openxmlformats.org/officeDocument/2006/customXml" ds:itemID="{B9DE81EF-A8D1-4874-8A20-F2FC8D995FBD}"/>
</file>

<file path=customXml/itemProps2.xml><?xml version="1.0" encoding="utf-8"?>
<ds:datastoreItem xmlns:ds="http://schemas.openxmlformats.org/officeDocument/2006/customXml" ds:itemID="{AAD74843-2CF4-48FA-A527-E019B2D184CB}"/>
</file>

<file path=customXml/itemProps3.xml><?xml version="1.0" encoding="utf-8"?>
<ds:datastoreItem xmlns:ds="http://schemas.openxmlformats.org/officeDocument/2006/customXml" ds:itemID="{2F689A5C-B24E-4F11-A00C-178E8AD7D477}"/>
</file>

<file path=customXml/itemProps4.xml><?xml version="1.0" encoding="utf-8"?>
<ds:datastoreItem xmlns:ds="http://schemas.openxmlformats.org/officeDocument/2006/customXml" ds:itemID="{6CEB4C0C-5774-4DDC-BBA6-670FC7E80B1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Proposed ResEx Rate</vt:lpstr>
      <vt:lpstr>Table</vt:lpstr>
      <vt:lpstr>Washington ResX Balances</vt:lpstr>
      <vt:lpstr>Projected Benefits</vt:lpstr>
      <vt:lpstr>Projected kWhs</vt:lpstr>
      <vt:lpstr>July Unbilled</vt:lpstr>
      <vt:lpstr>Load Calculation</vt:lpstr>
      <vt:lpstr>Conversion Factor</vt:lpstr>
      <vt:lpstr>'Projected Benefits'!Print_Area</vt:lpstr>
      <vt:lpstr>Table!Print_Area</vt:lpstr>
    </vt:vector>
  </TitlesOfParts>
  <Company>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Ron McKenzie</dc:creator>
  <cp:lastModifiedBy>Booth, Avery (UTC)</cp:lastModifiedBy>
  <cp:lastPrinted>2024-08-07T19:18:44Z</cp:lastPrinted>
  <dcterms:created xsi:type="dcterms:W3CDTF">2010-06-18T20:31:54Z</dcterms:created>
  <dcterms:modified xsi:type="dcterms:W3CDTF">2024-08-30T20:54:42Z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0x0101006E56B4D1795A2E4DB2F0B01679ED314A006CA0F2686358BA41B8F05484EDA8B528</vt:lpwstr>
  </property>
  <property fmtid="{D5CDD505-2E9C-101B-9397-08002B2CF9AE}" pid="3" name="_docset_NoMedatataSyncRequired">
    <vt:lpwstr>False</vt:lpwstr>
  </property>
</Properties>
</file>