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Skagit\"/>
    </mc:Choice>
  </mc:AlternateContent>
  <xr:revisionPtr revIDLastSave="0" documentId="8_{DD540B8B-FCE7-403E-B2A5-88182060E380}" xr6:coauthVersionLast="47" xr6:coauthVersionMax="47" xr10:uidLastSave="{00000000-0000-0000-0000-000000000000}"/>
  <bookViews>
    <workbookView xWindow="-28920" yWindow="-12795" windowWidth="29040" windowHeight="15840" tabRatio="886" activeTab="1"/>
  </bookViews>
  <sheets>
    <sheet name="References" sheetId="5" r:id="rId1"/>
    <sheet name="Calc. and priceout" sheetId="6" r:id="rId2"/>
    <sheet name="Co. Pro Tonnage" sheetId="2" r:id="rId3"/>
  </sheets>
  <definedNames>
    <definedName name="_xlnm.Print_Area" localSheetId="1">'Calc. and priceout'!$A$1:$R$101</definedName>
    <definedName name="_xlnm.Print_Area" localSheetId="2">'Co. Pro Tonnage'!$A$1:$P$14</definedName>
    <definedName name="_xlnm.Print_Area" localSheetId="0">References!$A$1:$H$64</definedName>
    <definedName name="_xlnm.Print_Titles" localSheetId="1">'Calc. and priceout'!$1:$1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" i="6" l="1"/>
  <c r="T33" i="6"/>
  <c r="T35" i="6"/>
  <c r="T40" i="6"/>
  <c r="S84" i="6"/>
  <c r="S53" i="6"/>
  <c r="S65" i="6"/>
  <c r="S74" i="6"/>
  <c r="M50" i="6"/>
  <c r="M49" i="6"/>
  <c r="G28" i="6"/>
  <c r="F28" i="6"/>
  <c r="O110" i="6"/>
  <c r="O23" i="6"/>
  <c r="O20" i="6"/>
  <c r="O19" i="6"/>
  <c r="O18" i="6"/>
  <c r="O6" i="6"/>
  <c r="X41" i="6"/>
  <c r="Y41" i="6"/>
  <c r="X42" i="6"/>
  <c r="Y42" i="6"/>
  <c r="X40" i="6"/>
  <c r="Y40" i="6"/>
  <c r="X36" i="6"/>
  <c r="Y36" i="6"/>
  <c r="X37" i="6"/>
  <c r="Y37" i="6"/>
  <c r="X38" i="6"/>
  <c r="Y38" i="6"/>
  <c r="X39" i="6"/>
  <c r="X35" i="6"/>
  <c r="X34" i="6"/>
  <c r="X33" i="6"/>
  <c r="X30" i="6"/>
  <c r="Y30" i="6"/>
  <c r="X31" i="6"/>
  <c r="Y31" i="6"/>
  <c r="X32" i="6"/>
  <c r="Y32" i="6"/>
  <c r="X29" i="6"/>
  <c r="Y29" i="6"/>
  <c r="G26" i="6"/>
  <c r="H26" i="6"/>
  <c r="G24" i="6"/>
  <c r="G25" i="6"/>
  <c r="H25" i="6"/>
  <c r="G21" i="6"/>
  <c r="G22" i="6"/>
  <c r="H22" i="6"/>
  <c r="G14" i="6"/>
  <c r="G15" i="6"/>
  <c r="G5" i="6"/>
  <c r="G13" i="6"/>
  <c r="H13" i="6"/>
  <c r="G2" i="6"/>
  <c r="G3" i="6"/>
  <c r="F4" i="6"/>
  <c r="O4" i="6"/>
  <c r="F5" i="6"/>
  <c r="H5" i="6"/>
  <c r="O5" i="6"/>
  <c r="F6" i="6"/>
  <c r="F7" i="6"/>
  <c r="O7" i="6"/>
  <c r="F9" i="6"/>
  <c r="O9" i="6"/>
  <c r="F10" i="6"/>
  <c r="O10" i="6"/>
  <c r="F11" i="6"/>
  <c r="O11" i="6"/>
  <c r="F12" i="6"/>
  <c r="O12" i="6"/>
  <c r="F13" i="6"/>
  <c r="O13" i="6"/>
  <c r="F14" i="6"/>
  <c r="H14" i="6"/>
  <c r="O14" i="6"/>
  <c r="F15" i="6"/>
  <c r="O15" i="6"/>
  <c r="F16" i="6"/>
  <c r="O16" i="6"/>
  <c r="F17" i="6"/>
  <c r="O17" i="6"/>
  <c r="F18" i="6"/>
  <c r="F19" i="6"/>
  <c r="F20" i="6"/>
  <c r="F21" i="6"/>
  <c r="O21" i="6"/>
  <c r="F22" i="6"/>
  <c r="O22" i="6"/>
  <c r="F23" i="6"/>
  <c r="F24" i="6"/>
  <c r="H24" i="6"/>
  <c r="O24" i="6"/>
  <c r="F25" i="6"/>
  <c r="O25" i="6"/>
  <c r="F26" i="6"/>
  <c r="O26" i="6"/>
  <c r="D8" i="6"/>
  <c r="F8" i="6"/>
  <c r="H21" i="6"/>
  <c r="G96" i="6"/>
  <c r="G97" i="6"/>
  <c r="G82" i="6"/>
  <c r="G83" i="6"/>
  <c r="G72" i="6"/>
  <c r="G73" i="6"/>
  <c r="G64" i="6"/>
  <c r="G65" i="6"/>
  <c r="G51" i="6"/>
  <c r="G52" i="6"/>
  <c r="G53" i="6"/>
  <c r="G54" i="6"/>
  <c r="G48" i="6"/>
  <c r="G49" i="6"/>
  <c r="G42" i="6"/>
  <c r="G43" i="6"/>
  <c r="G44" i="6"/>
  <c r="H36" i="6"/>
  <c r="H40" i="6"/>
  <c r="F30" i="6"/>
  <c r="F31" i="6"/>
  <c r="F32" i="6"/>
  <c r="F33" i="6"/>
  <c r="Y33" i="6"/>
  <c r="F34" i="6"/>
  <c r="F35" i="6"/>
  <c r="F36" i="6"/>
  <c r="O36" i="6"/>
  <c r="F37" i="6"/>
  <c r="H37" i="6"/>
  <c r="F38" i="6"/>
  <c r="H38" i="6"/>
  <c r="O38" i="6"/>
  <c r="F39" i="6"/>
  <c r="F40" i="6"/>
  <c r="O40" i="6"/>
  <c r="F41" i="6"/>
  <c r="H41" i="6"/>
  <c r="F42" i="6"/>
  <c r="O42" i="6"/>
  <c r="H42" i="6"/>
  <c r="F43" i="6"/>
  <c r="F44" i="6"/>
  <c r="Y44" i="6"/>
  <c r="F45" i="6"/>
  <c r="Y45" i="6"/>
  <c r="F46" i="6"/>
  <c r="Y46" i="6"/>
  <c r="F47" i="6"/>
  <c r="Y47" i="6"/>
  <c r="F48" i="6"/>
  <c r="Y48" i="6"/>
  <c r="F49" i="6"/>
  <c r="Y49" i="6"/>
  <c r="F50" i="6"/>
  <c r="Y50" i="6"/>
  <c r="F52" i="6"/>
  <c r="F53" i="6"/>
  <c r="F54" i="6"/>
  <c r="Y54" i="6"/>
  <c r="F55" i="6"/>
  <c r="Y55" i="6"/>
  <c r="F56" i="6"/>
  <c r="F57" i="6"/>
  <c r="Y57" i="6"/>
  <c r="F58" i="6"/>
  <c r="Y58" i="6"/>
  <c r="F59" i="6"/>
  <c r="Y59" i="6"/>
  <c r="F60" i="6"/>
  <c r="F61" i="6"/>
  <c r="Y61" i="6"/>
  <c r="F62" i="6"/>
  <c r="F63" i="6"/>
  <c r="Y63" i="6"/>
  <c r="F64" i="6"/>
  <c r="F65" i="6"/>
  <c r="H65" i="6"/>
  <c r="F66" i="6"/>
  <c r="Y66" i="6"/>
  <c r="F67" i="6"/>
  <c r="Y67" i="6"/>
  <c r="F68" i="6"/>
  <c r="F69" i="6"/>
  <c r="Y69" i="6"/>
  <c r="F70" i="6"/>
  <c r="Y70" i="6"/>
  <c r="F71" i="6"/>
  <c r="F73" i="6"/>
  <c r="F74" i="6"/>
  <c r="Y74" i="6"/>
  <c r="F75" i="6"/>
  <c r="Y75" i="6"/>
  <c r="F76" i="6"/>
  <c r="Y76" i="6"/>
  <c r="F77" i="6"/>
  <c r="Y77" i="6"/>
  <c r="F78" i="6"/>
  <c r="Y78" i="6"/>
  <c r="F79" i="6"/>
  <c r="Y79" i="6"/>
  <c r="F80" i="6"/>
  <c r="Y80" i="6"/>
  <c r="F81" i="6"/>
  <c r="Y81" i="6"/>
  <c r="F83" i="6"/>
  <c r="Y83" i="6"/>
  <c r="F84" i="6"/>
  <c r="Y84" i="6"/>
  <c r="F85" i="6"/>
  <c r="Y85" i="6"/>
  <c r="F86" i="6"/>
  <c r="F87" i="6"/>
  <c r="Y87" i="6"/>
  <c r="F88" i="6"/>
  <c r="Y88" i="6"/>
  <c r="F89" i="6"/>
  <c r="Y89" i="6"/>
  <c r="F90" i="6"/>
  <c r="F91" i="6"/>
  <c r="Y91" i="6"/>
  <c r="F92" i="6"/>
  <c r="Y92" i="6"/>
  <c r="F93" i="6"/>
  <c r="Y93" i="6"/>
  <c r="F94" i="6"/>
  <c r="F95" i="6"/>
  <c r="F96" i="6"/>
  <c r="Y96" i="6"/>
  <c r="F97" i="6"/>
  <c r="Y97" i="6"/>
  <c r="F98" i="6"/>
  <c r="F99" i="6"/>
  <c r="Y99" i="6"/>
  <c r="F29" i="6"/>
  <c r="E82" i="6"/>
  <c r="F82" i="6"/>
  <c r="E72" i="6"/>
  <c r="F72" i="6"/>
  <c r="E51" i="6"/>
  <c r="F51" i="6"/>
  <c r="F3" i="6"/>
  <c r="F27" i="6"/>
  <c r="F2" i="6"/>
  <c r="H2" i="6"/>
  <c r="E6" i="2"/>
  <c r="O3" i="6"/>
  <c r="O47" i="6"/>
  <c r="O55" i="6"/>
  <c r="O87" i="6"/>
  <c r="D100" i="6"/>
  <c r="D101" i="6"/>
  <c r="G29" i="6"/>
  <c r="H29" i="6"/>
  <c r="H48" i="6"/>
  <c r="H96" i="6"/>
  <c r="H64" i="6"/>
  <c r="G30" i="6"/>
  <c r="H30" i="6"/>
  <c r="G31" i="6"/>
  <c r="G32" i="6"/>
  <c r="H32" i="6"/>
  <c r="G33" i="6"/>
  <c r="H33" i="6"/>
  <c r="G34" i="6"/>
  <c r="H35" i="6"/>
  <c r="B49" i="5"/>
  <c r="C52" i="5"/>
  <c r="C53" i="5"/>
  <c r="C55" i="5"/>
  <c r="C59" i="5"/>
  <c r="C48" i="5"/>
  <c r="C49" i="5"/>
  <c r="C47" i="5"/>
  <c r="B9" i="5"/>
  <c r="B8" i="5"/>
  <c r="B7" i="5"/>
  <c r="B6" i="5"/>
  <c r="B5" i="5"/>
  <c r="B4" i="5"/>
  <c r="G4" i="5"/>
  <c r="B3" i="5"/>
  <c r="G3" i="5"/>
  <c r="H3" i="5"/>
  <c r="F8" i="2"/>
  <c r="F11" i="2"/>
  <c r="G11" i="2"/>
  <c r="E12" i="2"/>
  <c r="H8" i="2"/>
  <c r="I8" i="2"/>
  <c r="J8" i="2"/>
  <c r="J9" i="2"/>
  <c r="D4" i="5"/>
  <c r="F4" i="5"/>
  <c r="H4" i="5"/>
  <c r="D6" i="5"/>
  <c r="D3" i="5"/>
  <c r="F3" i="5"/>
  <c r="C4" i="5"/>
  <c r="E4" i="5"/>
  <c r="D5" i="5"/>
  <c r="C6" i="5"/>
  <c r="D7" i="5"/>
  <c r="D9" i="5"/>
  <c r="O2" i="6"/>
  <c r="O50" i="6"/>
  <c r="O46" i="6"/>
  <c r="O65" i="6"/>
  <c r="C5" i="5"/>
  <c r="O59" i="6"/>
  <c r="O30" i="6"/>
  <c r="O61" i="6"/>
  <c r="O93" i="6"/>
  <c r="O29" i="6"/>
  <c r="O54" i="6"/>
  <c r="O48" i="6"/>
  <c r="O49" i="6"/>
  <c r="O85" i="6"/>
  <c r="O67" i="6"/>
  <c r="O66" i="6"/>
  <c r="O69" i="6"/>
  <c r="O88" i="6"/>
  <c r="F9" i="5"/>
  <c r="E9" i="5"/>
  <c r="H9" i="5"/>
  <c r="C9" i="5"/>
  <c r="G9" i="5"/>
  <c r="O63" i="6"/>
  <c r="O62" i="6"/>
  <c r="G6" i="5"/>
  <c r="F6" i="5"/>
  <c r="E6" i="5"/>
  <c r="H6" i="5"/>
  <c r="O58" i="6"/>
  <c r="O57" i="6"/>
  <c r="C3" i="5"/>
  <c r="G5" i="5"/>
  <c r="O32" i="6"/>
  <c r="O89" i="6"/>
  <c r="O96" i="6"/>
  <c r="O70" i="6"/>
  <c r="O97" i="6"/>
  <c r="O33" i="6"/>
  <c r="O98" i="6"/>
  <c r="O91" i="6"/>
  <c r="O92" i="6"/>
  <c r="O99" i="6"/>
  <c r="O74" i="6"/>
  <c r="O75" i="6"/>
  <c r="O76" i="6"/>
  <c r="O77" i="6"/>
  <c r="O78" i="6"/>
  <c r="O79" i="6"/>
  <c r="O80" i="6"/>
  <c r="O81" i="6"/>
  <c r="O83" i="6"/>
  <c r="O84" i="6"/>
  <c r="G8" i="5"/>
  <c r="D8" i="5"/>
  <c r="F8" i="5"/>
  <c r="C8" i="5"/>
  <c r="H8" i="5"/>
  <c r="E8" i="5"/>
  <c r="H5" i="5"/>
  <c r="F5" i="5"/>
  <c r="E5" i="5"/>
  <c r="C9" i="2"/>
  <c r="C14" i="2"/>
  <c r="E8" i="2"/>
  <c r="E9" i="2"/>
  <c r="C108" i="6"/>
  <c r="C109" i="6"/>
  <c r="G50" i="5"/>
  <c r="G53" i="5"/>
  <c r="G57" i="5"/>
  <c r="G8" i="2"/>
  <c r="G9" i="2"/>
  <c r="I6" i="2"/>
  <c r="J6" i="2"/>
  <c r="G6" i="2"/>
  <c r="D27" i="6"/>
  <c r="H11" i="2"/>
  <c r="I11" i="2"/>
  <c r="I12" i="2"/>
  <c r="I14" i="2"/>
  <c r="E14" i="2"/>
  <c r="H7" i="5"/>
  <c r="G7" i="5"/>
  <c r="F7" i="5"/>
  <c r="C7" i="5"/>
  <c r="E7" i="5"/>
  <c r="Y98" i="6"/>
  <c r="Y94" i="6"/>
  <c r="O94" i="6"/>
  <c r="O86" i="6"/>
  <c r="Y86" i="6"/>
  <c r="Y73" i="6"/>
  <c r="O73" i="6"/>
  <c r="Y68" i="6"/>
  <c r="O68" i="6"/>
  <c r="Y64" i="6"/>
  <c r="O64" i="6"/>
  <c r="Y60" i="6"/>
  <c r="O60" i="6"/>
  <c r="Y56" i="6"/>
  <c r="O56" i="6"/>
  <c r="Y52" i="6"/>
  <c r="H52" i="6"/>
  <c r="O52" i="6"/>
  <c r="H39" i="6"/>
  <c r="O39" i="6"/>
  <c r="O35" i="6"/>
  <c r="Y35" i="6"/>
  <c r="O31" i="6"/>
  <c r="H31" i="6"/>
  <c r="H83" i="6"/>
  <c r="G84" i="6"/>
  <c r="C54" i="5"/>
  <c r="H51" i="6"/>
  <c r="O51" i="6"/>
  <c r="Y51" i="6"/>
  <c r="Y39" i="6"/>
  <c r="H15" i="6"/>
  <c r="G16" i="6"/>
  <c r="G66" i="6"/>
  <c r="G23" i="6"/>
  <c r="H23" i="6"/>
  <c r="O8" i="6"/>
  <c r="G6" i="6"/>
  <c r="H6" i="6"/>
  <c r="E3" i="5"/>
  <c r="O45" i="6"/>
  <c r="O41" i="6"/>
  <c r="O37" i="6"/>
  <c r="O44" i="6"/>
  <c r="H84" i="6"/>
  <c r="G85" i="6"/>
  <c r="H85" i="6"/>
  <c r="H66" i="6"/>
  <c r="G67" i="6"/>
  <c r="H67" i="6"/>
  <c r="G86" i="6"/>
  <c r="G87" i="6"/>
  <c r="G12" i="2"/>
  <c r="G14" i="2"/>
  <c r="J11" i="2"/>
  <c r="C57" i="5"/>
  <c r="J12" i="2"/>
  <c r="J14" i="2"/>
  <c r="H28" i="6"/>
  <c r="I28" i="6"/>
  <c r="O28" i="6"/>
  <c r="Y34" i="6"/>
  <c r="H34" i="6"/>
  <c r="O34" i="6"/>
  <c r="F100" i="6"/>
  <c r="F101" i="6"/>
  <c r="Y62" i="6"/>
  <c r="G55" i="6"/>
  <c r="H54" i="6"/>
  <c r="H97" i="6"/>
  <c r="G98" i="6"/>
  <c r="O90" i="6"/>
  <c r="Y90" i="6"/>
  <c r="Y72" i="6"/>
  <c r="H72" i="6"/>
  <c r="O72" i="6"/>
  <c r="O95" i="6"/>
  <c r="Y95" i="6"/>
  <c r="Y43" i="6"/>
  <c r="O43" i="6"/>
  <c r="H43" i="6"/>
  <c r="G50" i="6"/>
  <c r="H49" i="6"/>
  <c r="H82" i="6"/>
  <c r="O82" i="6"/>
  <c r="Y82" i="6"/>
  <c r="O71" i="6"/>
  <c r="Y71" i="6"/>
  <c r="G88" i="6"/>
  <c r="H87" i="6"/>
  <c r="G17" i="6"/>
  <c r="H16" i="6"/>
  <c r="H73" i="6"/>
  <c r="G74" i="6"/>
  <c r="Y53" i="6"/>
  <c r="Y100" i="6"/>
  <c r="H53" i="6"/>
  <c r="O53" i="6"/>
  <c r="G45" i="6"/>
  <c r="H44" i="6"/>
  <c r="H3" i="6"/>
  <c r="G4" i="6"/>
  <c r="G68" i="6"/>
  <c r="H50" i="6"/>
  <c r="H86" i="6"/>
  <c r="Y65" i="6"/>
  <c r="G7" i="6"/>
  <c r="H4" i="6"/>
  <c r="H88" i="6"/>
  <c r="G89" i="6"/>
  <c r="H45" i="6"/>
  <c r="G46" i="6"/>
  <c r="H68" i="6"/>
  <c r="G69" i="6"/>
  <c r="G75" i="6"/>
  <c r="H74" i="6"/>
  <c r="G56" i="6"/>
  <c r="H55" i="6"/>
  <c r="C110" i="6"/>
  <c r="G99" i="6"/>
  <c r="H99" i="6"/>
  <c r="H98" i="6"/>
  <c r="G18" i="6"/>
  <c r="H17" i="6"/>
  <c r="G47" i="6"/>
  <c r="H47" i="6"/>
  <c r="H46" i="6"/>
  <c r="H56" i="6"/>
  <c r="G57" i="6"/>
  <c r="H69" i="6"/>
  <c r="G70" i="6"/>
  <c r="G90" i="6"/>
  <c r="H89" i="6"/>
  <c r="G19" i="6"/>
  <c r="H18" i="6"/>
  <c r="H75" i="6"/>
  <c r="G76" i="6"/>
  <c r="H7" i="6"/>
  <c r="G8" i="6"/>
  <c r="G91" i="6"/>
  <c r="H90" i="6"/>
  <c r="H76" i="6"/>
  <c r="G77" i="6"/>
  <c r="H70" i="6"/>
  <c r="G71" i="6"/>
  <c r="H71" i="6"/>
  <c r="H8" i="6"/>
  <c r="G9" i="6"/>
  <c r="G58" i="6"/>
  <c r="H57" i="6"/>
  <c r="G20" i="6"/>
  <c r="H20" i="6"/>
  <c r="H19" i="6"/>
  <c r="H9" i="6"/>
  <c r="G10" i="6"/>
  <c r="H77" i="6"/>
  <c r="G78" i="6"/>
  <c r="G59" i="6"/>
  <c r="H58" i="6"/>
  <c r="G92" i="6"/>
  <c r="H91" i="6"/>
  <c r="H78" i="6"/>
  <c r="G79" i="6"/>
  <c r="G60" i="6"/>
  <c r="H59" i="6"/>
  <c r="G11" i="6"/>
  <c r="H10" i="6"/>
  <c r="H92" i="6"/>
  <c r="G93" i="6"/>
  <c r="H11" i="6"/>
  <c r="G12" i="6"/>
  <c r="H12" i="6"/>
  <c r="G61" i="6"/>
  <c r="H60" i="6"/>
  <c r="H79" i="6"/>
  <c r="G80" i="6"/>
  <c r="G94" i="6"/>
  <c r="H93" i="6"/>
  <c r="H80" i="6"/>
  <c r="G81" i="6"/>
  <c r="H81" i="6"/>
  <c r="G62" i="6"/>
  <c r="H61" i="6"/>
  <c r="H27" i="6"/>
  <c r="H94" i="6"/>
  <c r="G95" i="6"/>
  <c r="H95" i="6"/>
  <c r="G63" i="6"/>
  <c r="H63" i="6"/>
  <c r="H62" i="6"/>
  <c r="H100" i="6"/>
  <c r="H101" i="6"/>
  <c r="C111" i="6"/>
  <c r="I18" i="6"/>
  <c r="I45" i="6"/>
  <c r="I47" i="6"/>
  <c r="I48" i="6"/>
  <c r="I44" i="6"/>
  <c r="I33" i="6"/>
  <c r="I83" i="6"/>
  <c r="I96" i="6"/>
  <c r="I84" i="6"/>
  <c r="I16" i="6"/>
  <c r="I50" i="6"/>
  <c r="I86" i="6"/>
  <c r="I9" i="6"/>
  <c r="I42" i="6"/>
  <c r="I93" i="6"/>
  <c r="I98" i="6"/>
  <c r="I43" i="6"/>
  <c r="I67" i="6"/>
  <c r="I22" i="6"/>
  <c r="I35" i="6"/>
  <c r="I85" i="6"/>
  <c r="I21" i="6"/>
  <c r="I58" i="6"/>
  <c r="I74" i="6"/>
  <c r="I8" i="6"/>
  <c r="I37" i="6"/>
  <c r="I61" i="6"/>
  <c r="I97" i="6"/>
  <c r="I71" i="6"/>
  <c r="I51" i="6"/>
  <c r="I12" i="6"/>
  <c r="I78" i="6"/>
  <c r="I81" i="6"/>
  <c r="I15" i="6"/>
  <c r="I82" i="6"/>
  <c r="I91" i="6"/>
  <c r="I6" i="6"/>
  <c r="I70" i="6"/>
  <c r="I3" i="6"/>
  <c r="I17" i="6"/>
  <c r="I34" i="6"/>
  <c r="I64" i="6"/>
  <c r="I25" i="6"/>
  <c r="I90" i="6"/>
  <c r="I89" i="6"/>
  <c r="I41" i="6"/>
  <c r="I68" i="6"/>
  <c r="I2" i="6"/>
  <c r="I14" i="6"/>
  <c r="I13" i="6"/>
  <c r="I53" i="6"/>
  <c r="I52" i="6"/>
  <c r="I7" i="6"/>
  <c r="I55" i="6"/>
  <c r="I92" i="6"/>
  <c r="I38" i="6"/>
  <c r="I54" i="6"/>
  <c r="I87" i="6"/>
  <c r="I60" i="6"/>
  <c r="I72" i="6"/>
  <c r="I5" i="6"/>
  <c r="I20" i="6"/>
  <c r="I88" i="6"/>
  <c r="I80" i="6"/>
  <c r="I19" i="6"/>
  <c r="I49" i="6"/>
  <c r="I79" i="6"/>
  <c r="I39" i="6"/>
  <c r="I46" i="6"/>
  <c r="I30" i="6"/>
  <c r="I99" i="6"/>
  <c r="I73" i="6"/>
  <c r="I4" i="6"/>
  <c r="I23" i="6"/>
  <c r="I77" i="6"/>
  <c r="I76" i="6"/>
  <c r="I36" i="6"/>
  <c r="I57" i="6"/>
  <c r="I66" i="6"/>
  <c r="I69" i="6"/>
  <c r="I65" i="6"/>
  <c r="I26" i="6"/>
  <c r="I94" i="6"/>
  <c r="I75" i="6"/>
  <c r="I10" i="6"/>
  <c r="I59" i="6"/>
  <c r="I56" i="6"/>
  <c r="I31" i="6"/>
  <c r="I63" i="6"/>
  <c r="I11" i="6"/>
  <c r="I32" i="6"/>
  <c r="I24" i="6"/>
  <c r="I62" i="6"/>
  <c r="I29" i="6"/>
  <c r="I95" i="6"/>
  <c r="I40" i="6"/>
  <c r="I27" i="6"/>
  <c r="I100" i="6"/>
  <c r="I101" i="6"/>
  <c r="W27" i="6"/>
  <c r="Z100" i="6"/>
  <c r="W100" i="6"/>
  <c r="J31" i="6"/>
  <c r="K31" i="6"/>
  <c r="L31" i="6"/>
  <c r="N31" i="6"/>
  <c r="J73" i="6"/>
  <c r="K73" i="6"/>
  <c r="L73" i="6"/>
  <c r="N73" i="6"/>
  <c r="U73" i="6"/>
  <c r="J10" i="6"/>
  <c r="K10" i="6"/>
  <c r="L10" i="6"/>
  <c r="N10" i="6"/>
  <c r="U10" i="6"/>
  <c r="J74" i="6"/>
  <c r="K74" i="6"/>
  <c r="L74" i="6"/>
  <c r="J78" i="6"/>
  <c r="K78" i="6"/>
  <c r="L78" i="6"/>
  <c r="N78" i="6"/>
  <c r="U78" i="6"/>
  <c r="J69" i="6"/>
  <c r="K69" i="6"/>
  <c r="L69" i="6"/>
  <c r="N69" i="6"/>
  <c r="P69" i="6"/>
  <c r="Q69" i="6"/>
  <c r="R69" i="6"/>
  <c r="J62" i="6"/>
  <c r="K62" i="6"/>
  <c r="L62" i="6"/>
  <c r="N62" i="6"/>
  <c r="U62" i="6"/>
  <c r="J22" i="6"/>
  <c r="K22" i="6"/>
  <c r="L22" i="6"/>
  <c r="J17" i="6"/>
  <c r="K17" i="6"/>
  <c r="L17" i="6"/>
  <c r="N17" i="6"/>
  <c r="J96" i="6"/>
  <c r="K96" i="6"/>
  <c r="L96" i="6"/>
  <c r="N96" i="6"/>
  <c r="J14" i="6"/>
  <c r="K14" i="6"/>
  <c r="L14" i="6"/>
  <c r="N14" i="6"/>
  <c r="P14" i="6"/>
  <c r="Q14" i="6"/>
  <c r="R14" i="6"/>
  <c r="J50" i="6"/>
  <c r="K50" i="6"/>
  <c r="L50" i="6"/>
  <c r="N50" i="6"/>
  <c r="P50" i="6"/>
  <c r="Q50" i="6"/>
  <c r="R50" i="6"/>
  <c r="J54" i="6"/>
  <c r="K54" i="6"/>
  <c r="L54" i="6"/>
  <c r="N54" i="6"/>
  <c r="U54" i="6"/>
  <c r="J36" i="6"/>
  <c r="K36" i="6"/>
  <c r="L36" i="6"/>
  <c r="N36" i="6"/>
  <c r="P36" i="6"/>
  <c r="Q36" i="6"/>
  <c r="R36" i="6"/>
  <c r="J98" i="6"/>
  <c r="K98" i="6"/>
  <c r="L98" i="6"/>
  <c r="N98" i="6"/>
  <c r="P98" i="6"/>
  <c r="Q98" i="6"/>
  <c r="R98" i="6"/>
  <c r="J79" i="6"/>
  <c r="K79" i="6"/>
  <c r="L79" i="6"/>
  <c r="N79" i="6"/>
  <c r="U79" i="6"/>
  <c r="J29" i="6"/>
  <c r="K29" i="6"/>
  <c r="L29" i="6"/>
  <c r="N29" i="6"/>
  <c r="U29" i="6"/>
  <c r="U17" i="6"/>
  <c r="P17" i="6"/>
  <c r="Q17" i="6"/>
  <c r="R17" i="6"/>
  <c r="P78" i="6"/>
  <c r="Q78" i="6"/>
  <c r="R78" i="6"/>
  <c r="U50" i="6"/>
  <c r="N74" i="6"/>
  <c r="P29" i="6"/>
  <c r="Q29" i="6"/>
  <c r="J44" i="6"/>
  <c r="K44" i="6"/>
  <c r="L44" i="6"/>
  <c r="N44" i="6"/>
  <c r="P44" i="6"/>
  <c r="Q44" i="6"/>
  <c r="R44" i="6"/>
  <c r="J9" i="6"/>
  <c r="K9" i="6"/>
  <c r="L9" i="6"/>
  <c r="N9" i="6"/>
  <c r="J37" i="6"/>
  <c r="K37" i="6"/>
  <c r="L37" i="6"/>
  <c r="N37" i="6"/>
  <c r="P37" i="6"/>
  <c r="Q37" i="6"/>
  <c r="R37" i="6"/>
  <c r="J15" i="6"/>
  <c r="K15" i="6"/>
  <c r="L15" i="6"/>
  <c r="N15" i="6"/>
  <c r="J64" i="6"/>
  <c r="K64" i="6"/>
  <c r="L64" i="6"/>
  <c r="N64" i="6"/>
  <c r="J68" i="6"/>
  <c r="K68" i="6"/>
  <c r="L68" i="6"/>
  <c r="N68" i="6"/>
  <c r="P68" i="6"/>
  <c r="Q68" i="6"/>
  <c r="R68" i="6"/>
  <c r="J53" i="6"/>
  <c r="K53" i="6"/>
  <c r="L53" i="6"/>
  <c r="J60" i="6"/>
  <c r="K60" i="6"/>
  <c r="L60" i="6"/>
  <c r="N60" i="6"/>
  <c r="P60" i="6"/>
  <c r="Q60" i="6"/>
  <c r="R60" i="6"/>
  <c r="J80" i="6"/>
  <c r="K80" i="6"/>
  <c r="L80" i="6"/>
  <c r="N80" i="6"/>
  <c r="J46" i="6"/>
  <c r="K46" i="6"/>
  <c r="L46" i="6"/>
  <c r="N46" i="6"/>
  <c r="J26" i="6"/>
  <c r="K26" i="6"/>
  <c r="L26" i="6"/>
  <c r="N26" i="6"/>
  <c r="U26" i="6"/>
  <c r="J11" i="6"/>
  <c r="K11" i="6"/>
  <c r="L11" i="6"/>
  <c r="N11" i="6"/>
  <c r="J33" i="6"/>
  <c r="K33" i="6"/>
  <c r="L33" i="6"/>
  <c r="N33" i="6"/>
  <c r="J82" i="6"/>
  <c r="K82" i="6"/>
  <c r="L82" i="6"/>
  <c r="N82" i="6"/>
  <c r="J25" i="6"/>
  <c r="K25" i="6"/>
  <c r="L25" i="6"/>
  <c r="J28" i="6"/>
  <c r="K28" i="6"/>
  <c r="L28" i="6"/>
  <c r="N28" i="6"/>
  <c r="P28" i="6"/>
  <c r="Q28" i="6"/>
  <c r="J45" i="6"/>
  <c r="K45" i="6"/>
  <c r="L45" i="6"/>
  <c r="N45" i="6"/>
  <c r="J16" i="6"/>
  <c r="K16" i="6"/>
  <c r="L16" i="6"/>
  <c r="N16" i="6"/>
  <c r="J67" i="6"/>
  <c r="K67" i="6"/>
  <c r="L67" i="6"/>
  <c r="N67" i="6"/>
  <c r="J58" i="6"/>
  <c r="K58" i="6"/>
  <c r="L58" i="6"/>
  <c r="N58" i="6"/>
  <c r="J12" i="6"/>
  <c r="K12" i="6"/>
  <c r="L12" i="6"/>
  <c r="N12" i="6"/>
  <c r="J3" i="6"/>
  <c r="K3" i="6"/>
  <c r="L3" i="6"/>
  <c r="N3" i="6"/>
  <c r="J90" i="6"/>
  <c r="K90" i="6"/>
  <c r="L90" i="6"/>
  <c r="N90" i="6"/>
  <c r="J38" i="6"/>
  <c r="K38" i="6"/>
  <c r="L38" i="6"/>
  <c r="N38" i="6"/>
  <c r="J49" i="6"/>
  <c r="K49" i="6"/>
  <c r="L49" i="6"/>
  <c r="N49" i="6"/>
  <c r="J23" i="6"/>
  <c r="K23" i="6"/>
  <c r="L23" i="6"/>
  <c r="J66" i="6"/>
  <c r="K66" i="6"/>
  <c r="L66" i="6"/>
  <c r="N66" i="6"/>
  <c r="J56" i="6"/>
  <c r="K56" i="6"/>
  <c r="L56" i="6"/>
  <c r="N56" i="6"/>
  <c r="J61" i="6"/>
  <c r="K61" i="6"/>
  <c r="L61" i="6"/>
  <c r="N61" i="6"/>
  <c r="J83" i="6"/>
  <c r="K83" i="6"/>
  <c r="L83" i="6"/>
  <c r="N83" i="6"/>
  <c r="J93" i="6"/>
  <c r="K93" i="6"/>
  <c r="L93" i="6"/>
  <c r="N93" i="6"/>
  <c r="J35" i="6"/>
  <c r="K35" i="6"/>
  <c r="L35" i="6"/>
  <c r="N35" i="6"/>
  <c r="J97" i="6"/>
  <c r="K97" i="6"/>
  <c r="L97" i="6"/>
  <c r="N97" i="6"/>
  <c r="J91" i="6"/>
  <c r="K91" i="6"/>
  <c r="L91" i="6"/>
  <c r="N91" i="6"/>
  <c r="J7" i="6"/>
  <c r="K7" i="6"/>
  <c r="L7" i="6"/>
  <c r="N7" i="6"/>
  <c r="J5" i="6"/>
  <c r="K5" i="6"/>
  <c r="L5" i="6"/>
  <c r="N5" i="6"/>
  <c r="J99" i="6"/>
  <c r="K99" i="6"/>
  <c r="L99" i="6"/>
  <c r="N99" i="6"/>
  <c r="J76" i="6"/>
  <c r="K76" i="6"/>
  <c r="L76" i="6"/>
  <c r="N76" i="6"/>
  <c r="J75" i="6"/>
  <c r="K75" i="6"/>
  <c r="L75" i="6"/>
  <c r="N75" i="6"/>
  <c r="J24" i="6"/>
  <c r="K24" i="6"/>
  <c r="L24" i="6"/>
  <c r="N24" i="6"/>
  <c r="J40" i="6"/>
  <c r="K40" i="6"/>
  <c r="L40" i="6"/>
  <c r="N40" i="6"/>
  <c r="J52" i="6"/>
  <c r="K52" i="6"/>
  <c r="L52" i="6"/>
  <c r="N52" i="6"/>
  <c r="J19" i="6"/>
  <c r="K19" i="6"/>
  <c r="L19" i="6"/>
  <c r="J30" i="6"/>
  <c r="K30" i="6"/>
  <c r="L30" i="6"/>
  <c r="N30" i="6"/>
  <c r="J48" i="6"/>
  <c r="K48" i="6"/>
  <c r="L48" i="6"/>
  <c r="N48" i="6"/>
  <c r="J86" i="6"/>
  <c r="K86" i="6"/>
  <c r="L86" i="6"/>
  <c r="N86" i="6"/>
  <c r="J8" i="6"/>
  <c r="K8" i="6"/>
  <c r="L8" i="6"/>
  <c r="N8" i="6"/>
  <c r="J81" i="6"/>
  <c r="K81" i="6"/>
  <c r="L81" i="6"/>
  <c r="N81" i="6"/>
  <c r="J34" i="6"/>
  <c r="K34" i="6"/>
  <c r="L34" i="6"/>
  <c r="N34" i="6"/>
  <c r="J41" i="6"/>
  <c r="K41" i="6"/>
  <c r="L41" i="6"/>
  <c r="N41" i="6"/>
  <c r="J13" i="6"/>
  <c r="K13" i="6"/>
  <c r="L13" i="6"/>
  <c r="N13" i="6"/>
  <c r="J87" i="6"/>
  <c r="K87" i="6"/>
  <c r="L87" i="6"/>
  <c r="N87" i="6"/>
  <c r="J88" i="6"/>
  <c r="K88" i="6"/>
  <c r="L88" i="6"/>
  <c r="N88" i="6"/>
  <c r="J39" i="6"/>
  <c r="K39" i="6"/>
  <c r="L39" i="6"/>
  <c r="N39" i="6"/>
  <c r="J65" i="6"/>
  <c r="K65" i="6"/>
  <c r="L65" i="6"/>
  <c r="J63" i="6"/>
  <c r="K63" i="6"/>
  <c r="L63" i="6"/>
  <c r="N63" i="6"/>
  <c r="J2" i="6"/>
  <c r="K2" i="6"/>
  <c r="L2" i="6"/>
  <c r="N2" i="6"/>
  <c r="J18" i="6"/>
  <c r="K18" i="6"/>
  <c r="L18" i="6"/>
  <c r="J72" i="6"/>
  <c r="K72" i="6"/>
  <c r="L72" i="6"/>
  <c r="N72" i="6"/>
  <c r="U72" i="6"/>
  <c r="J77" i="6"/>
  <c r="K77" i="6"/>
  <c r="L77" i="6"/>
  <c r="N77" i="6"/>
  <c r="J32" i="6"/>
  <c r="K32" i="6"/>
  <c r="L32" i="6"/>
  <c r="N32" i="6"/>
  <c r="J84" i="6"/>
  <c r="K84" i="6"/>
  <c r="L84" i="6"/>
  <c r="J43" i="6"/>
  <c r="K43" i="6"/>
  <c r="L43" i="6"/>
  <c r="N43" i="6"/>
  <c r="J21" i="6"/>
  <c r="K21" i="6"/>
  <c r="L21" i="6"/>
  <c r="N21" i="6"/>
  <c r="J51" i="6"/>
  <c r="K51" i="6"/>
  <c r="L51" i="6"/>
  <c r="N51" i="6"/>
  <c r="J70" i="6"/>
  <c r="K70" i="6"/>
  <c r="L70" i="6"/>
  <c r="N70" i="6"/>
  <c r="J92" i="6"/>
  <c r="K92" i="6"/>
  <c r="L92" i="6"/>
  <c r="N92" i="6"/>
  <c r="J4" i="6"/>
  <c r="K4" i="6"/>
  <c r="L4" i="6"/>
  <c r="N4" i="6"/>
  <c r="J57" i="6"/>
  <c r="K57" i="6"/>
  <c r="L57" i="6"/>
  <c r="N57" i="6"/>
  <c r="J59" i="6"/>
  <c r="K59" i="6"/>
  <c r="L59" i="6"/>
  <c r="N59" i="6"/>
  <c r="J42" i="6"/>
  <c r="K42" i="6"/>
  <c r="L42" i="6"/>
  <c r="N42" i="6"/>
  <c r="J94" i="6"/>
  <c r="K94" i="6"/>
  <c r="L94" i="6"/>
  <c r="N94" i="6"/>
  <c r="J95" i="6"/>
  <c r="K95" i="6"/>
  <c r="L95" i="6"/>
  <c r="N95" i="6"/>
  <c r="P73" i="6"/>
  <c r="Q73" i="6"/>
  <c r="R73" i="6"/>
  <c r="J47" i="6"/>
  <c r="K47" i="6"/>
  <c r="L47" i="6"/>
  <c r="N47" i="6"/>
  <c r="R28" i="6"/>
  <c r="J20" i="6"/>
  <c r="K20" i="6"/>
  <c r="L20" i="6"/>
  <c r="J55" i="6"/>
  <c r="K55" i="6"/>
  <c r="L55" i="6"/>
  <c r="N55" i="6"/>
  <c r="J89" i="6"/>
  <c r="K89" i="6"/>
  <c r="L89" i="6"/>
  <c r="N89" i="6"/>
  <c r="J6" i="6"/>
  <c r="K6" i="6"/>
  <c r="L6" i="6"/>
  <c r="N6" i="6"/>
  <c r="U6" i="6"/>
  <c r="J71" i="6"/>
  <c r="K71" i="6"/>
  <c r="L71" i="6"/>
  <c r="N71" i="6"/>
  <c r="J85" i="6"/>
  <c r="K85" i="6"/>
  <c r="L85" i="6"/>
  <c r="N85" i="6"/>
  <c r="U60" i="6"/>
  <c r="O27" i="6"/>
  <c r="O100" i="6"/>
  <c r="U44" i="6"/>
  <c r="U31" i="6"/>
  <c r="P31" i="6"/>
  <c r="Q31" i="6"/>
  <c r="R31" i="6"/>
  <c r="U69" i="6"/>
  <c r="N19" i="6"/>
  <c r="N18" i="6"/>
  <c r="N20" i="6"/>
  <c r="R29" i="6"/>
  <c r="U14" i="6"/>
  <c r="P6" i="6"/>
  <c r="Q6" i="6"/>
  <c r="R6" i="6"/>
  <c r="U36" i="6"/>
  <c r="U68" i="6"/>
  <c r="U98" i="6"/>
  <c r="P54" i="6"/>
  <c r="Q54" i="6"/>
  <c r="R54" i="6"/>
  <c r="O101" i="6"/>
  <c r="P10" i="6"/>
  <c r="Q10" i="6"/>
  <c r="R10" i="6"/>
  <c r="P79" i="6"/>
  <c r="Q79" i="6"/>
  <c r="R79" i="6"/>
  <c r="P62" i="6"/>
  <c r="Q62" i="6"/>
  <c r="R62" i="6"/>
  <c r="P26" i="6"/>
  <c r="Q26" i="6"/>
  <c r="R26" i="6"/>
  <c r="U96" i="6"/>
  <c r="P96" i="6"/>
  <c r="Q96" i="6"/>
  <c r="R96" i="6"/>
  <c r="U37" i="6"/>
  <c r="P92" i="6"/>
  <c r="Q92" i="6"/>
  <c r="R92" i="6"/>
  <c r="U92" i="6"/>
  <c r="U13" i="6"/>
  <c r="P13" i="6"/>
  <c r="Q13" i="6"/>
  <c r="R13" i="6"/>
  <c r="P7" i="6"/>
  <c r="Q7" i="6"/>
  <c r="R7" i="6"/>
  <c r="U7" i="6"/>
  <c r="P66" i="6"/>
  <c r="Q66" i="6"/>
  <c r="R66" i="6"/>
  <c r="U66" i="6"/>
  <c r="P67" i="6"/>
  <c r="Q67" i="6"/>
  <c r="R67" i="6"/>
  <c r="U67" i="6"/>
  <c r="P70" i="6"/>
  <c r="Q70" i="6"/>
  <c r="R70" i="6"/>
  <c r="U70" i="6"/>
  <c r="P41" i="6"/>
  <c r="Q41" i="6"/>
  <c r="R41" i="6"/>
  <c r="U41" i="6"/>
  <c r="U52" i="6"/>
  <c r="P52" i="6"/>
  <c r="Q52" i="6"/>
  <c r="R52" i="6"/>
  <c r="U91" i="6"/>
  <c r="P91" i="6"/>
  <c r="Q91" i="6"/>
  <c r="R91" i="6"/>
  <c r="U16" i="6"/>
  <c r="P16" i="6"/>
  <c r="Q16" i="6"/>
  <c r="R16" i="6"/>
  <c r="U46" i="6"/>
  <c r="P46" i="6"/>
  <c r="Q46" i="6"/>
  <c r="R46" i="6"/>
  <c r="P9" i="6"/>
  <c r="Q9" i="6"/>
  <c r="R9" i="6"/>
  <c r="U9" i="6"/>
  <c r="P95" i="6"/>
  <c r="Q95" i="6"/>
  <c r="R95" i="6"/>
  <c r="U95" i="6"/>
  <c r="P51" i="6"/>
  <c r="Q51" i="6"/>
  <c r="R51" i="6"/>
  <c r="U51" i="6"/>
  <c r="U2" i="6"/>
  <c r="P2" i="6"/>
  <c r="Q2" i="6"/>
  <c r="R2" i="6"/>
  <c r="P34" i="6"/>
  <c r="Q34" i="6"/>
  <c r="R34" i="6"/>
  <c r="U34" i="6"/>
  <c r="U40" i="6"/>
  <c r="P40" i="6"/>
  <c r="Q40" i="6"/>
  <c r="R40" i="6"/>
  <c r="P97" i="6"/>
  <c r="Q97" i="6"/>
  <c r="R97" i="6"/>
  <c r="U97" i="6"/>
  <c r="U49" i="6"/>
  <c r="P49" i="6"/>
  <c r="Q49" i="6"/>
  <c r="R49" i="6"/>
  <c r="U45" i="6"/>
  <c r="P45" i="6"/>
  <c r="Q45" i="6"/>
  <c r="R45" i="6"/>
  <c r="U80" i="6"/>
  <c r="P80" i="6"/>
  <c r="Q80" i="6"/>
  <c r="R80" i="6"/>
  <c r="U94" i="6"/>
  <c r="P94" i="6"/>
  <c r="Q94" i="6"/>
  <c r="R94" i="6"/>
  <c r="U21" i="6"/>
  <c r="N23" i="6"/>
  <c r="N22" i="6"/>
  <c r="P21" i="6"/>
  <c r="Q21" i="6"/>
  <c r="R21" i="6"/>
  <c r="U63" i="6"/>
  <c r="P63" i="6"/>
  <c r="Q63" i="6"/>
  <c r="R63" i="6"/>
  <c r="U81" i="6"/>
  <c r="P81" i="6"/>
  <c r="Q81" i="6"/>
  <c r="R81" i="6"/>
  <c r="U24" i="6"/>
  <c r="N25" i="6"/>
  <c r="P24" i="6"/>
  <c r="Q24" i="6"/>
  <c r="R24" i="6"/>
  <c r="P35" i="6"/>
  <c r="Q35" i="6"/>
  <c r="R35" i="6"/>
  <c r="U35" i="6"/>
  <c r="P38" i="6"/>
  <c r="Q38" i="6"/>
  <c r="R38" i="6"/>
  <c r="U38" i="6"/>
  <c r="P85" i="6"/>
  <c r="Q85" i="6"/>
  <c r="R85" i="6"/>
  <c r="U85" i="6"/>
  <c r="U42" i="6"/>
  <c r="P42" i="6"/>
  <c r="Q42" i="6"/>
  <c r="R42" i="6"/>
  <c r="U43" i="6"/>
  <c r="P43" i="6"/>
  <c r="Q43" i="6"/>
  <c r="R43" i="6"/>
  <c r="N65" i="6"/>
  <c r="U8" i="6"/>
  <c r="P8" i="6"/>
  <c r="Q8" i="6"/>
  <c r="R8" i="6"/>
  <c r="U75" i="6"/>
  <c r="P75" i="6"/>
  <c r="Q75" i="6"/>
  <c r="R75" i="6"/>
  <c r="U93" i="6"/>
  <c r="P93" i="6"/>
  <c r="Q93" i="6"/>
  <c r="R93" i="6"/>
  <c r="U90" i="6"/>
  <c r="P90" i="6"/>
  <c r="Q90" i="6"/>
  <c r="R90" i="6"/>
  <c r="N53" i="6"/>
  <c r="P71" i="6"/>
  <c r="Q71" i="6"/>
  <c r="R71" i="6"/>
  <c r="U71" i="6"/>
  <c r="U59" i="6"/>
  <c r="P59" i="6"/>
  <c r="Q59" i="6"/>
  <c r="R59" i="6"/>
  <c r="N84" i="6"/>
  <c r="U39" i="6"/>
  <c r="P39" i="6"/>
  <c r="Q39" i="6"/>
  <c r="R39" i="6"/>
  <c r="P86" i="6"/>
  <c r="Q86" i="6"/>
  <c r="R86" i="6"/>
  <c r="U86" i="6"/>
  <c r="U76" i="6"/>
  <c r="P76" i="6"/>
  <c r="Q76" i="6"/>
  <c r="R76" i="6"/>
  <c r="U83" i="6"/>
  <c r="P83" i="6"/>
  <c r="Q83" i="6"/>
  <c r="R83" i="6"/>
  <c r="P3" i="6"/>
  <c r="Q3" i="6"/>
  <c r="R3" i="6"/>
  <c r="U3" i="6"/>
  <c r="U82" i="6"/>
  <c r="P82" i="6"/>
  <c r="Q82" i="6"/>
  <c r="R82" i="6"/>
  <c r="P72" i="6"/>
  <c r="Q72" i="6"/>
  <c r="R72" i="6"/>
  <c r="U57" i="6"/>
  <c r="P57" i="6"/>
  <c r="Q57" i="6"/>
  <c r="R57" i="6"/>
  <c r="U32" i="6"/>
  <c r="P32" i="6"/>
  <c r="Q32" i="6"/>
  <c r="R32" i="6"/>
  <c r="U88" i="6"/>
  <c r="P88" i="6"/>
  <c r="Q88" i="6"/>
  <c r="R88" i="6"/>
  <c r="U48" i="6"/>
  <c r="P48" i="6"/>
  <c r="Q48" i="6"/>
  <c r="R48" i="6"/>
  <c r="P99" i="6"/>
  <c r="Q99" i="6"/>
  <c r="R99" i="6"/>
  <c r="U99" i="6"/>
  <c r="P61" i="6"/>
  <c r="Q61" i="6"/>
  <c r="R61" i="6"/>
  <c r="U61" i="6"/>
  <c r="U12" i="6"/>
  <c r="P12" i="6"/>
  <c r="Q12" i="6"/>
  <c r="R12" i="6"/>
  <c r="U33" i="6"/>
  <c r="P33" i="6"/>
  <c r="Q33" i="6"/>
  <c r="R33" i="6"/>
  <c r="U64" i="6"/>
  <c r="P64" i="6"/>
  <c r="Q64" i="6"/>
  <c r="R64" i="6"/>
  <c r="U74" i="6"/>
  <c r="P74" i="6"/>
  <c r="Q74" i="6"/>
  <c r="R74" i="6"/>
  <c r="P55" i="6"/>
  <c r="Q55" i="6"/>
  <c r="R55" i="6"/>
  <c r="U55" i="6"/>
  <c r="P89" i="6"/>
  <c r="Q89" i="6"/>
  <c r="R89" i="6"/>
  <c r="U89" i="6"/>
  <c r="P47" i="6"/>
  <c r="Q47" i="6"/>
  <c r="R47" i="6"/>
  <c r="U47" i="6"/>
  <c r="P4" i="6"/>
  <c r="Q4" i="6"/>
  <c r="R4" i="6"/>
  <c r="U4" i="6"/>
  <c r="P77" i="6"/>
  <c r="Q77" i="6"/>
  <c r="R77" i="6"/>
  <c r="U77" i="6"/>
  <c r="U87" i="6"/>
  <c r="P87" i="6"/>
  <c r="Q87" i="6"/>
  <c r="R87" i="6"/>
  <c r="P30" i="6"/>
  <c r="Q30" i="6"/>
  <c r="R30" i="6"/>
  <c r="U30" i="6"/>
  <c r="P5" i="6"/>
  <c r="Q5" i="6"/>
  <c r="R5" i="6"/>
  <c r="U5" i="6"/>
  <c r="U56" i="6"/>
  <c r="P56" i="6"/>
  <c r="Q56" i="6"/>
  <c r="R56" i="6"/>
  <c r="U58" i="6"/>
  <c r="P58" i="6"/>
  <c r="Q58" i="6"/>
  <c r="R58" i="6"/>
  <c r="U11" i="6"/>
  <c r="P11" i="6"/>
  <c r="Q11" i="6"/>
  <c r="R11" i="6"/>
  <c r="U15" i="6"/>
  <c r="P15" i="6"/>
  <c r="Q15" i="6"/>
  <c r="R15" i="6"/>
  <c r="U20" i="6"/>
  <c r="P20" i="6"/>
  <c r="Q20" i="6"/>
  <c r="R20" i="6"/>
  <c r="U19" i="6"/>
  <c r="P19" i="6"/>
  <c r="Q19" i="6"/>
  <c r="R19" i="6"/>
  <c r="U18" i="6"/>
  <c r="P18" i="6"/>
  <c r="Q18" i="6"/>
  <c r="R18" i="6"/>
  <c r="U22" i="6"/>
  <c r="P22" i="6"/>
  <c r="Q22" i="6"/>
  <c r="R22" i="6"/>
  <c r="U25" i="6"/>
  <c r="P25" i="6"/>
  <c r="Q25" i="6"/>
  <c r="R25" i="6"/>
  <c r="U23" i="6"/>
  <c r="P23" i="6"/>
  <c r="Q23" i="6"/>
  <c r="R23" i="6"/>
  <c r="R27" i="6"/>
  <c r="U53" i="6"/>
  <c r="P53" i="6"/>
  <c r="Q53" i="6"/>
  <c r="R53" i="6"/>
  <c r="U84" i="6"/>
  <c r="P84" i="6"/>
  <c r="Q84" i="6"/>
  <c r="R84" i="6"/>
  <c r="U65" i="6"/>
  <c r="P65" i="6"/>
  <c r="Q65" i="6"/>
  <c r="R65" i="6"/>
  <c r="R100" i="6"/>
  <c r="U100" i="6"/>
  <c r="N113" i="6"/>
  <c r="Q100" i="6"/>
  <c r="Q27" i="6"/>
  <c r="U27" i="6"/>
  <c r="O113" i="6"/>
  <c r="P113" i="6"/>
  <c r="N114" i="6"/>
  <c r="O114" i="6"/>
  <c r="P114" i="6"/>
  <c r="Q101" i="6"/>
  <c r="N106" i="6"/>
  <c r="O106" i="6"/>
  <c r="P106" i="6"/>
  <c r="R101" i="6"/>
  <c r="U101" i="6"/>
  <c r="N107" i="6"/>
  <c r="N108" i="6"/>
  <c r="O107" i="6"/>
  <c r="P107" i="6"/>
  <c r="N109" i="6"/>
  <c r="O109" i="6"/>
  <c r="P109" i="6"/>
  <c r="O108" i="6"/>
  <c r="P108" i="6"/>
</calcChain>
</file>

<file path=xl/sharedStrings.xml><?xml version="1.0" encoding="utf-8"?>
<sst xmlns="http://schemas.openxmlformats.org/spreadsheetml/2006/main" count="229" uniqueCount="202">
  <si>
    <t>Pro Forma</t>
  </si>
  <si>
    <t>Adj.</t>
  </si>
  <si>
    <t>%</t>
  </si>
  <si>
    <t>Total</t>
  </si>
  <si>
    <t>Disposal Summary</t>
  </si>
  <si>
    <t>Current</t>
  </si>
  <si>
    <t>Cost</t>
  </si>
  <si>
    <t>Proposed</t>
  </si>
  <si>
    <t>Tons</t>
  </si>
  <si>
    <t>Rate</t>
  </si>
  <si>
    <t>Expense</t>
  </si>
  <si>
    <t>Commercial garbage</t>
  </si>
  <si>
    <t>Residential garbage</t>
  </si>
  <si>
    <t>Roll Off garbage</t>
  </si>
  <si>
    <t>Regulated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</si>
  <si>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</si>
  <si>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</si>
  <si>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</si>
  <si>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</si>
  <si>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</si>
  <si>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</si>
  <si>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</si>
  <si>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</si>
  <si>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</si>
  <si>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</si>
  <si>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</si>
  <si>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</si>
  <si>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</si>
  <si>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</si>
  <si>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</si>
  <si>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</si>
  <si>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</si>
  <si>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</si>
  <si>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</si>
  <si>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</si>
  <si>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</si>
  <si>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</si>
  <si>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</si>
  <si>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</si>
  <si>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</si>
  <si>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</si>
  <si>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</si>
  <si>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</si>
  <si>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</si>
  <si>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</si>
  <si>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*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</si>
  <si>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</si>
  <si>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</si>
  <si>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</si>
  <si>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</si>
  <si>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</si>
  <si>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</si>
  <si>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</si>
  <si>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</si>
  <si>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</si>
  <si>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</si>
  <si>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</si>
  <si>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</si>
  <si>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</si>
  <si>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</si>
  <si>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</si>
  <si>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</si>
  <si>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</si>
  <si>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</si>
  <si>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</si>
  <si>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</si>
  <si>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</si>
  <si>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</si>
  <si>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</si>
  <si>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Kitsap County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</si>
  <si>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</si>
  <si>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</si>
  <si>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</si>
  <si>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</si>
  <si>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</si>
  <si>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</si>
  <si>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</si>
  <si>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</si>
  <si>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</si>
  <si>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</si>
  <si>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</si>
  <si>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Factor</t>
  </si>
  <si>
    <t>Grossed Up Increase per ton</t>
  </si>
  <si>
    <t>Tons Collected</t>
  </si>
  <si>
    <t>Disposal Fee Revenue Increase</t>
  </si>
  <si>
    <t>Tariff Page</t>
  </si>
  <si>
    <t>Scheduled Service</t>
  </si>
  <si>
    <t>Monthly Frequency</t>
  </si>
  <si>
    <t>Annual PU's</t>
  </si>
  <si>
    <t>Calculated Annual Pounds</t>
  </si>
  <si>
    <t>Adjusted Annual Pounds</t>
  </si>
  <si>
    <t>Gross Up</t>
  </si>
  <si>
    <t>Tariff Rate Increase</t>
  </si>
  <si>
    <t>Company Current Tariff</t>
  </si>
  <si>
    <t>Company Current Revenue</t>
  </si>
  <si>
    <t>Revised Tariff Rate</t>
  </si>
  <si>
    <t>Revised Revenue</t>
  </si>
  <si>
    <t>Revised Revenue Increase</t>
  </si>
  <si>
    <t>Residential</t>
  </si>
  <si>
    <t>Commercial</t>
  </si>
  <si>
    <t>Totals</t>
  </si>
  <si>
    <t>Adjustment Factor Calculation</t>
  </si>
  <si>
    <t>Not on Meeks</t>
  </si>
  <si>
    <t>Total Tonnage</t>
  </si>
  <si>
    <t>Total Pounds</t>
  </si>
  <si>
    <t>Total Pick Ups</t>
  </si>
  <si>
    <t>na - multiple pickups not on tariff</t>
  </si>
  <si>
    <t>Adjustment factor</t>
  </si>
  <si>
    <t>Company Proposed Tariff</t>
  </si>
  <si>
    <t>Roll Off</t>
  </si>
  <si>
    <t>Estimated</t>
  </si>
  <si>
    <t>WM Skagit</t>
  </si>
  <si>
    <t>(per TG-180752)</t>
  </si>
  <si>
    <t>32 GAL CAN MSW EOW</t>
  </si>
  <si>
    <t>1-32 GAL CAN MSW</t>
  </si>
  <si>
    <t>2-32 GAL CANS MSW</t>
  </si>
  <si>
    <t>3-32 GAL CANS MSW</t>
  </si>
  <si>
    <t>35 GAL CART MSW 1X WK</t>
  </si>
  <si>
    <t>2-35 GAL CARTS MSW</t>
  </si>
  <si>
    <t>1-64 GAL CART MSW</t>
  </si>
  <si>
    <t>2-64 GAL CARTS MSW</t>
  </si>
  <si>
    <t>6-64 GAL CARTS MSW</t>
  </si>
  <si>
    <t>10-64 GAL CARTS MSW</t>
  </si>
  <si>
    <t>30-64 GAL CARTS MSW</t>
  </si>
  <si>
    <t>1-96 GAL CART MSW</t>
  </si>
  <si>
    <t>2-96 GAL CARTS MSW</t>
  </si>
  <si>
    <t>1 YD MSW EOW</t>
  </si>
  <si>
    <t>1-1 YD 1X PER WEEK</t>
  </si>
  <si>
    <t>2-1 YD 1X PER WEEK</t>
  </si>
  <si>
    <t>2-1 YD 2X PER WEEK</t>
  </si>
  <si>
    <t>3-1 YD 2X PER WEEK</t>
  </si>
  <si>
    <t>1-1 YD 3X PER WEEK</t>
  </si>
  <si>
    <t>1.5 YD MSW EOW</t>
  </si>
  <si>
    <t>1-1.5 YD 1X PER WEEK</t>
  </si>
  <si>
    <t>1-1.5 YD 2X PER WEEK</t>
  </si>
  <si>
    <t>2YD FEL ON CALL</t>
  </si>
  <si>
    <t>2 YD MSW EOW</t>
  </si>
  <si>
    <t>1-2 YD 1X PER WEEK</t>
  </si>
  <si>
    <t>2-2 YD 1X PER WEEK</t>
  </si>
  <si>
    <t>3-2 YD 1X PER WEEK</t>
  </si>
  <si>
    <t>4-2 YD 1X PER WEEK</t>
  </si>
  <si>
    <t>5-2 YD 1X PER WEEK</t>
  </si>
  <si>
    <t>6-2 YD 1X PER WEEK</t>
  </si>
  <si>
    <t>7-2 YD 1X PER WEEK</t>
  </si>
  <si>
    <t>1-2 YD 2X PER WEEK</t>
  </si>
  <si>
    <t>2-2 YD 2X PER WEEK</t>
  </si>
  <si>
    <t>7-2 YD 2X PER WEEK</t>
  </si>
  <si>
    <t>1-2 YD 3X PER WEEK</t>
  </si>
  <si>
    <t>3 YD MSW EOW</t>
  </si>
  <si>
    <t>1-3 YD 1X PER WEEK</t>
  </si>
  <si>
    <t>2-3 YD 1X PER WEEK</t>
  </si>
  <si>
    <t>3-3 YD 1X PER WEEK</t>
  </si>
  <si>
    <t>4-3 YD 1X PER WEEK</t>
  </si>
  <si>
    <t>7-3 YD 1X PER WEEK</t>
  </si>
  <si>
    <t>1-3 YD 2X PER WEEK</t>
  </si>
  <si>
    <t>1-8 YD 3X PER WEEK</t>
  </si>
  <si>
    <t>2-3 YD 3X PER WEEK</t>
  </si>
  <si>
    <t>4YD FEL ON CALL</t>
  </si>
  <si>
    <t>4 YD 1X PER WEEK</t>
  </si>
  <si>
    <t>4 YD MSW EOW</t>
  </si>
  <si>
    <t>2-4 YD 1X PER WEEK</t>
  </si>
  <si>
    <t>6-4 YD 1X PER WEEK</t>
  </si>
  <si>
    <t>8-4 YD 1X PER WEEK</t>
  </si>
  <si>
    <t>1-4 YD 2X PER WEEK</t>
  </si>
  <si>
    <t>2-4 YD 2X PER WEEK</t>
  </si>
  <si>
    <t>4-4 YD 2X PER WEEK</t>
  </si>
  <si>
    <t>1-4 YD 3X PER WEEK</t>
  </si>
  <si>
    <t>6YD FEL ON CALL</t>
  </si>
  <si>
    <t>6 YD MSW EOW</t>
  </si>
  <si>
    <t>1-6 YD 1X PER WEEK</t>
  </si>
  <si>
    <t>2-6 YD 1X PER WEEK</t>
  </si>
  <si>
    <t>3-6 YD 1X PER WEEK</t>
  </si>
  <si>
    <t>4-6 YD 1X PER WEEK</t>
  </si>
  <si>
    <t>5-6 YD 1X PER WEEK</t>
  </si>
  <si>
    <t>6-6 YD 1X PER WEEK</t>
  </si>
  <si>
    <t>1-6 YD 2X PER WEEK</t>
  </si>
  <si>
    <t>2-6 YD 2X PER WEEK</t>
  </si>
  <si>
    <t>4-6 YD 2X PER WEEK</t>
  </si>
  <si>
    <t>7-6 YD 2X PER WEEK</t>
  </si>
  <si>
    <t>1-6 YD 3X PER WEEK</t>
  </si>
  <si>
    <t>2-6 YD 3X PER WEEK</t>
  </si>
  <si>
    <t>8 YD MSW EOW</t>
  </si>
  <si>
    <t>1-8 YD 1X PER WEEK</t>
  </si>
  <si>
    <t>1-8 YD 2X PER WEEK</t>
  </si>
  <si>
    <t>32 GAL CAN MSW 1X MO</t>
  </si>
  <si>
    <t>32 GAL CAN MSW ON CALL</t>
  </si>
  <si>
    <t>1-20 GAL MINI CAN MSW</t>
  </si>
  <si>
    <t>2-20 GAL MINI CAN MSW</t>
  </si>
  <si>
    <t>4-32 GAL CANS MSW</t>
  </si>
  <si>
    <t>5-32 GAL CANS MSW</t>
  </si>
  <si>
    <t>6-32 GAL CANS MSW</t>
  </si>
  <si>
    <t>20 GAL CART MSW</t>
  </si>
  <si>
    <t>35 GAL CART MSW 1X MO</t>
  </si>
  <si>
    <t>35 GAL CART MSW ON CALL</t>
  </si>
  <si>
    <t>35 GAL CART MSW EOW</t>
  </si>
  <si>
    <t>1-35 GAL CART MSW</t>
  </si>
  <si>
    <t>3-35 GAL CARTS MSW</t>
  </si>
  <si>
    <t>4-35 GAL CARTS MSW</t>
  </si>
  <si>
    <t>Monthly Customers/Containers</t>
  </si>
  <si>
    <t>3-64 GAL CARTS MSW</t>
  </si>
  <si>
    <t>Item 255 - Container Service - Dumped in Company's Vehicle</t>
  </si>
  <si>
    <t>Item 150 - Loose and Bulky Material, Page No.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</si>
</sst>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_);_(* \(#,##0\);_(* &quot;-&quot;??_);_(@_)"/>
    <numFmt numFmtId="172" formatCode="0.0%"/>
    <numFmt numFmtId="174" formatCode="_(&quot;$&quot;* #,##0_);_(&quot;$&quot;* \(#,##0\);_(&quot;$&quot;* &quot;-&quot;??_);_(@_)"/>
    <numFmt numFmtId="179" formatCode="0.0000%"/>
    <numFmt numFmtId="183" formatCode="_(&quot;$&quot;* #,##0.000_);_(&quot;$&quot;* \(#,##0.000\);_(&quot;$&quot;* &quot;-&quot;??_);_(@_)"/>
    <numFmt numFmtId="184" formatCode="0.000%"/>
    <numFmt numFmtId="189" formatCode="_(&quot;$&quot;* #,##0.000000_);_(&quot;$&quot;* \(#,##0.000000\);_(&quot;$&quot;* &quot;-&quot;??_);_(@_)"/>
    <numFmt numFmtId="190" formatCode="0.000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56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2"/>
      <color rgb="FFFF0000"/>
      <name val="Arial"/>
      <family val="2"/>
    </font>
    <font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">
    <xf numFmtId="0" fontId="0" fillId="0" borderId="0"/>
    <xf numFmtId="43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8" fillId="0" borderId="1">
      <alignment horizontal="center"/>
    </xf>
    <xf numFmtId="3" fontId="9" fillId="0" borderId="0" applyFont="0" applyFill="0" applyBorder="0" applyAlignment="0" applyProtection="0"/>
    <xf numFmtId="0" fontId="9" fillId="2" borderId="0" applyNumberFormat="0" applyFont="0" applyBorder="0" applyAlignment="0" applyProtection="0"/>
    <xf numFmtId="166" fontId="3" fillId="3" borderId="0" applyFont="0" applyFill="0" applyBorder="0" applyAlignment="0" applyProtection="0">
      <alignment wrapText="1"/>
    </xf>
  </cellStyleXfs>
  <cellXfs count="179">
    <xf numFmtId="0" fontId="0" fillId="0" borderId="0" xfId="0"/>
    <xf numFmtId="0" fontId="0" fillId="0" borderId="0" xfId="0" applyBorder="1"/>
    <xf numFmtId="0" fontId="2" fillId="0" borderId="0" xfId="14"/>
    <xf numFmtId="0" fontId="15" fillId="0" borderId="0" xfId="14" applyFont="1"/>
    <xf numFmtId="0" fontId="16" fillId="0" borderId="0" xfId="14" applyFont="1" applyAlignment="1">
      <alignment horizontal="center"/>
    </xf>
    <xf numFmtId="44" fontId="17" fillId="0" borderId="0" xfId="13" applyFont="1" applyAlignment="1">
      <alignment horizontal="center"/>
    </xf>
    <xf numFmtId="0" fontId="18" fillId="0" borderId="0" xfId="14" applyFont="1" applyAlignment="1">
      <alignment horizontal="center"/>
    </xf>
    <xf numFmtId="44" fontId="18" fillId="0" borderId="0" xfId="13" applyFont="1" applyAlignment="1">
      <alignment horizontal="center"/>
    </xf>
    <xf numFmtId="0" fontId="19" fillId="0" borderId="0" xfId="14" applyFont="1"/>
    <xf numFmtId="0" fontId="20" fillId="0" borderId="0" xfId="14" applyFont="1"/>
    <xf numFmtId="44" fontId="15" fillId="0" borderId="0" xfId="13" applyFont="1" applyBorder="1"/>
    <xf numFmtId="0" fontId="15" fillId="0" borderId="0" xfId="14" applyFont="1" applyBorder="1"/>
    <xf numFmtId="44" fontId="21" fillId="0" borderId="0" xfId="13" applyFont="1" applyBorder="1"/>
    <xf numFmtId="174" fontId="15" fillId="0" borderId="0" xfId="13" applyNumberFormat="1" applyFont="1" applyBorder="1"/>
    <xf numFmtId="174" fontId="22" fillId="0" borderId="0" xfId="13" applyNumberFormat="1" applyFont="1" applyBorder="1"/>
    <xf numFmtId="44" fontId="15" fillId="0" borderId="0" xfId="14" applyNumberFormat="1" applyFont="1" applyBorder="1"/>
    <xf numFmtId="174" fontId="17" fillId="0" borderId="0" xfId="13" applyNumberFormat="1" applyFont="1" applyBorder="1"/>
    <xf numFmtId="174" fontId="23" fillId="0" borderId="0" xfId="13" applyNumberFormat="1" applyFont="1" applyBorder="1"/>
    <xf numFmtId="43" fontId="15" fillId="0" borderId="0" xfId="14" applyNumberFormat="1" applyFont="1" applyBorder="1"/>
    <xf numFmtId="174" fontId="15" fillId="0" borderId="0" xfId="14" applyNumberFormat="1" applyFont="1" applyBorder="1"/>
    <xf numFmtId="174" fontId="22" fillId="0" borderId="0" xfId="14" applyNumberFormat="1" applyFont="1" applyBorder="1"/>
    <xf numFmtId="43" fontId="17" fillId="0" borderId="0" xfId="14" applyNumberFormat="1" applyFont="1" applyBorder="1"/>
    <xf numFmtId="43" fontId="18" fillId="0" borderId="0" xfId="14" applyNumberFormat="1" applyFont="1" applyBorder="1"/>
    <xf numFmtId="43" fontId="23" fillId="0" borderId="0" xfId="14" applyNumberFormat="1" applyFont="1" applyBorder="1"/>
    <xf numFmtId="43" fontId="22" fillId="0" borderId="0" xfId="14" applyNumberFormat="1" applyFont="1" applyBorder="1"/>
    <xf numFmtId="0" fontId="2" fillId="0" borderId="0" xfId="14" applyBorder="1"/>
    <xf numFmtId="183" fontId="15" fillId="0" borderId="0" xfId="14" applyNumberFormat="1" applyFont="1" applyBorder="1"/>
    <xf numFmtId="44" fontId="1" fillId="0" borderId="0" xfId="12" applyFont="1"/>
    <xf numFmtId="44" fontId="0" fillId="0" borderId="0" xfId="0" applyNumberFormat="1"/>
    <xf numFmtId="172" fontId="12" fillId="0" borderId="0" xfId="23" applyNumberFormat="1" applyFont="1"/>
    <xf numFmtId="0" fontId="6" fillId="0" borderId="0" xfId="15" applyFont="1" applyBorder="1"/>
    <xf numFmtId="0" fontId="13" fillId="0" borderId="0" xfId="0" applyFont="1" applyBorder="1" applyAlignment="1">
      <alignment horizontal="center"/>
    </xf>
    <xf numFmtId="172" fontId="15" fillId="0" borderId="0" xfId="23" applyNumberFormat="1" applyFont="1" applyBorder="1"/>
    <xf numFmtId="174" fontId="18" fillId="0" borderId="0" xfId="11" applyNumberFormat="1" applyFont="1" applyBorder="1"/>
    <xf numFmtId="43" fontId="15" fillId="0" borderId="0" xfId="1" applyFont="1" applyBorder="1"/>
    <xf numFmtId="43" fontId="22" fillId="0" borderId="0" xfId="1" applyFont="1" applyBorder="1"/>
    <xf numFmtId="43" fontId="12" fillId="0" borderId="0" xfId="1" applyFont="1" applyBorder="1"/>
    <xf numFmtId="10" fontId="21" fillId="0" borderId="0" xfId="24" applyNumberFormat="1" applyFont="1" applyAlignment="1">
      <alignment horizontal="center"/>
    </xf>
    <xf numFmtId="179" fontId="21" fillId="0" borderId="0" xfId="24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4" fontId="24" fillId="0" borderId="0" xfId="12" applyNumberFormat="1" applyFont="1" applyBorder="1"/>
    <xf numFmtId="0" fontId="24" fillId="0" borderId="0" xfId="0" applyFont="1"/>
    <xf numFmtId="166" fontId="24" fillId="0" borderId="0" xfId="1" applyNumberFormat="1" applyFont="1" applyBorder="1"/>
    <xf numFmtId="166" fontId="24" fillId="0" borderId="0" xfId="1" applyNumberFormat="1" applyFont="1"/>
    <xf numFmtId="166" fontId="25" fillId="0" borderId="0" xfId="1" applyNumberFormat="1" applyFont="1" applyBorder="1"/>
    <xf numFmtId="166" fontId="25" fillId="0" borderId="0" xfId="1" applyNumberFormat="1" applyFont="1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3" fontId="12" fillId="0" borderId="0" xfId="1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13" fillId="0" borderId="0" xfId="0" applyFont="1"/>
    <xf numFmtId="43" fontId="12" fillId="0" borderId="0" xfId="1" applyFont="1" applyAlignment="1">
      <alignment horizontal="center"/>
    </xf>
    <xf numFmtId="0" fontId="0" fillId="0" borderId="0" xfId="0" applyFont="1" applyAlignment="1">
      <alignment horizontal="left" indent="1"/>
    </xf>
    <xf numFmtId="166" fontId="12" fillId="0" borderId="0" xfId="1" applyNumberFormat="1" applyFont="1"/>
    <xf numFmtId="0" fontId="0" fillId="4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3" fillId="5" borderId="2" xfId="0" applyFont="1" applyFill="1" applyBorder="1"/>
    <xf numFmtId="0" fontId="0" fillId="5" borderId="2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2" xfId="0" applyFont="1" applyFill="1" applyBorder="1"/>
    <xf numFmtId="44" fontId="0" fillId="0" borderId="0" xfId="0" applyNumberFormat="1" applyFont="1"/>
    <xf numFmtId="190" fontId="0" fillId="0" borderId="0" xfId="0" applyNumberFormat="1" applyFont="1"/>
    <xf numFmtId="166" fontId="12" fillId="0" borderId="2" xfId="1" applyNumberFormat="1" applyFont="1" applyBorder="1"/>
    <xf numFmtId="0" fontId="13" fillId="5" borderId="2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wrapText="1"/>
    </xf>
    <xf numFmtId="166" fontId="13" fillId="5" borderId="2" xfId="1" applyNumberFormat="1" applyFont="1" applyFill="1" applyBorder="1" applyAlignment="1">
      <alignment horizontal="center" wrapText="1"/>
    </xf>
    <xf numFmtId="0" fontId="0" fillId="0" borderId="0" xfId="0" applyFont="1" applyBorder="1"/>
    <xf numFmtId="0" fontId="0" fillId="0" borderId="0" xfId="0" applyFont="1" applyFill="1" applyBorder="1" applyAlignment="1">
      <alignment horizontal="center" vertical="center"/>
    </xf>
    <xf numFmtId="44" fontId="12" fillId="0" borderId="0" xfId="11" applyFont="1" applyFill="1" applyBorder="1"/>
    <xf numFmtId="44" fontId="12" fillId="6" borderId="0" xfId="11" applyFont="1" applyFill="1" applyBorder="1"/>
    <xf numFmtId="0" fontId="0" fillId="0" borderId="0" xfId="0" applyFont="1" applyFill="1" applyBorder="1"/>
    <xf numFmtId="166" fontId="12" fillId="0" borderId="0" xfId="1" applyNumberFormat="1" applyFont="1" applyFill="1" applyBorder="1" applyAlignment="1">
      <alignment horizontal="center" wrapText="1"/>
    </xf>
    <xf numFmtId="43" fontId="26" fillId="0" borderId="0" xfId="1" applyNumberFormat="1" applyFont="1" applyFill="1" applyBorder="1"/>
    <xf numFmtId="0" fontId="0" fillId="0" borderId="0" xfId="0" applyFont="1" applyFill="1" applyBorder="1" applyAlignment="1">
      <alignment vertical="center" textRotation="90"/>
    </xf>
    <xf numFmtId="166" fontId="26" fillId="0" borderId="0" xfId="1" applyNumberFormat="1" applyFont="1" applyFill="1" applyBorder="1"/>
    <xf numFmtId="0" fontId="0" fillId="5" borderId="2" xfId="0" applyFont="1" applyFill="1" applyBorder="1" applyAlignment="1">
      <alignment vertical="center" textRotation="90"/>
    </xf>
    <xf numFmtId="0" fontId="0" fillId="5" borderId="2" xfId="0" applyFont="1" applyFill="1" applyBorder="1" applyAlignment="1">
      <alignment horizontal="center" vertical="center"/>
    </xf>
    <xf numFmtId="0" fontId="27" fillId="5" borderId="2" xfId="22" applyFont="1" applyFill="1" applyBorder="1" applyAlignment="1">
      <alignment horizontal="left"/>
    </xf>
    <xf numFmtId="3" fontId="13" fillId="5" borderId="2" xfId="0" applyNumberFormat="1" applyFont="1" applyFill="1" applyBorder="1" applyAlignment="1">
      <alignment horizontal="right"/>
    </xf>
    <xf numFmtId="43" fontId="12" fillId="5" borderId="2" xfId="1" applyFont="1" applyFill="1" applyBorder="1"/>
    <xf numFmtId="3" fontId="13" fillId="5" borderId="2" xfId="0" applyNumberFormat="1" applyFont="1" applyFill="1" applyBorder="1"/>
    <xf numFmtId="166" fontId="13" fillId="5" borderId="2" xfId="1" applyNumberFormat="1" applyFont="1" applyFill="1" applyBorder="1"/>
    <xf numFmtId="44" fontId="12" fillId="5" borderId="2" xfId="11" applyFont="1" applyFill="1" applyBorder="1"/>
    <xf numFmtId="44" fontId="13" fillId="5" borderId="2" xfId="11" applyFont="1" applyFill="1" applyBorder="1"/>
    <xf numFmtId="166" fontId="12" fillId="0" borderId="0" xfId="1" applyNumberFormat="1" applyFont="1" applyBorder="1"/>
    <xf numFmtId="0" fontId="0" fillId="0" borderId="0" xfId="0" applyFont="1" applyBorder="1" applyAlignment="1">
      <alignment horizontal="center"/>
    </xf>
    <xf numFmtId="0" fontId="27" fillId="0" borderId="0" xfId="22" applyFont="1" applyFill="1" applyBorder="1" applyAlignment="1">
      <alignment horizontal="left"/>
    </xf>
    <xf numFmtId="166" fontId="13" fillId="0" borderId="0" xfId="1" applyNumberFormat="1" applyFont="1" applyBorder="1" applyAlignment="1">
      <alignment horizontal="right"/>
    </xf>
    <xf numFmtId="44" fontId="13" fillId="0" borderId="0" xfId="1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4" fontId="12" fillId="0" borderId="0" xfId="1" applyNumberFormat="1" applyFont="1" applyFill="1" applyBorder="1"/>
    <xf numFmtId="166" fontId="12" fillId="0" borderId="0" xfId="1" applyNumberFormat="1" applyFont="1" applyFill="1" applyBorder="1"/>
    <xf numFmtId="0" fontId="14" fillId="0" borderId="0" xfId="18" applyFont="1" applyBorder="1" applyAlignment="1">
      <alignment horizontal="left"/>
    </xf>
    <xf numFmtId="0" fontId="0" fillId="0" borderId="0" xfId="0" applyFont="1" applyFill="1" applyBorder="1" applyAlignment="1"/>
    <xf numFmtId="166" fontId="13" fillId="0" borderId="2" xfId="1" applyNumberFormat="1" applyFont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43" fontId="0" fillId="0" borderId="0" xfId="0" applyNumberFormat="1" applyFont="1" applyBorder="1"/>
    <xf numFmtId="166" fontId="26" fillId="0" borderId="0" xfId="1" applyNumberFormat="1" applyFont="1" applyFill="1" applyBorder="1" applyAlignment="1">
      <alignment horizontal="left"/>
    </xf>
    <xf numFmtId="166" fontId="12" fillId="0" borderId="0" xfId="1" applyNumberFormat="1" applyFont="1" applyBorder="1" applyAlignment="1">
      <alignment horizontal="right"/>
    </xf>
    <xf numFmtId="0" fontId="28" fillId="0" borderId="0" xfId="1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0" fontId="12" fillId="0" borderId="0" xfId="23" applyNumberFormat="1" applyFont="1" applyBorder="1" applyAlignment="1">
      <alignment horizontal="right"/>
    </xf>
    <xf numFmtId="10" fontId="12" fillId="0" borderId="0" xfId="23" applyNumberFormat="1" applyFont="1" applyBorder="1"/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 wrapText="1"/>
    </xf>
    <xf numFmtId="0" fontId="26" fillId="0" borderId="0" xfId="22" applyFont="1" applyFill="1" applyBorder="1" applyAlignment="1">
      <alignment horizontal="left"/>
    </xf>
    <xf numFmtId="43" fontId="12" fillId="0" borderId="0" xfId="1" applyFont="1" applyBorder="1"/>
    <xf numFmtId="44" fontId="0" fillId="0" borderId="0" xfId="0" applyNumberFormat="1" applyFont="1" applyBorder="1"/>
    <xf numFmtId="44" fontId="12" fillId="0" borderId="0" xfId="11" applyFont="1" applyBorder="1" applyAlignment="1">
      <alignment horizontal="right"/>
    </xf>
    <xf numFmtId="183" fontId="12" fillId="0" borderId="0" xfId="11" applyNumberFormat="1" applyFont="1" applyBorder="1"/>
    <xf numFmtId="166" fontId="12" fillId="0" borderId="0" xfId="1" applyNumberFormat="1" applyFont="1" applyFill="1" applyBorder="1"/>
    <xf numFmtId="44" fontId="1" fillId="0" borderId="0" xfId="12" applyFont="1" applyFill="1"/>
    <xf numFmtId="43" fontId="12" fillId="0" borderId="0" xfId="11" applyNumberFormat="1" applyFont="1" applyFill="1" applyBorder="1"/>
    <xf numFmtId="166" fontId="12" fillId="0" borderId="0" xfId="1" applyNumberFormat="1" applyFont="1" applyFill="1" applyBorder="1"/>
    <xf numFmtId="44" fontId="12" fillId="0" borderId="0" xfId="11" applyFont="1" applyFill="1" applyBorder="1"/>
    <xf numFmtId="44" fontId="12" fillId="0" borderId="2" xfId="11" applyFont="1" applyFill="1" applyBorder="1"/>
    <xf numFmtId="44" fontId="12" fillId="0" borderId="0" xfId="11" applyFont="1" applyFill="1"/>
    <xf numFmtId="183" fontId="12" fillId="0" borderId="0" xfId="11" applyNumberFormat="1" applyFont="1" applyFill="1"/>
    <xf numFmtId="183" fontId="12" fillId="0" borderId="2" xfId="11" applyNumberFormat="1" applyFont="1" applyFill="1" applyBorder="1"/>
    <xf numFmtId="189" fontId="12" fillId="0" borderId="0" xfId="11" applyNumberFormat="1" applyFont="1" applyFill="1"/>
    <xf numFmtId="0" fontId="12" fillId="7" borderId="0" xfId="1" applyNumberFormat="1" applyFont="1" applyFill="1" applyBorder="1"/>
    <xf numFmtId="166" fontId="12" fillId="7" borderId="0" xfId="1" applyNumberFormat="1" applyFont="1" applyFill="1" applyBorder="1"/>
    <xf numFmtId="0" fontId="0" fillId="0" borderId="0" xfId="0" applyFont="1" applyFill="1" applyBorder="1" applyAlignment="1">
      <alignment horizontal="left"/>
    </xf>
    <xf numFmtId="43" fontId="11" fillId="0" borderId="3" xfId="7" applyNumberFormat="1" applyFont="1" applyFill="1" applyBorder="1"/>
    <xf numFmtId="166" fontId="1" fillId="0" borderId="0" xfId="4" applyNumberFormat="1" applyFont="1"/>
    <xf numFmtId="166" fontId="1" fillId="0" borderId="0" xfId="4" applyNumberFormat="1" applyFont="1" applyFill="1"/>
    <xf numFmtId="166" fontId="0" fillId="5" borderId="2" xfId="0" applyNumberFormat="1" applyFont="1" applyFill="1" applyBorder="1"/>
    <xf numFmtId="166" fontId="13" fillId="5" borderId="2" xfId="0" applyNumberFormat="1" applyFont="1" applyFill="1" applyBorder="1" applyAlignment="1">
      <alignment horizontal="right"/>
    </xf>
    <xf numFmtId="166" fontId="0" fillId="0" borderId="0" xfId="0" applyNumberFormat="1" applyFont="1" applyBorder="1"/>
    <xf numFmtId="44" fontId="29" fillId="0" borderId="0" xfId="11" applyFont="1" applyBorder="1" applyAlignment="1">
      <alignment horizontal="right"/>
    </xf>
    <xf numFmtId="44" fontId="12" fillId="0" borderId="0" xfId="11" applyNumberFormat="1" applyFont="1" applyFill="1" applyBorder="1"/>
    <xf numFmtId="44" fontId="12" fillId="0" borderId="0" xfId="11" applyFont="1"/>
    <xf numFmtId="174" fontId="12" fillId="0" borderId="0" xfId="11" applyNumberFormat="1" applyFont="1"/>
    <xf numFmtId="174" fontId="30" fillId="0" borderId="0" xfId="11" applyNumberFormat="1" applyFont="1"/>
    <xf numFmtId="174" fontId="29" fillId="0" borderId="0" xfId="0" applyNumberFormat="1" applyFont="1"/>
    <xf numFmtId="184" fontId="12" fillId="0" borderId="0" xfId="23" applyNumberFormat="1" applyFont="1"/>
    <xf numFmtId="179" fontId="12" fillId="0" borderId="0" xfId="23" applyNumberFormat="1" applyFont="1"/>
    <xf numFmtId="179" fontId="12" fillId="0" borderId="0" xfId="23" applyNumberFormat="1" applyFont="1" applyBorder="1"/>
    <xf numFmtId="179" fontId="31" fillId="0" borderId="0" xfId="23" applyNumberFormat="1" applyFont="1"/>
    <xf numFmtId="179" fontId="32" fillId="0" borderId="0" xfId="23" applyNumberFormat="1" applyFont="1"/>
    <xf numFmtId="10" fontId="4" fillId="0" borderId="0" xfId="24" applyNumberFormat="1" applyFont="1" applyAlignment="1">
      <alignment horizontal="center"/>
    </xf>
    <xf numFmtId="44" fontId="29" fillId="0" borderId="0" xfId="0" applyNumberFormat="1" applyFont="1"/>
    <xf numFmtId="179" fontId="0" fillId="0" borderId="0" xfId="0" applyNumberFormat="1"/>
    <xf numFmtId="179" fontId="31" fillId="0" borderId="0" xfId="0" applyNumberFormat="1" applyFont="1"/>
    <xf numFmtId="179" fontId="10" fillId="0" borderId="0" xfId="24" applyNumberFormat="1" applyFont="1" applyAlignment="1">
      <alignment horizontal="right"/>
    </xf>
    <xf numFmtId="179" fontId="33" fillId="0" borderId="0" xfId="23" applyNumberFormat="1" applyFont="1"/>
    <xf numFmtId="10" fontId="12" fillId="0" borderId="0" xfId="23" applyNumberFormat="1" applyFont="1" applyFill="1" applyBorder="1"/>
    <xf numFmtId="166" fontId="12" fillId="0" borderId="0" xfId="1" applyNumberFormat="1" applyFont="1" applyFill="1" applyBorder="1"/>
    <xf numFmtId="0" fontId="34" fillId="0" borderId="0" xfId="0" applyFont="1"/>
    <xf numFmtId="0" fontId="35" fillId="0" borderId="0" xfId="0" applyFont="1"/>
    <xf numFmtId="43" fontId="34" fillId="0" borderId="0" xfId="1" applyFont="1"/>
    <xf numFmtId="166" fontId="34" fillId="0" borderId="0" xfId="1" applyNumberFormat="1" applyFont="1"/>
    <xf numFmtId="166" fontId="35" fillId="0" borderId="0" xfId="1" applyNumberFormat="1" applyFont="1"/>
    <xf numFmtId="10" fontId="13" fillId="0" borderId="0" xfId="23" applyNumberFormat="1" applyFont="1" applyFill="1" applyBorder="1"/>
    <xf numFmtId="43" fontId="0" fillId="0" borderId="0" xfId="0" applyNumberFormat="1" applyFont="1" applyFill="1" applyBorder="1"/>
    <xf numFmtId="10" fontId="0" fillId="0" borderId="0" xfId="0" applyNumberFormat="1" applyFont="1" applyBorder="1"/>
    <xf numFmtId="44" fontId="12" fillId="0" borderId="0" xfId="11" applyFont="1" applyBorder="1"/>
    <xf numFmtId="44" fontId="12" fillId="0" borderId="0" xfId="11" applyFont="1" applyFill="1" applyBorder="1"/>
    <xf numFmtId="44" fontId="13" fillId="0" borderId="2" xfId="0" applyNumberFormat="1" applyFont="1" applyBorder="1"/>
    <xf numFmtId="174" fontId="12" fillId="0" borderId="2" xfId="11" applyNumberFormat="1" applyFont="1" applyBorder="1"/>
    <xf numFmtId="174" fontId="0" fillId="0" borderId="2" xfId="0" applyNumberFormat="1" applyFont="1" applyBorder="1"/>
    <xf numFmtId="0" fontId="0" fillId="0" borderId="2" xfId="0" applyFont="1" applyBorder="1"/>
    <xf numFmtId="0" fontId="0" fillId="5" borderId="0" xfId="0" applyFont="1" applyFill="1" applyBorder="1" applyAlignment="1">
      <alignment vertical="center" textRotation="90"/>
    </xf>
    <xf numFmtId="0" fontId="0" fillId="5" borderId="0" xfId="0" applyFont="1" applyFill="1" applyBorder="1" applyAlignment="1">
      <alignment horizontal="center" vertical="center"/>
    </xf>
    <xf numFmtId="0" fontId="27" fillId="5" borderId="0" xfId="22" applyFont="1" applyFill="1" applyBorder="1" applyAlignment="1">
      <alignment horizontal="left"/>
    </xf>
    <xf numFmtId="44" fontId="12" fillId="5" borderId="0" xfId="11" applyFont="1" applyFill="1" applyBorder="1"/>
    <xf numFmtId="44" fontId="0" fillId="0" borderId="0" xfId="0" applyNumberFormat="1" applyFont="1" applyFill="1" applyBorder="1"/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13" fillId="5" borderId="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4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/>
    </xf>
  </cellXfs>
  <cellStyles count="35">
    <cellStyle name="Comma" xfId="1" builtinId="3"/>
    <cellStyle name="Comma [0] 2" xfId="2"/>
    <cellStyle name="Comma [0] 3" xfId="3"/>
    <cellStyle name="Comma 10" xfId="4"/>
    <cellStyle name="Comma 2" xfId="5"/>
    <cellStyle name="Comma 2 6" xfId="6"/>
    <cellStyle name="Comma 20" xfId="7"/>
    <cellStyle name="Comma 3" xfId="8"/>
    <cellStyle name="Comma 4" xfId="9"/>
    <cellStyle name="Comma 5" xfId="10"/>
    <cellStyle name="Currency" xfId="11" builtinId="4"/>
    <cellStyle name="Currency 2" xfId="12"/>
    <cellStyle name="Currency 2 6" xfId="13"/>
    <cellStyle name="Normal" xfId="0" builtinId="0"/>
    <cellStyle name="Normal 10" xfId="14"/>
    <cellStyle name="Normal 2" xfId="15"/>
    <cellStyle name="Normal 2 2 2 2 3" xfId="16"/>
    <cellStyle name="Normal 2 8" xfId="17"/>
    <cellStyle name="Normal 90" xfId="18"/>
    <cellStyle name="Normal 93" xfId="19"/>
    <cellStyle name="Normal 94" xfId="20"/>
    <cellStyle name="Normal 98" xfId="21"/>
    <cellStyle name="Normal_Price out" xfId="22"/>
    <cellStyle name="Percent" xfId="23" builtinId="5"/>
    <cellStyle name="Percent 2" xfId="24"/>
    <cellStyle name="Percent 2 6" xfId="25"/>
    <cellStyle name="Percent 3" xfId="26"/>
    <cellStyle name="PS_Comma" xfId="27"/>
    <cellStyle name="PSChar" xfId="28"/>
    <cellStyle name="PSDate" xfId="29"/>
    <cellStyle name="PSDec" xfId="30"/>
    <cellStyle name="PSHeading" xfId="31"/>
    <cellStyle name="PSInt" xfId="32"/>
    <cellStyle name="PSSpacer" xfId="33"/>
    <cellStyle name="WM_STANDARD" xfId="34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workbookViewId="0">
      <selection activeCell="F13" sqref="F13"/>
    </sheetView>
  </sheetViews>
  <sheetFormatPr defaultRowHeight="15" x14ac:dyDescent="0.25"/>
  <cols>
    <col min="1" max="1" width="52.140625" customWidth="1"/>
    <col min="2" max="2" width="16.7109375" customWidth="1"/>
    <col min="3" max="3" width="15.5703125" customWidth="1"/>
    <col min="6" max="6" width="12.42578125" customWidth="1"/>
    <col min="7" max="7" width="10.7109375" customWidth="1"/>
    <col min="8" max="8" width="10" bestFit="1" customWidth="1"/>
  </cols>
  <sheetData>
    <row r="1" spans="1:8" x14ac:dyDescent="0.25">
      <c r="A1" s="172" t="s">
        <v>15</v>
      </c>
      <c r="B1" s="172"/>
      <c r="C1" s="172"/>
      <c r="D1" s="172"/>
      <c r="E1" s="172"/>
      <c r="F1" s="172"/>
      <c r="G1" s="172"/>
      <c r="H1" s="172"/>
    </row>
    <row r="2" spans="1:8" x14ac:dyDescent="0.25">
      <c r="A2" s="47" t="s">
        <v>16</v>
      </c>
      <c r="B2" s="48" t="s">
        <v>17</v>
      </c>
      <c r="C2" s="48" t="s">
        <v>18</v>
      </c>
      <c r="D2" s="48" t="s">
        <v>19</v>
      </c>
      <c r="E2" s="49" t="s">
        <v>20</v>
      </c>
      <c r="F2" s="49" t="s">
        <v>21</v>
      </c>
      <c r="G2" s="49" t="s">
        <v>22</v>
      </c>
      <c r="H2" s="48" t="s">
        <v>23</v>
      </c>
    </row>
    <row r="3" spans="1:8" x14ac:dyDescent="0.25">
      <c r="A3" s="47" t="s">
        <v>24</v>
      </c>
      <c r="B3" s="50">
        <f>52*5/12</f>
        <v>21.666666666666668</v>
      </c>
      <c r="C3" s="51">
        <f>$B$3*2</f>
        <v>43.333333333333336</v>
      </c>
      <c r="D3" s="51">
        <f>$B$3*3</f>
        <v>65</v>
      </c>
      <c r="E3" s="51">
        <f>$B$3*4</f>
        <v>86.666666666666671</v>
      </c>
      <c r="F3" s="51">
        <f>$B$3*5</f>
        <v>108.33333333333334</v>
      </c>
      <c r="G3" s="51">
        <f>$B$3*6</f>
        <v>130</v>
      </c>
      <c r="H3" s="51">
        <f>$B$3*7</f>
        <v>151.66666666666669</v>
      </c>
    </row>
    <row r="4" spans="1:8" x14ac:dyDescent="0.25">
      <c r="A4" s="47" t="s">
        <v>25</v>
      </c>
      <c r="B4" s="50">
        <f>52*4/12</f>
        <v>17.333333333333332</v>
      </c>
      <c r="C4" s="51">
        <f>$B$4*2</f>
        <v>34.666666666666664</v>
      </c>
      <c r="D4" s="51">
        <f>$B$4*3</f>
        <v>52</v>
      </c>
      <c r="E4" s="51">
        <f>$B$4*4</f>
        <v>69.333333333333329</v>
      </c>
      <c r="F4" s="51">
        <f>$B$4*5</f>
        <v>86.666666666666657</v>
      </c>
      <c r="G4" s="51">
        <f>$B$4*6</f>
        <v>104</v>
      </c>
      <c r="H4" s="51">
        <f>$B$4*7</f>
        <v>121.33333333333333</v>
      </c>
    </row>
    <row r="5" spans="1:8" x14ac:dyDescent="0.25">
      <c r="A5" s="47" t="s">
        <v>26</v>
      </c>
      <c r="B5" s="50">
        <f>52*3/12</f>
        <v>13</v>
      </c>
      <c r="C5" s="51">
        <f>$B$5*2</f>
        <v>26</v>
      </c>
      <c r="D5" s="51">
        <f>$B$5*3</f>
        <v>39</v>
      </c>
      <c r="E5" s="51">
        <f>$B$5*4</f>
        <v>52</v>
      </c>
      <c r="F5" s="51">
        <f>$B$5*5</f>
        <v>65</v>
      </c>
      <c r="G5" s="51">
        <f>$B$5*6</f>
        <v>78</v>
      </c>
      <c r="H5" s="51">
        <f>$B$5*7</f>
        <v>91</v>
      </c>
    </row>
    <row r="6" spans="1:8" x14ac:dyDescent="0.25">
      <c r="A6" s="47" t="s">
        <v>27</v>
      </c>
      <c r="B6" s="50">
        <f>52*2/12</f>
        <v>8.6666666666666661</v>
      </c>
      <c r="C6" s="52">
        <f>$B$6*2</f>
        <v>17.333333333333332</v>
      </c>
      <c r="D6" s="52">
        <f>$B$6*3</f>
        <v>26</v>
      </c>
      <c r="E6" s="52">
        <f>$B$6*4</f>
        <v>34.666666666666664</v>
      </c>
      <c r="F6" s="52">
        <f>$B$6*5</f>
        <v>43.333333333333329</v>
      </c>
      <c r="G6" s="52">
        <f>$B$6*6</f>
        <v>52</v>
      </c>
      <c r="H6" s="52">
        <f>$B$6*7</f>
        <v>60.666666666666664</v>
      </c>
    </row>
    <row r="7" spans="1:8" x14ac:dyDescent="0.25">
      <c r="A7" s="47" t="s">
        <v>28</v>
      </c>
      <c r="B7" s="50">
        <f>52/12</f>
        <v>4.333333333333333</v>
      </c>
      <c r="C7" s="52">
        <f>$B$7*2</f>
        <v>8.6666666666666661</v>
      </c>
      <c r="D7" s="52">
        <f>$B$7*3</f>
        <v>13</v>
      </c>
      <c r="E7" s="52">
        <f>$B$7*4</f>
        <v>17.333333333333332</v>
      </c>
      <c r="F7" s="52">
        <f>$B$7*5</f>
        <v>21.666666666666664</v>
      </c>
      <c r="G7" s="52">
        <f>$B$7*6</f>
        <v>26</v>
      </c>
      <c r="H7" s="52">
        <f>$B$7*7</f>
        <v>30.333333333333332</v>
      </c>
    </row>
    <row r="8" spans="1:8" x14ac:dyDescent="0.25">
      <c r="A8" s="47" t="s">
        <v>29</v>
      </c>
      <c r="B8" s="50">
        <f>26/12</f>
        <v>2.1666666666666665</v>
      </c>
      <c r="C8" s="52">
        <f>$B$8*2</f>
        <v>4.333333333333333</v>
      </c>
      <c r="D8" s="52">
        <f>$B$8*3</f>
        <v>6.5</v>
      </c>
      <c r="E8" s="52">
        <f>$B$8*4</f>
        <v>8.6666666666666661</v>
      </c>
      <c r="F8" s="52">
        <f>$B$8*5</f>
        <v>10.833333333333332</v>
      </c>
      <c r="G8" s="52">
        <f>$B$8*6</f>
        <v>13</v>
      </c>
      <c r="H8" s="52">
        <f>$B$8*7</f>
        <v>15.166666666666666</v>
      </c>
    </row>
    <row r="9" spans="1:8" x14ac:dyDescent="0.25">
      <c r="A9" s="47" t="s">
        <v>30</v>
      </c>
      <c r="B9" s="50">
        <f>12/12</f>
        <v>1</v>
      </c>
      <c r="C9" s="52">
        <f>$B$9*2</f>
        <v>2</v>
      </c>
      <c r="D9" s="52">
        <f>$B$9*3</f>
        <v>3</v>
      </c>
      <c r="E9" s="52">
        <f>$B$9*4</f>
        <v>4</v>
      </c>
      <c r="F9" s="52">
        <f>$B$9*5</f>
        <v>5</v>
      </c>
      <c r="G9" s="52">
        <f>$B$9*6</f>
        <v>6</v>
      </c>
      <c r="H9" s="52">
        <f>$B$9*7</f>
        <v>7</v>
      </c>
    </row>
    <row r="10" spans="1:8" x14ac:dyDescent="0.25">
      <c r="A10" s="47"/>
      <c r="B10" s="50"/>
      <c r="C10" s="52"/>
      <c r="D10" s="52"/>
      <c r="E10" s="52"/>
      <c r="F10" s="52"/>
      <c r="G10" s="52"/>
      <c r="H10" s="52"/>
    </row>
    <row r="11" spans="1:8" x14ac:dyDescent="0.25">
      <c r="A11" s="172" t="s">
        <v>31</v>
      </c>
      <c r="B11" s="172"/>
      <c r="C11" s="52"/>
      <c r="D11" s="52"/>
      <c r="E11" s="52"/>
      <c r="F11" s="52"/>
      <c r="G11" s="52"/>
      <c r="H11" s="52"/>
    </row>
    <row r="12" spans="1:8" x14ac:dyDescent="0.25">
      <c r="A12" s="53" t="s">
        <v>32</v>
      </c>
      <c r="B12" s="54" t="s">
        <v>33</v>
      </c>
      <c r="C12" s="52"/>
      <c r="D12" s="52"/>
      <c r="E12" s="52"/>
      <c r="F12" s="52"/>
      <c r="G12" s="52"/>
      <c r="H12" s="52"/>
    </row>
    <row r="13" spans="1:8" x14ac:dyDescent="0.25">
      <c r="A13" s="55" t="s">
        <v>34</v>
      </c>
      <c r="B13" s="56">
        <v>20</v>
      </c>
      <c r="C13" s="52"/>
      <c r="D13" s="52"/>
      <c r="E13" s="52"/>
      <c r="F13" s="52"/>
      <c r="G13" s="52"/>
      <c r="H13" s="52"/>
    </row>
    <row r="14" spans="1:8" x14ac:dyDescent="0.25">
      <c r="A14" s="55" t="s">
        <v>35</v>
      </c>
      <c r="B14" s="56">
        <v>34</v>
      </c>
      <c r="C14" s="52"/>
      <c r="D14" s="52"/>
      <c r="E14" s="52"/>
      <c r="F14" s="52"/>
      <c r="G14" s="52"/>
      <c r="H14" s="52"/>
    </row>
    <row r="15" spans="1:8" x14ac:dyDescent="0.25">
      <c r="A15" s="55" t="s">
        <v>36</v>
      </c>
      <c r="B15" s="56">
        <v>51</v>
      </c>
      <c r="C15" s="52"/>
      <c r="D15" s="52"/>
      <c r="E15" s="52"/>
      <c r="F15" s="52"/>
      <c r="G15" s="52"/>
      <c r="H15" s="52"/>
    </row>
    <row r="16" spans="1:8" x14ac:dyDescent="0.25">
      <c r="A16" s="55" t="s">
        <v>37</v>
      </c>
      <c r="B16" s="56">
        <v>77</v>
      </c>
      <c r="C16" s="52"/>
      <c r="D16" s="52"/>
      <c r="E16" s="52"/>
      <c r="F16" s="47" t="s">
        <v>38</v>
      </c>
      <c r="G16" s="56">
        <v>2000</v>
      </c>
      <c r="H16" s="52"/>
    </row>
    <row r="17" spans="1:8" x14ac:dyDescent="0.25">
      <c r="A17" s="55" t="s">
        <v>39</v>
      </c>
      <c r="B17" s="56">
        <v>97</v>
      </c>
      <c r="C17" s="52"/>
      <c r="D17" s="52"/>
      <c r="E17" s="52"/>
      <c r="F17" s="47" t="s">
        <v>40</v>
      </c>
      <c r="G17" s="57" t="s">
        <v>41</v>
      </c>
      <c r="H17" s="52"/>
    </row>
    <row r="18" spans="1:8" x14ac:dyDescent="0.25">
      <c r="A18" s="55" t="s">
        <v>42</v>
      </c>
      <c r="B18" s="56">
        <v>117</v>
      </c>
      <c r="C18" s="52"/>
      <c r="D18" s="52"/>
      <c r="E18" s="52"/>
      <c r="F18" s="47"/>
      <c r="G18" s="47"/>
      <c r="H18" s="52"/>
    </row>
    <row r="19" spans="1:8" x14ac:dyDescent="0.25">
      <c r="A19" s="55" t="s">
        <v>43</v>
      </c>
      <c r="B19" s="56">
        <v>157</v>
      </c>
      <c r="C19" s="52"/>
      <c r="D19" s="52"/>
      <c r="E19" s="52"/>
      <c r="F19" s="58"/>
      <c r="G19" s="59"/>
      <c r="H19" s="52"/>
    </row>
    <row r="20" spans="1:8" x14ac:dyDescent="0.25">
      <c r="A20" s="55" t="s">
        <v>44</v>
      </c>
      <c r="B20" s="56">
        <v>37</v>
      </c>
      <c r="C20" s="52" t="s">
        <v>45</v>
      </c>
      <c r="D20" s="52"/>
      <c r="E20" s="52"/>
      <c r="F20" s="58"/>
      <c r="G20" s="59"/>
      <c r="H20" s="52"/>
    </row>
    <row r="21" spans="1:8" x14ac:dyDescent="0.25">
      <c r="A21" s="55" t="s">
        <v>46</v>
      </c>
      <c r="B21" s="56">
        <v>47</v>
      </c>
      <c r="C21" s="52"/>
      <c r="D21" s="52"/>
      <c r="E21" s="52"/>
      <c r="F21" s="52"/>
      <c r="G21" s="52"/>
      <c r="H21" s="52"/>
    </row>
    <row r="22" spans="1:8" x14ac:dyDescent="0.25">
      <c r="A22" s="55" t="s">
        <v>47</v>
      </c>
      <c r="B22" s="56">
        <v>68</v>
      </c>
      <c r="C22" s="52"/>
      <c r="D22" s="52"/>
      <c r="E22" s="52"/>
      <c r="F22" s="52"/>
      <c r="G22" s="52"/>
      <c r="H22" s="52"/>
    </row>
    <row r="23" spans="1:8" x14ac:dyDescent="0.25">
      <c r="A23" s="55" t="s">
        <v>48</v>
      </c>
      <c r="B23" s="56">
        <v>34</v>
      </c>
      <c r="C23" s="52"/>
      <c r="D23" s="52"/>
      <c r="E23" s="52"/>
      <c r="F23" s="52"/>
      <c r="G23" s="52"/>
      <c r="H23" s="52"/>
    </row>
    <row r="24" spans="1:8" x14ac:dyDescent="0.25">
      <c r="A24" s="55" t="s">
        <v>49</v>
      </c>
      <c r="B24" s="56">
        <v>34</v>
      </c>
      <c r="C24" s="52"/>
      <c r="D24" s="52"/>
      <c r="E24" s="52"/>
      <c r="F24" s="52"/>
      <c r="G24" s="52"/>
      <c r="H24" s="52"/>
    </row>
    <row r="25" spans="1:8" x14ac:dyDescent="0.25">
      <c r="A25" s="53" t="s">
        <v>50</v>
      </c>
      <c r="B25" s="56"/>
      <c r="C25" s="52"/>
      <c r="D25" s="52"/>
      <c r="E25" s="52"/>
      <c r="F25" s="52"/>
      <c r="G25" s="52"/>
      <c r="H25" s="52"/>
    </row>
    <row r="26" spans="1:8" x14ac:dyDescent="0.25">
      <c r="A26" s="55" t="s">
        <v>51</v>
      </c>
      <c r="B26" s="56">
        <v>29</v>
      </c>
      <c r="C26" s="52"/>
      <c r="D26" s="52"/>
      <c r="E26" s="52"/>
      <c r="F26" s="52"/>
      <c r="G26" s="52"/>
      <c r="H26" s="52"/>
    </row>
    <row r="27" spans="1:8" x14ac:dyDescent="0.25">
      <c r="A27" s="55" t="s">
        <v>52</v>
      </c>
      <c r="B27" s="56">
        <v>175</v>
      </c>
      <c r="C27" s="52"/>
      <c r="D27" s="52"/>
      <c r="E27" s="52"/>
      <c r="F27" s="52"/>
      <c r="G27" s="52"/>
      <c r="H27" s="52"/>
    </row>
    <row r="28" spans="1:8" x14ac:dyDescent="0.25">
      <c r="A28" s="55" t="s">
        <v>53</v>
      </c>
      <c r="B28" s="56">
        <v>250</v>
      </c>
      <c r="C28" s="52"/>
      <c r="D28" s="52"/>
      <c r="E28" s="52"/>
      <c r="F28" s="52"/>
      <c r="G28" s="52"/>
      <c r="H28" s="52"/>
    </row>
    <row r="29" spans="1:8" x14ac:dyDescent="0.25">
      <c r="A29" s="55" t="s">
        <v>54</v>
      </c>
      <c r="B29" s="56">
        <v>324</v>
      </c>
      <c r="C29" s="52"/>
      <c r="D29" s="52"/>
      <c r="E29" s="52"/>
      <c r="F29" s="52"/>
      <c r="G29" s="52"/>
      <c r="H29" s="52"/>
    </row>
    <row r="30" spans="1:8" x14ac:dyDescent="0.25">
      <c r="A30" s="55" t="s">
        <v>55</v>
      </c>
      <c r="B30" s="56">
        <v>473</v>
      </c>
      <c r="C30" s="52"/>
      <c r="D30" s="52"/>
      <c r="E30" s="52"/>
      <c r="F30" s="52"/>
      <c r="G30" s="52"/>
      <c r="H30" s="52"/>
    </row>
    <row r="31" spans="1:8" x14ac:dyDescent="0.25">
      <c r="A31" s="55" t="s">
        <v>56</v>
      </c>
      <c r="B31" s="56">
        <v>613</v>
      </c>
      <c r="C31" s="52"/>
      <c r="D31" s="52"/>
      <c r="E31" s="52"/>
      <c r="F31" s="52"/>
      <c r="G31" s="52"/>
      <c r="H31" s="52"/>
    </row>
    <row r="32" spans="1:8" x14ac:dyDescent="0.25">
      <c r="A32" s="55" t="s">
        <v>57</v>
      </c>
      <c r="B32" s="56">
        <v>840</v>
      </c>
      <c r="C32" s="52"/>
      <c r="D32" s="52"/>
      <c r="E32" s="52"/>
      <c r="F32" s="52"/>
      <c r="G32" s="52"/>
      <c r="H32" s="52"/>
    </row>
    <row r="33" spans="1:8" x14ac:dyDescent="0.25">
      <c r="A33" s="55" t="s">
        <v>58</v>
      </c>
      <c r="B33" s="56">
        <v>980</v>
      </c>
      <c r="C33" s="52"/>
      <c r="D33" s="52"/>
      <c r="E33" s="52"/>
      <c r="F33" s="52"/>
      <c r="G33" s="52"/>
      <c r="H33" s="52"/>
    </row>
    <row r="34" spans="1:8" x14ac:dyDescent="0.25">
      <c r="A34" s="55" t="s">
        <v>59</v>
      </c>
      <c r="B34" s="56">
        <v>482</v>
      </c>
      <c r="C34" s="52" t="s">
        <v>45</v>
      </c>
      <c r="D34" s="52"/>
      <c r="E34" s="52"/>
      <c r="F34" s="52"/>
      <c r="G34" s="52"/>
      <c r="H34" s="52"/>
    </row>
    <row r="35" spans="1:8" x14ac:dyDescent="0.25">
      <c r="A35" s="55" t="s">
        <v>60</v>
      </c>
      <c r="B35" s="56">
        <v>689</v>
      </c>
      <c r="C35" s="52" t="s">
        <v>45</v>
      </c>
      <c r="D35" s="52"/>
      <c r="E35" s="52"/>
      <c r="F35" s="52"/>
      <c r="G35" s="52"/>
      <c r="H35" s="52"/>
    </row>
    <row r="36" spans="1:8" x14ac:dyDescent="0.25">
      <c r="A36" s="55" t="s">
        <v>61</v>
      </c>
      <c r="B36" s="56">
        <v>892</v>
      </c>
      <c r="C36" s="52" t="s">
        <v>45</v>
      </c>
      <c r="D36" s="52"/>
      <c r="E36" s="52"/>
      <c r="F36" s="52"/>
      <c r="G36" s="52"/>
      <c r="H36" s="52"/>
    </row>
    <row r="37" spans="1:8" x14ac:dyDescent="0.25">
      <c r="A37" s="55" t="s">
        <v>62</v>
      </c>
      <c r="B37" s="56">
        <v>1301</v>
      </c>
      <c r="C37" s="52"/>
      <c r="D37" s="52"/>
      <c r="E37" s="52"/>
      <c r="F37" s="52"/>
      <c r="G37" s="52"/>
      <c r="H37" s="52"/>
    </row>
    <row r="38" spans="1:8" x14ac:dyDescent="0.25">
      <c r="A38" s="55" t="s">
        <v>63</v>
      </c>
      <c r="B38" s="56">
        <v>1686</v>
      </c>
      <c r="C38" s="52"/>
      <c r="D38" s="52"/>
      <c r="E38" s="52"/>
      <c r="F38" s="52"/>
      <c r="G38" s="52"/>
      <c r="H38" s="52"/>
    </row>
    <row r="39" spans="1:8" x14ac:dyDescent="0.25">
      <c r="A39" s="55" t="s">
        <v>64</v>
      </c>
      <c r="B39" s="56">
        <v>2046</v>
      </c>
      <c r="C39" s="52"/>
      <c r="D39" s="52"/>
      <c r="E39" s="52"/>
      <c r="F39" s="52"/>
      <c r="G39" s="52"/>
      <c r="H39" s="52"/>
    </row>
    <row r="40" spans="1:8" x14ac:dyDescent="0.25">
      <c r="A40" s="55" t="s">
        <v>65</v>
      </c>
      <c r="B40" s="56">
        <v>2310</v>
      </c>
      <c r="C40" s="52"/>
      <c r="D40" s="52"/>
      <c r="E40" s="52"/>
      <c r="F40" s="52"/>
      <c r="G40" s="52"/>
      <c r="H40" s="52"/>
    </row>
    <row r="41" spans="1:8" x14ac:dyDescent="0.25">
      <c r="A41" s="55" t="s">
        <v>66</v>
      </c>
      <c r="B41" s="56">
        <v>2800</v>
      </c>
      <c r="C41" s="52" t="s">
        <v>45</v>
      </c>
      <c r="D41" s="52"/>
      <c r="E41" s="52"/>
      <c r="F41" s="52"/>
      <c r="G41" s="52"/>
      <c r="H41" s="52"/>
    </row>
    <row r="42" spans="1:8" x14ac:dyDescent="0.25">
      <c r="A42" s="55" t="s">
        <v>67</v>
      </c>
      <c r="B42" s="56">
        <v>125</v>
      </c>
      <c r="C42" s="52"/>
      <c r="D42" s="52"/>
      <c r="E42" s="52"/>
      <c r="F42" s="52"/>
      <c r="G42" s="52"/>
      <c r="H42" s="52"/>
    </row>
    <row r="43" spans="1:8" x14ac:dyDescent="0.25">
      <c r="A43" s="47"/>
      <c r="B43" s="173" t="s">
        <v>68</v>
      </c>
      <c r="C43" s="173"/>
      <c r="D43" s="47"/>
      <c r="E43" s="47"/>
      <c r="F43" s="47"/>
      <c r="G43" s="47"/>
      <c r="H43" s="47"/>
    </row>
    <row r="44" spans="1:8" x14ac:dyDescent="0.25">
      <c r="A44" s="47"/>
      <c r="B44" s="47"/>
      <c r="C44" s="47"/>
      <c r="D44" s="47"/>
      <c r="E44" s="47"/>
      <c r="F44" s="47"/>
      <c r="G44" s="47"/>
      <c r="H44" s="47"/>
    </row>
    <row r="45" spans="1:8" x14ac:dyDescent="0.25">
      <c r="A45" s="47"/>
      <c r="B45" s="47"/>
      <c r="C45" s="47"/>
      <c r="D45" s="47"/>
      <c r="E45" s="47"/>
      <c r="F45" s="47"/>
      <c r="G45" s="47"/>
      <c r="H45" s="47"/>
    </row>
    <row r="46" spans="1:8" x14ac:dyDescent="0.25">
      <c r="A46" s="60" t="s">
        <v>69</v>
      </c>
      <c r="B46" s="61" t="s">
        <v>70</v>
      </c>
      <c r="C46" s="61" t="s">
        <v>71</v>
      </c>
      <c r="D46" s="47"/>
      <c r="E46" s="47"/>
      <c r="F46" s="174" t="s">
        <v>72</v>
      </c>
      <c r="G46" s="174"/>
      <c r="H46" s="47"/>
    </row>
    <row r="47" spans="1:8" x14ac:dyDescent="0.25">
      <c r="A47" s="62" t="s">
        <v>73</v>
      </c>
      <c r="B47" s="121">
        <v>105</v>
      </c>
      <c r="C47" s="122">
        <f>B47/2000</f>
        <v>5.2499999999999998E-2</v>
      </c>
      <c r="D47" s="47"/>
      <c r="E47" s="47"/>
      <c r="F47" s="47" t="s">
        <v>74</v>
      </c>
      <c r="G47" s="141">
        <v>1.7500000000000002E-2</v>
      </c>
      <c r="H47" s="47"/>
    </row>
    <row r="48" spans="1:8" x14ac:dyDescent="0.25">
      <c r="A48" s="62" t="s">
        <v>75</v>
      </c>
      <c r="B48" s="120">
        <v>137</v>
      </c>
      <c r="C48" s="123">
        <f>B48/2000</f>
        <v>6.8500000000000005E-2</v>
      </c>
      <c r="D48" s="47"/>
      <c r="E48" s="47"/>
      <c r="F48" s="47" t="s">
        <v>76</v>
      </c>
      <c r="G48" s="142">
        <v>5.1000000000000004E-3</v>
      </c>
      <c r="H48" s="47"/>
    </row>
    <row r="49" spans="1:8" x14ac:dyDescent="0.25">
      <c r="A49" s="55" t="s">
        <v>77</v>
      </c>
      <c r="B49" s="121">
        <f>B48-B47</f>
        <v>32</v>
      </c>
      <c r="C49" s="124">
        <f>C48-C47</f>
        <v>1.6000000000000007E-2</v>
      </c>
      <c r="D49" s="47"/>
      <c r="E49" s="47"/>
      <c r="F49" s="47" t="s">
        <v>78</v>
      </c>
      <c r="G49" s="149">
        <v>4.2700000000000004E-3</v>
      </c>
      <c r="H49" s="47"/>
    </row>
    <row r="50" spans="1:8" x14ac:dyDescent="0.25">
      <c r="A50" s="47"/>
      <c r="B50" s="47"/>
      <c r="C50" s="47"/>
      <c r="D50" s="47"/>
      <c r="E50" s="47"/>
      <c r="G50" s="147">
        <f>SUM(G47:G49)</f>
        <v>2.6870000000000002E-2</v>
      </c>
      <c r="H50" s="47"/>
    </row>
    <row r="51" spans="1:8" x14ac:dyDescent="0.25">
      <c r="A51" s="47"/>
      <c r="C51" s="63" t="s">
        <v>79</v>
      </c>
      <c r="D51" s="47"/>
      <c r="E51" s="47"/>
      <c r="H51" s="47"/>
    </row>
    <row r="52" spans="1:8" x14ac:dyDescent="0.25">
      <c r="A52" s="47" t="s">
        <v>80</v>
      </c>
      <c r="C52" s="64">
        <f>B49</f>
        <v>32</v>
      </c>
      <c r="D52" s="47"/>
      <c r="E52" s="47"/>
      <c r="F52" s="47"/>
      <c r="G52" s="143"/>
      <c r="H52" s="47"/>
    </row>
    <row r="53" spans="1:8" x14ac:dyDescent="0.25">
      <c r="A53" s="47" t="s">
        <v>82</v>
      </c>
      <c r="C53" s="64">
        <f>C52/$G$57</f>
        <v>32.883581844152374</v>
      </c>
      <c r="D53" s="47"/>
      <c r="E53" s="47"/>
      <c r="F53" s="47" t="s">
        <v>3</v>
      </c>
      <c r="G53" s="144">
        <f>+G52+G50</f>
        <v>2.6870000000000002E-2</v>
      </c>
      <c r="H53" s="47"/>
    </row>
    <row r="54" spans="1:8" x14ac:dyDescent="0.25">
      <c r="A54" s="47" t="s">
        <v>83</v>
      </c>
      <c r="C54" s="66">
        <f>'Calc. and priceout'!C108</f>
        <v>17582.550900000002</v>
      </c>
      <c r="D54" s="47"/>
      <c r="E54" s="47"/>
      <c r="F54" s="47"/>
      <c r="G54" s="47"/>
      <c r="H54" s="47"/>
    </row>
    <row r="55" spans="1:8" ht="17.25" x14ac:dyDescent="0.4">
      <c r="A55" s="53" t="s">
        <v>84</v>
      </c>
      <c r="C55" s="146">
        <f>C53*C54</f>
        <v>578177.25154912507</v>
      </c>
      <c r="D55" s="47"/>
      <c r="E55" s="47"/>
      <c r="F55" s="47"/>
      <c r="G55" s="65"/>
      <c r="H55" s="47"/>
    </row>
    <row r="56" spans="1:8" x14ac:dyDescent="0.25">
      <c r="A56" s="47"/>
      <c r="B56" s="47"/>
      <c r="C56" s="47"/>
      <c r="D56" s="47"/>
      <c r="E56" s="47"/>
      <c r="F56" s="47"/>
      <c r="G56" s="47"/>
      <c r="H56" s="47"/>
    </row>
    <row r="57" spans="1:8" x14ac:dyDescent="0.25">
      <c r="A57" s="47" t="s">
        <v>109</v>
      </c>
      <c r="C57" s="137">
        <f>+'Co. Pro Tonnage'!J11</f>
        <v>9874.9199999999837</v>
      </c>
      <c r="F57" s="47" t="s">
        <v>81</v>
      </c>
      <c r="G57" s="65">
        <f>1-G53</f>
        <v>0.97313000000000005</v>
      </c>
    </row>
    <row r="58" spans="1:8" ht="17.25" x14ac:dyDescent="0.4">
      <c r="A58" s="47"/>
      <c r="B58" s="148"/>
      <c r="C58" s="138"/>
    </row>
    <row r="59" spans="1:8" ht="17.25" x14ac:dyDescent="0.4">
      <c r="A59" s="53"/>
      <c r="B59" s="137"/>
      <c r="C59" s="139">
        <f>+C57+C55</f>
        <v>588052.17154912511</v>
      </c>
    </row>
    <row r="60" spans="1:8" ht="17.25" x14ac:dyDescent="0.4">
      <c r="A60" s="53"/>
      <c r="B60" s="136"/>
      <c r="C60" s="139"/>
    </row>
    <row r="61" spans="1:8" ht="17.25" x14ac:dyDescent="0.4">
      <c r="A61" s="53"/>
      <c r="B61" s="138"/>
      <c r="C61" s="139"/>
    </row>
    <row r="62" spans="1:8" ht="17.25" x14ac:dyDescent="0.4">
      <c r="A62" s="53"/>
      <c r="B62" s="150"/>
      <c r="C62" s="139"/>
    </row>
    <row r="64" spans="1:8" ht="48.75" customHeight="1" x14ac:dyDescent="0.25">
      <c r="A64" s="175"/>
      <c r="B64" s="175"/>
    </row>
  </sheetData>
  <mergeCells count="5">
    <mergeCell ref="A1:H1"/>
    <mergeCell ref="A11:B11"/>
    <mergeCell ref="B43:C43"/>
    <mergeCell ref="F46:G46"/>
    <mergeCell ref="A64:B64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9"/>
  <sheetViews>
    <sheetView tabSelected="1" zoomScaleNormal="100" workbookViewId="0">
      <pane xSplit="3" ySplit="1" topLeftCell="K2" activePane="bottomRight" state="frozen"/>
      <selection pane="topRight" activeCell="D1" sqref="D1"/>
      <selection pane="bottomLeft" activeCell="A2" sqref="A2"/>
      <selection pane="bottomRight" activeCell="N37" sqref="N37"/>
    </sheetView>
  </sheetViews>
  <sheetFormatPr defaultColWidth="8.85546875" defaultRowHeight="15" x14ac:dyDescent="0.25"/>
  <cols>
    <col min="1" max="1" width="4.5703125" style="71" customWidth="1"/>
    <col min="2" max="2" width="21.140625" style="90" customWidth="1"/>
    <col min="3" max="3" width="31.7109375" style="71" bestFit="1" customWidth="1"/>
    <col min="4" max="4" width="11.5703125" style="94" customWidth="1"/>
    <col min="5" max="5" width="18.42578125" style="71" customWidth="1"/>
    <col min="6" max="6" width="13.28515625" style="71" customWidth="1"/>
    <col min="7" max="7" width="14.5703125" style="71" customWidth="1"/>
    <col min="8" max="8" width="21.42578125" style="71" customWidth="1"/>
    <col min="9" max="9" width="16.28515625" style="89" customWidth="1"/>
    <col min="10" max="10" width="14.140625" style="71" customWidth="1"/>
    <col min="11" max="11" width="14.28515625" style="71" customWidth="1"/>
    <col min="12" max="12" width="10.7109375" style="71" customWidth="1"/>
    <col min="13" max="13" width="14.28515625" style="71" customWidth="1"/>
    <col min="14" max="14" width="16.28515625" style="71" customWidth="1"/>
    <col min="15" max="15" width="16.5703125" style="71" customWidth="1"/>
    <col min="16" max="16" width="13.5703125" style="71" bestFit="1" customWidth="1"/>
    <col min="17" max="17" width="16.5703125" style="71" bestFit="1" customWidth="1"/>
    <col min="18" max="18" width="16.28515625" style="71" customWidth="1"/>
    <col min="19" max="19" width="8.85546875" style="71"/>
    <col min="20" max="20" width="8.85546875" style="71" customWidth="1"/>
    <col min="21" max="21" width="11.5703125" style="71" customWidth="1"/>
    <col min="22" max="23" width="8.85546875" style="71"/>
    <col min="24" max="24" width="13" style="71" bestFit="1" customWidth="1"/>
    <col min="25" max="25" width="12.28515625" style="71" bestFit="1" customWidth="1"/>
    <col min="26" max="16384" width="8.85546875" style="71"/>
  </cols>
  <sheetData>
    <row r="1" spans="1:25" ht="42" customHeight="1" x14ac:dyDescent="0.25">
      <c r="A1" s="60"/>
      <c r="B1" s="67" t="s">
        <v>85</v>
      </c>
      <c r="C1" s="68" t="s">
        <v>86</v>
      </c>
      <c r="D1" s="67" t="s">
        <v>198</v>
      </c>
      <c r="E1" s="67" t="s">
        <v>87</v>
      </c>
      <c r="F1" s="60" t="s">
        <v>88</v>
      </c>
      <c r="G1" s="67" t="s">
        <v>31</v>
      </c>
      <c r="H1" s="69" t="s">
        <v>89</v>
      </c>
      <c r="I1" s="70" t="s">
        <v>90</v>
      </c>
      <c r="J1" s="67" t="s">
        <v>77</v>
      </c>
      <c r="K1" s="67" t="s">
        <v>91</v>
      </c>
      <c r="L1" s="69" t="s">
        <v>92</v>
      </c>
      <c r="M1" s="67" t="s">
        <v>93</v>
      </c>
      <c r="N1" s="69" t="s">
        <v>108</v>
      </c>
      <c r="O1" s="69" t="s">
        <v>94</v>
      </c>
      <c r="P1" s="67" t="s">
        <v>95</v>
      </c>
      <c r="Q1" s="69" t="s">
        <v>96</v>
      </c>
      <c r="R1" s="67" t="s">
        <v>97</v>
      </c>
      <c r="Y1" s="71" t="s">
        <v>67</v>
      </c>
    </row>
    <row r="2" spans="1:25" s="75" customFormat="1" x14ac:dyDescent="0.25">
      <c r="A2" s="176" t="s">
        <v>98</v>
      </c>
      <c r="B2" s="72">
        <v>23</v>
      </c>
      <c r="C2" s="153" t="s">
        <v>184</v>
      </c>
      <c r="D2" s="156">
        <v>133</v>
      </c>
      <c r="E2" s="77">
        <v>1</v>
      </c>
      <c r="F2" s="115">
        <f>+E2*D2*12</f>
        <v>1596</v>
      </c>
      <c r="G2" s="129">
        <f>+References!B14</f>
        <v>34</v>
      </c>
      <c r="H2" s="96">
        <f>G2*F2</f>
        <v>54264</v>
      </c>
      <c r="I2" s="76">
        <f t="shared" ref="I2:I26" si="0">$C$111*H2</f>
        <v>40690.121759068832</v>
      </c>
      <c r="J2" s="73">
        <f>(References!$C$49*I2)</f>
        <v>651.04194814510163</v>
      </c>
      <c r="K2" s="73">
        <f>J2/References!$G$57</f>
        <v>669.01847455643292</v>
      </c>
      <c r="L2" s="135">
        <f>ROUND(((K2/F2)*E2),2)</f>
        <v>0.42</v>
      </c>
      <c r="M2" s="116">
        <v>6.41</v>
      </c>
      <c r="N2" s="73">
        <f>L2+M2</f>
        <v>6.83</v>
      </c>
      <c r="O2" s="73">
        <f>D2*M2*12</f>
        <v>10230.36</v>
      </c>
      <c r="P2" s="74">
        <f>N2</f>
        <v>6.83</v>
      </c>
      <c r="Q2" s="74">
        <f>D2*P2*12</f>
        <v>10900.68</v>
      </c>
      <c r="R2" s="74">
        <f>Q2-O2</f>
        <v>670.31999999999971</v>
      </c>
      <c r="U2" s="151">
        <f>+N2/M2-1</f>
        <v>6.5522620904836071E-2</v>
      </c>
      <c r="V2" s="27"/>
    </row>
    <row r="3" spans="1:25" s="75" customFormat="1" x14ac:dyDescent="0.25">
      <c r="A3" s="176"/>
      <c r="B3" s="72">
        <v>25</v>
      </c>
      <c r="C3" s="153" t="s">
        <v>185</v>
      </c>
      <c r="D3" s="156">
        <v>2</v>
      </c>
      <c r="E3" s="77">
        <v>1</v>
      </c>
      <c r="F3" s="118">
        <f>+E3*D3*12</f>
        <v>24</v>
      </c>
      <c r="G3" s="129">
        <f>+G2</f>
        <v>34</v>
      </c>
      <c r="H3" s="118">
        <f>G3*F3</f>
        <v>816</v>
      </c>
      <c r="I3" s="76">
        <f t="shared" si="0"/>
        <v>611.88153021156131</v>
      </c>
      <c r="J3" s="119">
        <f>(References!$C$49*I3)</f>
        <v>9.7901044833849848</v>
      </c>
      <c r="K3" s="119">
        <f>J3/References!$G$57</f>
        <v>10.060428188818538</v>
      </c>
      <c r="L3" s="135">
        <f>ROUND(((K3/F3)*E3),2)</f>
        <v>0.42</v>
      </c>
      <c r="M3" s="116">
        <v>7.61</v>
      </c>
      <c r="N3" s="119">
        <f>L3+M3</f>
        <v>8.0300000000000011</v>
      </c>
      <c r="O3" s="119">
        <f>D3*M3*12</f>
        <v>182.64000000000001</v>
      </c>
      <c r="P3" s="74">
        <f>N3</f>
        <v>8.0300000000000011</v>
      </c>
      <c r="Q3" s="74">
        <f>D3*P3*12</f>
        <v>192.72000000000003</v>
      </c>
      <c r="R3" s="74">
        <f>Q3-O3</f>
        <v>10.080000000000013</v>
      </c>
      <c r="U3" s="151">
        <f>+N3/M3-1</f>
        <v>5.5190538764783303E-2</v>
      </c>
      <c r="V3" s="27"/>
    </row>
    <row r="4" spans="1:25" s="75" customFormat="1" x14ac:dyDescent="0.25">
      <c r="A4" s="176"/>
      <c r="B4" s="72">
        <v>23</v>
      </c>
      <c r="C4" s="153" t="s">
        <v>113</v>
      </c>
      <c r="D4" s="156">
        <v>363</v>
      </c>
      <c r="E4" s="77">
        <v>2.1666666666666665</v>
      </c>
      <c r="F4" s="152">
        <f t="shared" ref="F4:F26" si="1">+E4*D4*12</f>
        <v>9438</v>
      </c>
      <c r="G4" s="129">
        <f>+G3</f>
        <v>34</v>
      </c>
      <c r="H4" s="152">
        <f t="shared" ref="H4:H26" si="2">G4*F4</f>
        <v>320892</v>
      </c>
      <c r="I4" s="76">
        <f t="shared" si="0"/>
        <v>240622.41175569649</v>
      </c>
      <c r="J4" s="119">
        <f>(References!$C$49*I4)</f>
        <v>3849.9585880911454</v>
      </c>
      <c r="K4" s="119">
        <f>J4/References!$G$57</f>
        <v>3956.2633852528902</v>
      </c>
      <c r="L4" s="135">
        <f t="shared" ref="L4:L26" si="3">ROUND(((K4/F4)*E4),2)</f>
        <v>0.91</v>
      </c>
      <c r="M4" s="116">
        <v>13.06</v>
      </c>
      <c r="N4" s="119">
        <f t="shared" ref="N4:N26" si="4">L4+M4</f>
        <v>13.97</v>
      </c>
      <c r="O4" s="119">
        <f t="shared" ref="O4:O26" si="5">D4*M4*12</f>
        <v>56889.36</v>
      </c>
      <c r="P4" s="74">
        <f t="shared" ref="P4:P26" si="6">N4</f>
        <v>13.97</v>
      </c>
      <c r="Q4" s="74">
        <f t="shared" ref="Q4:Q26" si="7">D4*P4*12</f>
        <v>60853.320000000007</v>
      </c>
      <c r="R4" s="74">
        <f t="shared" ref="R4:R26" si="8">Q4-O4</f>
        <v>3963.9600000000064</v>
      </c>
      <c r="U4" s="151">
        <f t="shared" ref="U4:U26" si="9">+N4/M4-1</f>
        <v>6.9678407350689087E-2</v>
      </c>
      <c r="V4" s="27"/>
    </row>
    <row r="5" spans="1:25" s="75" customFormat="1" x14ac:dyDescent="0.25">
      <c r="A5" s="176"/>
      <c r="B5" s="72">
        <v>23</v>
      </c>
      <c r="C5" s="153" t="s">
        <v>186</v>
      </c>
      <c r="D5" s="156">
        <v>86</v>
      </c>
      <c r="E5" s="77">
        <v>4.3330000000000002</v>
      </c>
      <c r="F5" s="152">
        <f t="shared" si="1"/>
        <v>4471.6560000000009</v>
      </c>
      <c r="G5" s="129">
        <f>+References!B13</f>
        <v>20</v>
      </c>
      <c r="H5" s="152">
        <f t="shared" si="2"/>
        <v>89433.120000000024</v>
      </c>
      <c r="I5" s="76">
        <f t="shared" si="0"/>
        <v>67061.855780875252</v>
      </c>
      <c r="J5" s="119">
        <f>(References!$C$49*I5)</f>
        <v>1072.9896924940044</v>
      </c>
      <c r="K5" s="119">
        <f>J5/References!$G$57</f>
        <v>1102.6170115955777</v>
      </c>
      <c r="L5" s="135">
        <f t="shared" si="3"/>
        <v>1.07</v>
      </c>
      <c r="M5" s="116">
        <v>15.350000000000001</v>
      </c>
      <c r="N5" s="119">
        <f t="shared" si="4"/>
        <v>16.420000000000002</v>
      </c>
      <c r="O5" s="119">
        <f t="shared" si="5"/>
        <v>15841.2</v>
      </c>
      <c r="P5" s="74">
        <f t="shared" si="6"/>
        <v>16.420000000000002</v>
      </c>
      <c r="Q5" s="74">
        <f t="shared" si="7"/>
        <v>16945.440000000002</v>
      </c>
      <c r="R5" s="74">
        <f t="shared" si="8"/>
        <v>1104.2400000000016</v>
      </c>
      <c r="U5" s="151">
        <f t="shared" si="9"/>
        <v>6.9706840390879599E-2</v>
      </c>
      <c r="V5" s="27"/>
    </row>
    <row r="6" spans="1:25" s="75" customFormat="1" x14ac:dyDescent="0.25">
      <c r="A6" s="176"/>
      <c r="B6" s="72">
        <v>23</v>
      </c>
      <c r="C6" s="153" t="s">
        <v>187</v>
      </c>
      <c r="D6" s="156">
        <v>2</v>
      </c>
      <c r="E6" s="77">
        <v>4.3330000000000002</v>
      </c>
      <c r="F6" s="152">
        <f t="shared" si="1"/>
        <v>103.992</v>
      </c>
      <c r="G6" s="129">
        <f>+G5</f>
        <v>20</v>
      </c>
      <c r="H6" s="152">
        <f t="shared" si="2"/>
        <v>2079.84</v>
      </c>
      <c r="I6" s="76">
        <f t="shared" si="0"/>
        <v>1559.5780414157032</v>
      </c>
      <c r="J6" s="119">
        <f>(References!$C$49*I6)</f>
        <v>24.953248662651262</v>
      </c>
      <c r="K6" s="119">
        <f>J6/References!$G$57</f>
        <v>25.642256083618079</v>
      </c>
      <c r="L6" s="135">
        <f t="shared" si="3"/>
        <v>1.07</v>
      </c>
      <c r="M6" s="116">
        <v>30.490000000000002</v>
      </c>
      <c r="N6" s="119">
        <f t="shared" si="4"/>
        <v>31.560000000000002</v>
      </c>
      <c r="O6" s="119">
        <f t="shared" si="5"/>
        <v>731.76</v>
      </c>
      <c r="P6" s="74">
        <f t="shared" si="6"/>
        <v>31.560000000000002</v>
      </c>
      <c r="Q6" s="74">
        <f t="shared" si="7"/>
        <v>757.44</v>
      </c>
      <c r="R6" s="74">
        <f t="shared" si="8"/>
        <v>25.680000000000064</v>
      </c>
      <c r="U6" s="151">
        <f t="shared" si="9"/>
        <v>3.5093473269924624E-2</v>
      </c>
      <c r="V6" s="27"/>
    </row>
    <row r="7" spans="1:25" s="75" customFormat="1" x14ac:dyDescent="0.25">
      <c r="A7" s="176"/>
      <c r="B7" s="72">
        <v>23</v>
      </c>
      <c r="C7" s="153" t="s">
        <v>114</v>
      </c>
      <c r="D7" s="156">
        <v>2507</v>
      </c>
      <c r="E7" s="77">
        <v>4.3330000000000002</v>
      </c>
      <c r="F7" s="152">
        <f t="shared" si="1"/>
        <v>130353.97200000001</v>
      </c>
      <c r="G7" s="129">
        <f>+G4</f>
        <v>34</v>
      </c>
      <c r="H7" s="152">
        <f t="shared" si="2"/>
        <v>4432035.0480000004</v>
      </c>
      <c r="I7" s="76">
        <f t="shared" si="0"/>
        <v>3323382.827354793</v>
      </c>
      <c r="J7" s="119">
        <f>(References!$C$49*I7)</f>
        <v>53174.125237676715</v>
      </c>
      <c r="K7" s="119">
        <f>J7/References!$G$57</f>
        <v>54642.365601385951</v>
      </c>
      <c r="L7" s="135">
        <f t="shared" si="3"/>
        <v>1.82</v>
      </c>
      <c r="M7" s="116">
        <v>17.989999999999998</v>
      </c>
      <c r="N7" s="119">
        <f t="shared" si="4"/>
        <v>19.809999999999999</v>
      </c>
      <c r="O7" s="119">
        <f t="shared" si="5"/>
        <v>541211.15999999992</v>
      </c>
      <c r="P7" s="74">
        <f t="shared" si="6"/>
        <v>19.809999999999999</v>
      </c>
      <c r="Q7" s="74">
        <f t="shared" si="7"/>
        <v>595964.04</v>
      </c>
      <c r="R7" s="74">
        <f t="shared" si="8"/>
        <v>54752.880000000121</v>
      </c>
      <c r="U7" s="151">
        <f t="shared" si="9"/>
        <v>0.10116731517509736</v>
      </c>
      <c r="V7" s="27"/>
    </row>
    <row r="8" spans="1:25" s="75" customFormat="1" x14ac:dyDescent="0.25">
      <c r="A8" s="176"/>
      <c r="B8" s="72">
        <v>23</v>
      </c>
      <c r="C8" s="153" t="s">
        <v>115</v>
      </c>
      <c r="D8" s="156">
        <f>543+543</f>
        <v>1086</v>
      </c>
      <c r="E8" s="77">
        <v>4.3330000000000002</v>
      </c>
      <c r="F8" s="152">
        <f t="shared" si="1"/>
        <v>56467.656000000003</v>
      </c>
      <c r="G8" s="129">
        <f>+G7</f>
        <v>34</v>
      </c>
      <c r="H8" s="152">
        <f t="shared" si="2"/>
        <v>1919900.304</v>
      </c>
      <c r="I8" s="76">
        <f t="shared" si="0"/>
        <v>1439646.4900308356</v>
      </c>
      <c r="J8" s="119">
        <f>(References!$C$49*I8)</f>
        <v>23034.34384049338</v>
      </c>
      <c r="K8" s="119">
        <f>J8/References!$G$57</f>
        <v>23670.366590787849</v>
      </c>
      <c r="L8" s="135">
        <f t="shared" si="3"/>
        <v>1.82</v>
      </c>
      <c r="M8" s="116">
        <v>26.89</v>
      </c>
      <c r="N8" s="119">
        <f t="shared" si="4"/>
        <v>28.71</v>
      </c>
      <c r="O8" s="119">
        <f t="shared" si="5"/>
        <v>350430.48</v>
      </c>
      <c r="P8" s="74">
        <f t="shared" si="6"/>
        <v>28.71</v>
      </c>
      <c r="Q8" s="74">
        <f t="shared" si="7"/>
        <v>374148.72000000003</v>
      </c>
      <c r="R8" s="74">
        <f t="shared" si="8"/>
        <v>23718.240000000049</v>
      </c>
      <c r="U8" s="151">
        <f t="shared" si="9"/>
        <v>6.7683153588694589E-2</v>
      </c>
      <c r="V8" s="27"/>
    </row>
    <row r="9" spans="1:25" s="75" customFormat="1" x14ac:dyDescent="0.25">
      <c r="A9" s="176"/>
      <c r="B9" s="72">
        <v>23</v>
      </c>
      <c r="C9" s="153" t="s">
        <v>116</v>
      </c>
      <c r="D9" s="156">
        <v>120</v>
      </c>
      <c r="E9" s="77">
        <v>4.3330000000000002</v>
      </c>
      <c r="F9" s="152">
        <f t="shared" si="1"/>
        <v>6239.52</v>
      </c>
      <c r="G9" s="129">
        <f>+G8</f>
        <v>34</v>
      </c>
      <c r="H9" s="152">
        <f t="shared" si="2"/>
        <v>212143.68000000002</v>
      </c>
      <c r="I9" s="76">
        <f t="shared" si="0"/>
        <v>159076.96022440173</v>
      </c>
      <c r="J9" s="119">
        <f>(References!$C$49*I9)</f>
        <v>2545.2313635904288</v>
      </c>
      <c r="K9" s="119">
        <f>J9/References!$G$57</f>
        <v>2615.5101205290439</v>
      </c>
      <c r="L9" s="135">
        <f t="shared" si="3"/>
        <v>1.82</v>
      </c>
      <c r="M9" s="116">
        <v>35.799999999999997</v>
      </c>
      <c r="N9" s="119">
        <f t="shared" si="4"/>
        <v>37.619999999999997</v>
      </c>
      <c r="O9" s="119">
        <f t="shared" si="5"/>
        <v>51552</v>
      </c>
      <c r="P9" s="74">
        <f t="shared" si="6"/>
        <v>37.619999999999997</v>
      </c>
      <c r="Q9" s="74">
        <f t="shared" si="7"/>
        <v>54172.799999999996</v>
      </c>
      <c r="R9" s="74">
        <f t="shared" si="8"/>
        <v>2620.7999999999956</v>
      </c>
      <c r="U9" s="151">
        <f t="shared" si="9"/>
        <v>5.0837988826815561E-2</v>
      </c>
      <c r="V9" s="27"/>
    </row>
    <row r="10" spans="1:25" s="75" customFormat="1" x14ac:dyDescent="0.25">
      <c r="A10" s="176"/>
      <c r="B10" s="72">
        <v>23</v>
      </c>
      <c r="C10" s="153" t="s">
        <v>188</v>
      </c>
      <c r="D10" s="156">
        <v>36</v>
      </c>
      <c r="E10" s="77">
        <v>4.3330000000000002</v>
      </c>
      <c r="F10" s="152">
        <f t="shared" si="1"/>
        <v>1871.856</v>
      </c>
      <c r="G10" s="129">
        <f>+G9</f>
        <v>34</v>
      </c>
      <c r="H10" s="152">
        <f t="shared" si="2"/>
        <v>63643.103999999999</v>
      </c>
      <c r="I10" s="76">
        <f t="shared" si="0"/>
        <v>47723.088067320517</v>
      </c>
      <c r="J10" s="119">
        <f>(References!$C$49*I10)</f>
        <v>763.56940907712863</v>
      </c>
      <c r="K10" s="119">
        <f>J10/References!$G$57</f>
        <v>784.65303615871323</v>
      </c>
      <c r="L10" s="135">
        <f t="shared" si="3"/>
        <v>1.82</v>
      </c>
      <c r="M10" s="116">
        <v>44.71</v>
      </c>
      <c r="N10" s="119">
        <f t="shared" si="4"/>
        <v>46.53</v>
      </c>
      <c r="O10" s="119">
        <f t="shared" si="5"/>
        <v>19314.72</v>
      </c>
      <c r="P10" s="74">
        <f t="shared" si="6"/>
        <v>46.53</v>
      </c>
      <c r="Q10" s="74">
        <f t="shared" si="7"/>
        <v>20100.96</v>
      </c>
      <c r="R10" s="74">
        <f t="shared" si="8"/>
        <v>786.23999999999796</v>
      </c>
      <c r="U10" s="151">
        <f t="shared" si="9"/>
        <v>4.0706777007381012E-2</v>
      </c>
      <c r="V10" s="27"/>
    </row>
    <row r="11" spans="1:25" s="75" customFormat="1" x14ac:dyDescent="0.25">
      <c r="A11" s="176"/>
      <c r="B11" s="72">
        <v>23</v>
      </c>
      <c r="C11" s="153" t="s">
        <v>189</v>
      </c>
      <c r="D11" s="156">
        <v>5</v>
      </c>
      <c r="E11" s="77">
        <v>4.3330000000000002</v>
      </c>
      <c r="F11" s="152">
        <f t="shared" si="1"/>
        <v>259.98</v>
      </c>
      <c r="G11" s="129">
        <f>+G10</f>
        <v>34</v>
      </c>
      <c r="H11" s="152">
        <f t="shared" si="2"/>
        <v>8839.32</v>
      </c>
      <c r="I11" s="76">
        <f t="shared" si="0"/>
        <v>6628.2066760167381</v>
      </c>
      <c r="J11" s="119">
        <f>(References!$C$49*I11)</f>
        <v>106.05130681626785</v>
      </c>
      <c r="K11" s="119">
        <f>J11/References!$G$57</f>
        <v>108.97958835537682</v>
      </c>
      <c r="L11" s="135">
        <f t="shared" si="3"/>
        <v>1.82</v>
      </c>
      <c r="M11" s="116">
        <v>53.61</v>
      </c>
      <c r="N11" s="119">
        <f t="shared" si="4"/>
        <v>55.43</v>
      </c>
      <c r="O11" s="119">
        <f t="shared" si="5"/>
        <v>3216.6000000000004</v>
      </c>
      <c r="P11" s="74">
        <f t="shared" si="6"/>
        <v>55.43</v>
      </c>
      <c r="Q11" s="74">
        <f t="shared" si="7"/>
        <v>3325.7999999999997</v>
      </c>
      <c r="R11" s="74">
        <f t="shared" si="8"/>
        <v>109.19999999999936</v>
      </c>
      <c r="U11" s="151">
        <f t="shared" si="9"/>
        <v>3.394889013243807E-2</v>
      </c>
      <c r="V11" s="27"/>
    </row>
    <row r="12" spans="1:25" s="75" customFormat="1" x14ac:dyDescent="0.25">
      <c r="A12" s="176"/>
      <c r="B12" s="72">
        <v>23</v>
      </c>
      <c r="C12" s="153" t="s">
        <v>190</v>
      </c>
      <c r="D12" s="156">
        <v>6</v>
      </c>
      <c r="E12" s="77">
        <v>4.3330000000000002</v>
      </c>
      <c r="F12" s="152">
        <f t="shared" si="1"/>
        <v>311.976</v>
      </c>
      <c r="G12" s="129">
        <f>+G11</f>
        <v>34</v>
      </c>
      <c r="H12" s="152">
        <f t="shared" si="2"/>
        <v>10607.183999999999</v>
      </c>
      <c r="I12" s="76">
        <f t="shared" si="0"/>
        <v>7953.848011220085</v>
      </c>
      <c r="J12" s="119">
        <f>(References!$C$49*I12)</f>
        <v>127.26156817952142</v>
      </c>
      <c r="K12" s="119">
        <f>J12/References!$G$57</f>
        <v>130.77550602645218</v>
      </c>
      <c r="L12" s="135">
        <f t="shared" si="3"/>
        <v>1.82</v>
      </c>
      <c r="M12" s="116">
        <v>62.52</v>
      </c>
      <c r="N12" s="119">
        <f t="shared" si="4"/>
        <v>64.34</v>
      </c>
      <c r="O12" s="119">
        <f t="shared" si="5"/>
        <v>4501.4400000000005</v>
      </c>
      <c r="P12" s="74">
        <f t="shared" si="6"/>
        <v>64.34</v>
      </c>
      <c r="Q12" s="74">
        <f t="shared" si="7"/>
        <v>4632.4800000000005</v>
      </c>
      <c r="R12" s="74">
        <f t="shared" si="8"/>
        <v>131.03999999999996</v>
      </c>
      <c r="U12" s="151">
        <f t="shared" si="9"/>
        <v>2.9110684580934132E-2</v>
      </c>
      <c r="V12" s="27"/>
    </row>
    <row r="13" spans="1:25" s="75" customFormat="1" x14ac:dyDescent="0.25">
      <c r="A13" s="176"/>
      <c r="B13" s="72">
        <v>23</v>
      </c>
      <c r="C13" s="153" t="s">
        <v>191</v>
      </c>
      <c r="D13" s="156">
        <v>446</v>
      </c>
      <c r="E13" s="77">
        <v>4.3330000000000002</v>
      </c>
      <c r="F13" s="152">
        <f t="shared" si="1"/>
        <v>23190.216</v>
      </c>
      <c r="G13" s="129">
        <f>+G5</f>
        <v>20</v>
      </c>
      <c r="H13" s="152">
        <f t="shared" si="2"/>
        <v>463804.32</v>
      </c>
      <c r="I13" s="76">
        <f t="shared" si="0"/>
        <v>347785.90323570179</v>
      </c>
      <c r="J13" s="119">
        <f>(References!$C$49*I13)</f>
        <v>5564.574451771231</v>
      </c>
      <c r="K13" s="119">
        <f>J13/References!$G$57</f>
        <v>5718.2231066468312</v>
      </c>
      <c r="L13" s="135">
        <f t="shared" si="3"/>
        <v>1.07</v>
      </c>
      <c r="M13" s="116">
        <v>17.04</v>
      </c>
      <c r="N13" s="119">
        <f t="shared" si="4"/>
        <v>18.11</v>
      </c>
      <c r="O13" s="119">
        <f t="shared" si="5"/>
        <v>91198.079999999987</v>
      </c>
      <c r="P13" s="74">
        <f t="shared" si="6"/>
        <v>18.11</v>
      </c>
      <c r="Q13" s="74">
        <f t="shared" si="7"/>
        <v>96924.72</v>
      </c>
      <c r="R13" s="74">
        <f t="shared" si="8"/>
        <v>5726.640000000014</v>
      </c>
      <c r="U13" s="151">
        <f t="shared" si="9"/>
        <v>6.2793427230046994E-2</v>
      </c>
      <c r="V13" s="27"/>
    </row>
    <row r="14" spans="1:25" s="75" customFormat="1" x14ac:dyDescent="0.25">
      <c r="A14" s="176"/>
      <c r="B14" s="72">
        <v>23</v>
      </c>
      <c r="C14" s="153" t="s">
        <v>192</v>
      </c>
      <c r="D14" s="156">
        <v>18</v>
      </c>
      <c r="E14" s="77">
        <v>1</v>
      </c>
      <c r="F14" s="152">
        <f t="shared" si="1"/>
        <v>216</v>
      </c>
      <c r="G14" s="129">
        <f>+References!B20</f>
        <v>37</v>
      </c>
      <c r="H14" s="152">
        <f t="shared" si="2"/>
        <v>7992</v>
      </c>
      <c r="I14" s="76">
        <f t="shared" si="0"/>
        <v>5992.8396929544097</v>
      </c>
      <c r="J14" s="119">
        <f>(References!$C$49*I14)</f>
        <v>95.885435087270594</v>
      </c>
      <c r="K14" s="119">
        <f>J14/References!$G$57</f>
        <v>98.533017261075699</v>
      </c>
      <c r="L14" s="135">
        <f t="shared" si="3"/>
        <v>0.46</v>
      </c>
      <c r="M14" s="116">
        <v>8.7299999999999969</v>
      </c>
      <c r="N14" s="119">
        <f t="shared" si="4"/>
        <v>9.1899999999999977</v>
      </c>
      <c r="O14" s="119">
        <f t="shared" si="5"/>
        <v>1885.6799999999992</v>
      </c>
      <c r="P14" s="74">
        <f t="shared" si="6"/>
        <v>9.1899999999999977</v>
      </c>
      <c r="Q14" s="74">
        <f t="shared" si="7"/>
        <v>1985.0399999999995</v>
      </c>
      <c r="R14" s="74">
        <f t="shared" si="8"/>
        <v>99.360000000000355</v>
      </c>
      <c r="U14" s="151">
        <f t="shared" si="9"/>
        <v>5.269186712485685E-2</v>
      </c>
      <c r="V14" s="27"/>
    </row>
    <row r="15" spans="1:25" s="75" customFormat="1" x14ac:dyDescent="0.25">
      <c r="A15" s="176"/>
      <c r="B15" s="72">
        <v>23</v>
      </c>
      <c r="C15" s="153" t="s">
        <v>193</v>
      </c>
      <c r="D15" s="156">
        <v>81</v>
      </c>
      <c r="E15" s="77">
        <v>1</v>
      </c>
      <c r="F15" s="152">
        <f t="shared" si="1"/>
        <v>972</v>
      </c>
      <c r="G15" s="129">
        <f t="shared" ref="G15:G20" si="10">+G14</f>
        <v>37</v>
      </c>
      <c r="H15" s="152">
        <f t="shared" si="2"/>
        <v>35964</v>
      </c>
      <c r="I15" s="76">
        <f t="shared" si="0"/>
        <v>26967.778618294844</v>
      </c>
      <c r="J15" s="119">
        <f>(References!$C$49*I15)</f>
        <v>431.48445789271767</v>
      </c>
      <c r="K15" s="119">
        <f>J15/References!$G$57</f>
        <v>443.39857767484062</v>
      </c>
      <c r="L15" s="135">
        <f t="shared" si="3"/>
        <v>0.46</v>
      </c>
      <c r="M15" s="116">
        <v>8.7299999999999969</v>
      </c>
      <c r="N15" s="119">
        <f t="shared" si="4"/>
        <v>9.1899999999999977</v>
      </c>
      <c r="O15" s="119">
        <f t="shared" si="5"/>
        <v>8485.5599999999977</v>
      </c>
      <c r="P15" s="74">
        <f t="shared" si="6"/>
        <v>9.1899999999999977</v>
      </c>
      <c r="Q15" s="74">
        <f t="shared" si="7"/>
        <v>8932.6799999999985</v>
      </c>
      <c r="R15" s="74">
        <f t="shared" si="8"/>
        <v>447.1200000000008</v>
      </c>
      <c r="U15" s="151">
        <f t="shared" si="9"/>
        <v>5.269186712485685E-2</v>
      </c>
      <c r="V15" s="27"/>
    </row>
    <row r="16" spans="1:25" s="75" customFormat="1" x14ac:dyDescent="0.25">
      <c r="A16" s="176"/>
      <c r="B16" s="72">
        <v>23</v>
      </c>
      <c r="C16" s="153" t="s">
        <v>194</v>
      </c>
      <c r="D16" s="156">
        <v>67</v>
      </c>
      <c r="E16" s="77">
        <v>2.1667000000000001</v>
      </c>
      <c r="F16" s="152">
        <f t="shared" si="1"/>
        <v>1742.0268000000001</v>
      </c>
      <c r="G16" s="129">
        <f t="shared" si="10"/>
        <v>37</v>
      </c>
      <c r="H16" s="152">
        <f t="shared" si="2"/>
        <v>64454.991600000001</v>
      </c>
      <c r="I16" s="76">
        <f t="shared" si="0"/>
        <v>48331.885894584964</v>
      </c>
      <c r="J16" s="119">
        <f>(References!$C$49*I16)</f>
        <v>773.31017431335977</v>
      </c>
      <c r="K16" s="119">
        <f>J16/References!$G$57</f>
        <v>794.66276274840948</v>
      </c>
      <c r="L16" s="135">
        <f t="shared" si="3"/>
        <v>0.99</v>
      </c>
      <c r="M16" s="116">
        <v>14.190000000000001</v>
      </c>
      <c r="N16" s="119">
        <f t="shared" si="4"/>
        <v>15.180000000000001</v>
      </c>
      <c r="O16" s="119">
        <f t="shared" si="5"/>
        <v>11408.760000000002</v>
      </c>
      <c r="P16" s="74">
        <f t="shared" si="6"/>
        <v>15.180000000000001</v>
      </c>
      <c r="Q16" s="74">
        <f t="shared" si="7"/>
        <v>12204.720000000001</v>
      </c>
      <c r="R16" s="74">
        <f t="shared" si="8"/>
        <v>795.95999999999913</v>
      </c>
      <c r="U16" s="151">
        <f t="shared" si="9"/>
        <v>6.9767441860465018E-2</v>
      </c>
      <c r="V16" s="27"/>
    </row>
    <row r="17" spans="1:25" s="75" customFormat="1" x14ac:dyDescent="0.25">
      <c r="A17" s="176"/>
      <c r="B17" s="72">
        <v>23</v>
      </c>
      <c r="C17" s="153" t="s">
        <v>195</v>
      </c>
      <c r="D17" s="156">
        <v>3414</v>
      </c>
      <c r="E17" s="77">
        <v>4.3330000000000002</v>
      </c>
      <c r="F17" s="152">
        <f t="shared" si="1"/>
        <v>177514.34400000001</v>
      </c>
      <c r="G17" s="129">
        <f t="shared" si="10"/>
        <v>37</v>
      </c>
      <c r="H17" s="152">
        <f t="shared" si="2"/>
        <v>6568030.7280000001</v>
      </c>
      <c r="I17" s="76">
        <f t="shared" si="0"/>
        <v>4925069.4758887198</v>
      </c>
      <c r="J17" s="119">
        <f>(References!$C$49*I17)</f>
        <v>78801.111614219553</v>
      </c>
      <c r="K17" s="119">
        <f>J17/References!$G$57</f>
        <v>80976.962599261708</v>
      </c>
      <c r="L17" s="135">
        <f t="shared" si="3"/>
        <v>1.98</v>
      </c>
      <c r="M17" s="116">
        <v>19.470000000000002</v>
      </c>
      <c r="N17" s="119">
        <f t="shared" si="4"/>
        <v>21.450000000000003</v>
      </c>
      <c r="O17" s="119">
        <f t="shared" si="5"/>
        <v>797646.96</v>
      </c>
      <c r="P17" s="74">
        <f t="shared" si="6"/>
        <v>21.450000000000003</v>
      </c>
      <c r="Q17" s="74">
        <f t="shared" si="7"/>
        <v>878763.60000000009</v>
      </c>
      <c r="R17" s="74">
        <f t="shared" si="8"/>
        <v>81116.64000000013</v>
      </c>
      <c r="U17" s="151">
        <f t="shared" si="9"/>
        <v>0.10169491525423724</v>
      </c>
      <c r="V17" s="27"/>
    </row>
    <row r="18" spans="1:25" s="75" customFormat="1" x14ac:dyDescent="0.25">
      <c r="A18" s="176"/>
      <c r="B18" s="72">
        <v>23</v>
      </c>
      <c r="C18" s="153" t="s">
        <v>118</v>
      </c>
      <c r="D18" s="156">
        <v>56</v>
      </c>
      <c r="E18" s="77">
        <v>4.3330000000000002</v>
      </c>
      <c r="F18" s="152">
        <f t="shared" si="1"/>
        <v>2911.7760000000003</v>
      </c>
      <c r="G18" s="129">
        <f t="shared" si="10"/>
        <v>37</v>
      </c>
      <c r="H18" s="152">
        <f t="shared" si="2"/>
        <v>107735.71200000001</v>
      </c>
      <c r="I18" s="76">
        <f t="shared" si="0"/>
        <v>80786.142545333438</v>
      </c>
      <c r="J18" s="119">
        <f>(References!$C$49*I18)</f>
        <v>1292.5782807253356</v>
      </c>
      <c r="K18" s="119">
        <f>J18/References!$G$57</f>
        <v>1328.2688651314168</v>
      </c>
      <c r="L18" s="135">
        <f t="shared" si="3"/>
        <v>1.98</v>
      </c>
      <c r="M18" s="116">
        <v>38.940000000000005</v>
      </c>
      <c r="N18" s="27">
        <f>+N17*2</f>
        <v>42.900000000000006</v>
      </c>
      <c r="O18" s="119">
        <f t="shared" si="5"/>
        <v>26167.680000000004</v>
      </c>
      <c r="P18" s="74">
        <f t="shared" si="6"/>
        <v>42.900000000000006</v>
      </c>
      <c r="Q18" s="74">
        <f t="shared" si="7"/>
        <v>28828.800000000007</v>
      </c>
      <c r="R18" s="74">
        <f t="shared" si="8"/>
        <v>2661.1200000000026</v>
      </c>
      <c r="U18" s="151">
        <f t="shared" si="9"/>
        <v>0.10169491525423724</v>
      </c>
      <c r="V18" s="116"/>
    </row>
    <row r="19" spans="1:25" s="75" customFormat="1" x14ac:dyDescent="0.25">
      <c r="A19" s="176"/>
      <c r="B19" s="72">
        <v>23</v>
      </c>
      <c r="C19" s="153" t="s">
        <v>196</v>
      </c>
      <c r="D19" s="156">
        <v>3</v>
      </c>
      <c r="E19" s="77">
        <v>4.3330000000000002</v>
      </c>
      <c r="F19" s="152">
        <f t="shared" si="1"/>
        <v>155.988</v>
      </c>
      <c r="G19" s="129">
        <f t="shared" si="10"/>
        <v>37</v>
      </c>
      <c r="H19" s="152">
        <f t="shared" si="2"/>
        <v>5771.5559999999996</v>
      </c>
      <c r="I19" s="76">
        <f t="shared" si="0"/>
        <v>4327.8290649285755</v>
      </c>
      <c r="J19" s="119">
        <f>(References!$C$49*I19)</f>
        <v>69.245265038857241</v>
      </c>
      <c r="K19" s="119">
        <f>J19/References!$G$57</f>
        <v>71.157260632040163</v>
      </c>
      <c r="L19" s="135">
        <f t="shared" si="3"/>
        <v>1.98</v>
      </c>
      <c r="M19" s="116">
        <v>58.410000000000011</v>
      </c>
      <c r="N19" s="27">
        <f>+N17*3</f>
        <v>64.350000000000009</v>
      </c>
      <c r="O19" s="119">
        <f t="shared" si="5"/>
        <v>2102.7600000000002</v>
      </c>
      <c r="P19" s="74">
        <f t="shared" si="6"/>
        <v>64.350000000000009</v>
      </c>
      <c r="Q19" s="74">
        <f t="shared" si="7"/>
        <v>2316.6000000000004</v>
      </c>
      <c r="R19" s="74">
        <f t="shared" si="8"/>
        <v>213.84000000000015</v>
      </c>
      <c r="U19" s="151">
        <f t="shared" si="9"/>
        <v>0.10169491525423724</v>
      </c>
      <c r="V19" s="116"/>
    </row>
    <row r="20" spans="1:25" s="75" customFormat="1" x14ac:dyDescent="0.25">
      <c r="A20" s="176"/>
      <c r="B20" s="72">
        <v>23</v>
      </c>
      <c r="C20" s="153" t="s">
        <v>197</v>
      </c>
      <c r="D20" s="156">
        <v>4</v>
      </c>
      <c r="E20" s="77">
        <v>4.3330000000000002</v>
      </c>
      <c r="F20" s="152">
        <f t="shared" si="1"/>
        <v>207.98400000000001</v>
      </c>
      <c r="G20" s="129">
        <f t="shared" si="10"/>
        <v>37</v>
      </c>
      <c r="H20" s="152">
        <f t="shared" si="2"/>
        <v>7695.4080000000004</v>
      </c>
      <c r="I20" s="76">
        <f t="shared" si="0"/>
        <v>5770.4387532381015</v>
      </c>
      <c r="J20" s="119">
        <f>(References!$C$49*I20)</f>
        <v>92.327020051809669</v>
      </c>
      <c r="K20" s="119">
        <f>J20/References!$G$57</f>
        <v>94.876347509386889</v>
      </c>
      <c r="L20" s="135">
        <f t="shared" si="3"/>
        <v>1.98</v>
      </c>
      <c r="M20" s="116">
        <v>77.88000000000001</v>
      </c>
      <c r="N20" s="27">
        <f>+N17*4</f>
        <v>85.800000000000011</v>
      </c>
      <c r="O20" s="119">
        <f t="shared" si="5"/>
        <v>3738.2400000000007</v>
      </c>
      <c r="P20" s="74">
        <f t="shared" si="6"/>
        <v>85.800000000000011</v>
      </c>
      <c r="Q20" s="74">
        <f t="shared" si="7"/>
        <v>4118.4000000000005</v>
      </c>
      <c r="R20" s="74">
        <f t="shared" si="8"/>
        <v>380.15999999999985</v>
      </c>
      <c r="U20" s="151">
        <f t="shared" si="9"/>
        <v>0.10169491525423724</v>
      </c>
      <c r="V20" s="116"/>
    </row>
    <row r="21" spans="1:25" s="75" customFormat="1" x14ac:dyDescent="0.25">
      <c r="A21" s="176"/>
      <c r="B21" s="72">
        <v>23</v>
      </c>
      <c r="C21" s="153" t="s">
        <v>119</v>
      </c>
      <c r="D21" s="156">
        <v>1923</v>
      </c>
      <c r="E21" s="77">
        <v>4.3330000000000002</v>
      </c>
      <c r="F21" s="152">
        <f t="shared" si="1"/>
        <v>99988.308000000005</v>
      </c>
      <c r="G21" s="129">
        <f>+References!B21</f>
        <v>47</v>
      </c>
      <c r="H21" s="152">
        <f t="shared" si="2"/>
        <v>4699450.4759999998</v>
      </c>
      <c r="I21" s="76">
        <f t="shared" si="0"/>
        <v>3523905.5740298163</v>
      </c>
      <c r="J21" s="119">
        <f>(References!$C$49*I21)</f>
        <v>56382.48918447709</v>
      </c>
      <c r="K21" s="119">
        <f>J21/References!$G$57</f>
        <v>57939.318677337134</v>
      </c>
      <c r="L21" s="135">
        <f t="shared" si="3"/>
        <v>2.5099999999999998</v>
      </c>
      <c r="M21" s="116">
        <v>28.66</v>
      </c>
      <c r="N21" s="119">
        <f t="shared" si="4"/>
        <v>31.17</v>
      </c>
      <c r="O21" s="119">
        <f t="shared" si="5"/>
        <v>661358.16</v>
      </c>
      <c r="P21" s="74">
        <f t="shared" si="6"/>
        <v>31.17</v>
      </c>
      <c r="Q21" s="74">
        <f t="shared" si="7"/>
        <v>719278.92</v>
      </c>
      <c r="R21" s="74">
        <f t="shared" si="8"/>
        <v>57920.760000000009</v>
      </c>
      <c r="U21" s="151">
        <f t="shared" si="9"/>
        <v>8.7578506629448771E-2</v>
      </c>
      <c r="V21" s="116"/>
    </row>
    <row r="22" spans="1:25" s="75" customFormat="1" x14ac:dyDescent="0.25">
      <c r="A22" s="176"/>
      <c r="B22" s="72">
        <v>23</v>
      </c>
      <c r="C22" s="153" t="s">
        <v>120</v>
      </c>
      <c r="D22" s="156">
        <v>42</v>
      </c>
      <c r="E22" s="77">
        <v>4.3330000000000002</v>
      </c>
      <c r="F22" s="152">
        <f t="shared" si="1"/>
        <v>2183.8320000000003</v>
      </c>
      <c r="G22" s="129">
        <f>+G21</f>
        <v>47</v>
      </c>
      <c r="H22" s="152">
        <f t="shared" si="2"/>
        <v>102640.10400000002</v>
      </c>
      <c r="I22" s="76">
        <f t="shared" si="0"/>
        <v>76965.176343864965</v>
      </c>
      <c r="J22" s="119">
        <f>(References!$C$49*I22)</f>
        <v>1231.4428215018399</v>
      </c>
      <c r="K22" s="119">
        <f>J22/References!$G$57</f>
        <v>1265.4453377265525</v>
      </c>
      <c r="L22" s="135">
        <f t="shared" si="3"/>
        <v>2.5099999999999998</v>
      </c>
      <c r="M22" s="116">
        <v>57.339999999999996</v>
      </c>
      <c r="N22" s="27">
        <f>+N21*2</f>
        <v>62.34</v>
      </c>
      <c r="O22" s="119">
        <f t="shared" si="5"/>
        <v>28899.359999999997</v>
      </c>
      <c r="P22" s="74">
        <f t="shared" si="6"/>
        <v>62.34</v>
      </c>
      <c r="Q22" s="74">
        <f t="shared" si="7"/>
        <v>31419.360000000001</v>
      </c>
      <c r="R22" s="74">
        <f t="shared" si="8"/>
        <v>2520.0000000000036</v>
      </c>
      <c r="U22" s="151">
        <f t="shared" si="9"/>
        <v>8.7199162888036419E-2</v>
      </c>
      <c r="V22" s="116"/>
    </row>
    <row r="23" spans="1:25" s="75" customFormat="1" x14ac:dyDescent="0.25">
      <c r="A23" s="176"/>
      <c r="B23" s="72">
        <v>23</v>
      </c>
      <c r="C23" s="153" t="s">
        <v>199</v>
      </c>
      <c r="D23" s="156">
        <v>3</v>
      </c>
      <c r="E23" s="77">
        <v>4.3330000000000002</v>
      </c>
      <c r="F23" s="152">
        <f t="shared" si="1"/>
        <v>155.988</v>
      </c>
      <c r="G23" s="129">
        <f>+G22</f>
        <v>47</v>
      </c>
      <c r="H23" s="152">
        <f t="shared" si="2"/>
        <v>7331.4359999999997</v>
      </c>
      <c r="I23" s="76">
        <f t="shared" si="0"/>
        <v>5497.5125959903535</v>
      </c>
      <c r="J23" s="119">
        <f>(References!$C$49*I23)</f>
        <v>87.960201535845698</v>
      </c>
      <c r="K23" s="119">
        <f>J23/References!$G$57</f>
        <v>90.388952694753726</v>
      </c>
      <c r="L23" s="135">
        <f t="shared" si="3"/>
        <v>2.5099999999999998</v>
      </c>
      <c r="M23" s="116">
        <v>86.009999999999991</v>
      </c>
      <c r="N23" s="27">
        <f>+N21*3</f>
        <v>93.51</v>
      </c>
      <c r="O23" s="119">
        <f t="shared" si="5"/>
        <v>3096.3599999999997</v>
      </c>
      <c r="P23" s="74">
        <f t="shared" si="6"/>
        <v>93.51</v>
      </c>
      <c r="Q23" s="74">
        <f t="shared" si="7"/>
        <v>3366.3600000000006</v>
      </c>
      <c r="R23" s="74">
        <f t="shared" si="8"/>
        <v>270.00000000000091</v>
      </c>
      <c r="U23" s="151">
        <f t="shared" si="9"/>
        <v>8.7199162888036419E-2</v>
      </c>
      <c r="V23" s="116"/>
    </row>
    <row r="24" spans="1:25" s="75" customFormat="1" x14ac:dyDescent="0.25">
      <c r="A24" s="176"/>
      <c r="B24" s="72">
        <v>23</v>
      </c>
      <c r="C24" s="153" t="s">
        <v>124</v>
      </c>
      <c r="D24" s="156">
        <v>652</v>
      </c>
      <c r="E24" s="77">
        <v>4.3330000000000002</v>
      </c>
      <c r="F24" s="152">
        <f t="shared" si="1"/>
        <v>33901.392</v>
      </c>
      <c r="G24" s="129">
        <f>+References!B22</f>
        <v>68</v>
      </c>
      <c r="H24" s="152">
        <f t="shared" si="2"/>
        <v>2305294.656</v>
      </c>
      <c r="I24" s="76">
        <f t="shared" si="0"/>
        <v>1728636.3011051654</v>
      </c>
      <c r="J24" s="119">
        <f>(References!$C$49*I24)</f>
        <v>27658.18081768266</v>
      </c>
      <c r="K24" s="119">
        <f>J24/References!$G$57</f>
        <v>28421.87664308228</v>
      </c>
      <c r="L24" s="135">
        <f t="shared" si="3"/>
        <v>3.63</v>
      </c>
      <c r="M24" s="116">
        <v>37.909999999999997</v>
      </c>
      <c r="N24" s="119">
        <f t="shared" si="4"/>
        <v>41.54</v>
      </c>
      <c r="O24" s="119">
        <f t="shared" si="5"/>
        <v>296607.83999999997</v>
      </c>
      <c r="P24" s="74">
        <f t="shared" si="6"/>
        <v>41.54</v>
      </c>
      <c r="Q24" s="74">
        <f t="shared" si="7"/>
        <v>325008.95999999996</v>
      </c>
      <c r="R24" s="74">
        <f t="shared" si="8"/>
        <v>28401.119999999995</v>
      </c>
      <c r="U24" s="151">
        <f t="shared" si="9"/>
        <v>9.5753099446056478E-2</v>
      </c>
      <c r="V24" s="116"/>
    </row>
    <row r="25" spans="1:25" s="75" customFormat="1" x14ac:dyDescent="0.25">
      <c r="A25" s="176"/>
      <c r="B25" s="72">
        <v>23</v>
      </c>
      <c r="C25" s="153" t="s">
        <v>125</v>
      </c>
      <c r="D25" s="156">
        <v>28</v>
      </c>
      <c r="E25" s="77">
        <v>4.3330000000000002</v>
      </c>
      <c r="F25" s="152">
        <f t="shared" si="1"/>
        <v>1455.8880000000001</v>
      </c>
      <c r="G25" s="129">
        <f>+G24</f>
        <v>68</v>
      </c>
      <c r="H25" s="152">
        <f t="shared" si="2"/>
        <v>99000.384000000005</v>
      </c>
      <c r="I25" s="76">
        <f t="shared" si="0"/>
        <v>74235.91477138747</v>
      </c>
      <c r="J25" s="119">
        <f>(References!$C$49*I25)</f>
        <v>1187.7746363422</v>
      </c>
      <c r="K25" s="119">
        <f>J25/References!$G$57</f>
        <v>1220.5713895802205</v>
      </c>
      <c r="L25" s="135">
        <f t="shared" si="3"/>
        <v>3.63</v>
      </c>
      <c r="M25" s="116">
        <v>75.859999999999971</v>
      </c>
      <c r="N25" s="27">
        <f>+N24*2</f>
        <v>83.08</v>
      </c>
      <c r="O25" s="119">
        <f t="shared" si="5"/>
        <v>25488.959999999988</v>
      </c>
      <c r="P25" s="74">
        <f t="shared" si="6"/>
        <v>83.08</v>
      </c>
      <c r="Q25" s="74">
        <f t="shared" si="7"/>
        <v>27914.879999999997</v>
      </c>
      <c r="R25" s="74">
        <f t="shared" si="8"/>
        <v>2425.9200000000092</v>
      </c>
      <c r="U25" s="151">
        <f t="shared" si="9"/>
        <v>9.5175322963353848E-2</v>
      </c>
      <c r="V25" s="116"/>
    </row>
    <row r="26" spans="1:25" s="75" customFormat="1" x14ac:dyDescent="0.25">
      <c r="A26" s="176"/>
      <c r="B26" s="72">
        <v>25</v>
      </c>
      <c r="C26" s="153" t="s">
        <v>49</v>
      </c>
      <c r="D26" s="157">
        <v>1500</v>
      </c>
      <c r="E26" s="77">
        <v>1</v>
      </c>
      <c r="F26" s="152">
        <f t="shared" si="1"/>
        <v>18000</v>
      </c>
      <c r="G26" s="129">
        <f>+References!B24</f>
        <v>34</v>
      </c>
      <c r="H26" s="152">
        <f t="shared" si="2"/>
        <v>612000</v>
      </c>
      <c r="I26" s="76">
        <f t="shared" si="0"/>
        <v>458911.14765867102</v>
      </c>
      <c r="J26" s="119">
        <f>(References!$C$49*I26)</f>
        <v>7342.5783625387394</v>
      </c>
      <c r="K26" s="119">
        <f>J26/References!$G$57</f>
        <v>7545.3211416139047</v>
      </c>
      <c r="L26" s="135">
        <f t="shared" si="3"/>
        <v>0.42</v>
      </c>
      <c r="M26" s="116">
        <v>5.01</v>
      </c>
      <c r="N26" s="119">
        <f t="shared" si="4"/>
        <v>5.43</v>
      </c>
      <c r="O26" s="119">
        <f t="shared" si="5"/>
        <v>90180</v>
      </c>
      <c r="P26" s="74">
        <f t="shared" si="6"/>
        <v>5.43</v>
      </c>
      <c r="Q26" s="74">
        <f t="shared" si="7"/>
        <v>97740</v>
      </c>
      <c r="R26" s="74">
        <f t="shared" si="8"/>
        <v>7560</v>
      </c>
      <c r="U26" s="151">
        <f t="shared" si="9"/>
        <v>8.3832335329341312E-2</v>
      </c>
      <c r="V26" s="116"/>
    </row>
    <row r="27" spans="1:25" s="75" customFormat="1" x14ac:dyDescent="0.25">
      <c r="A27" s="80"/>
      <c r="B27" s="81"/>
      <c r="C27" s="82" t="s">
        <v>3</v>
      </c>
      <c r="D27" s="83">
        <f>SUM(D2:D26)</f>
        <v>12583</v>
      </c>
      <c r="E27" s="84"/>
      <c r="F27" s="83">
        <f>SUM(F2:F26)</f>
        <v>573734.35080000013</v>
      </c>
      <c r="G27" s="131"/>
      <c r="H27" s="85">
        <f>SUM(H2:H26)</f>
        <v>22201819.371599998</v>
      </c>
      <c r="I27" s="86">
        <f>SUM(I2:I26)</f>
        <v>16648141.189430507</v>
      </c>
      <c r="J27" s="87"/>
      <c r="K27" s="87"/>
      <c r="L27" s="87"/>
      <c r="M27" s="87"/>
      <c r="N27" s="87"/>
      <c r="O27" s="88">
        <f>SUM(O2:O26)</f>
        <v>3102366.1199999992</v>
      </c>
      <c r="P27" s="88"/>
      <c r="Q27" s="88">
        <f>SUM(Q2:Q26)</f>
        <v>3380797.4399999995</v>
      </c>
      <c r="R27" s="88">
        <f>SUM(R2:R26)</f>
        <v>278431.32000000024</v>
      </c>
      <c r="U27" s="158">
        <f>+R27/O27</f>
        <v>8.9748053334208128E-2</v>
      </c>
      <c r="V27" s="116"/>
      <c r="W27" s="75">
        <f>+I27/F27</f>
        <v>29.017159537714232</v>
      </c>
    </row>
    <row r="28" spans="1:25" s="75" customFormat="1" x14ac:dyDescent="0.25">
      <c r="A28" s="167"/>
      <c r="B28" s="168"/>
      <c r="C28" s="169"/>
      <c r="D28" s="153">
        <v>1</v>
      </c>
      <c r="E28" s="153">
        <v>1</v>
      </c>
      <c r="F28" s="152">
        <f>+E28*D28*52</f>
        <v>52</v>
      </c>
      <c r="G28" s="130">
        <f>G42</f>
        <v>175</v>
      </c>
      <c r="H28" s="79">
        <f>F28*G28</f>
        <v>9100</v>
      </c>
      <c r="I28" s="76">
        <f>$C$111*H28</f>
        <v>6823.6788295652059</v>
      </c>
      <c r="J28" s="162">
        <f>References!$C$49*I28</f>
        <v>109.17886127304334</v>
      </c>
      <c r="K28" s="162">
        <f>J28/References!$G$57</f>
        <v>112.19350063510871</v>
      </c>
      <c r="L28" s="162">
        <f>ROUND((K28/F28),2)</f>
        <v>2.16</v>
      </c>
      <c r="M28" s="170">
        <v>18.779999999999998</v>
      </c>
      <c r="N28" s="162">
        <f t="shared" ref="N28:N35" si="11">L28+M28</f>
        <v>20.939999999999998</v>
      </c>
      <c r="O28" s="162">
        <f>F28*M28</f>
        <v>976.55999999999983</v>
      </c>
      <c r="P28" s="74">
        <f>N28</f>
        <v>20.939999999999998</v>
      </c>
      <c r="Q28" s="74">
        <f>F28*P28</f>
        <v>1088.8799999999999</v>
      </c>
      <c r="R28" s="74">
        <f>Q28-O28</f>
        <v>112.32000000000005</v>
      </c>
      <c r="U28" s="158"/>
      <c r="V28" s="116"/>
    </row>
    <row r="29" spans="1:25" s="75" customFormat="1" ht="15" customHeight="1" x14ac:dyDescent="0.25">
      <c r="A29" s="177" t="s">
        <v>99</v>
      </c>
      <c r="B29" s="72">
        <v>36</v>
      </c>
      <c r="C29" s="153" t="s">
        <v>113</v>
      </c>
      <c r="D29" s="153">
        <v>1</v>
      </c>
      <c r="E29" s="153">
        <v>0.5</v>
      </c>
      <c r="F29" s="152">
        <f>+E29*D29*52</f>
        <v>26</v>
      </c>
      <c r="G29" s="130">
        <f>References!$B$26</f>
        <v>29</v>
      </c>
      <c r="H29" s="79">
        <f t="shared" ref="H29:H89" si="12">F29*G29</f>
        <v>754</v>
      </c>
      <c r="I29" s="76">
        <f t="shared" ref="I29:I35" si="13">$C$111*H29</f>
        <v>565.3905315925457</v>
      </c>
      <c r="J29" s="73">
        <f>References!$C$49*I29</f>
        <v>9.0462485054807349</v>
      </c>
      <c r="K29" s="73">
        <f>J29/References!$G$57</f>
        <v>9.2960329097661507</v>
      </c>
      <c r="L29" s="119">
        <f>ROUND((K29/F29),2)</f>
        <v>0.36</v>
      </c>
      <c r="M29" s="27">
        <v>4.0699999999999985</v>
      </c>
      <c r="N29" s="73">
        <f t="shared" si="11"/>
        <v>4.4299999999999988</v>
      </c>
      <c r="O29" s="73">
        <f t="shared" ref="O29:O70" si="14">F29*M29</f>
        <v>105.81999999999996</v>
      </c>
      <c r="P29" s="74">
        <f t="shared" ref="P29:P70" si="15">N29</f>
        <v>4.4299999999999988</v>
      </c>
      <c r="Q29" s="74">
        <f t="shared" ref="Q29:Q70" si="16">F29*P29</f>
        <v>115.17999999999996</v>
      </c>
      <c r="R29" s="74">
        <f t="shared" ref="R29:R70" si="17">Q29-O29</f>
        <v>9.36</v>
      </c>
      <c r="S29" s="75">
        <v>16.11</v>
      </c>
      <c r="T29" s="171">
        <f>S29+L29</f>
        <v>16.47</v>
      </c>
      <c r="U29" s="151">
        <f t="shared" ref="U29:U81" si="18">+N29/M29-1</f>
        <v>8.8452088452088518E-2</v>
      </c>
      <c r="V29" s="116"/>
      <c r="X29" s="75">
        <f>32/202</f>
        <v>0.15841584158415842</v>
      </c>
      <c r="Y29" s="159">
        <f>+X29*F29</f>
        <v>4.1188118811881189</v>
      </c>
    </row>
    <row r="30" spans="1:25" s="75" customFormat="1" x14ac:dyDescent="0.25">
      <c r="A30" s="176"/>
      <c r="B30" s="72">
        <v>36</v>
      </c>
      <c r="C30" s="153" t="s">
        <v>114</v>
      </c>
      <c r="D30" s="153">
        <v>30</v>
      </c>
      <c r="E30" s="153">
        <v>1</v>
      </c>
      <c r="F30" s="152">
        <f t="shared" ref="F30:F93" si="19">+E30*D30*52</f>
        <v>1560</v>
      </c>
      <c r="G30" s="130">
        <f>References!$B$26</f>
        <v>29</v>
      </c>
      <c r="H30" s="79">
        <f t="shared" si="12"/>
        <v>45240</v>
      </c>
      <c r="I30" s="76">
        <f t="shared" si="13"/>
        <v>33923.431895552741</v>
      </c>
      <c r="J30" s="73">
        <f>References!$C$49*I30</f>
        <v>542.77491032884416</v>
      </c>
      <c r="K30" s="119">
        <f>J30/References!$G$57</f>
        <v>557.76197458596914</v>
      </c>
      <c r="L30" s="119">
        <f t="shared" ref="L30:L99" si="20">ROUND((K30/F30),2)</f>
        <v>0.36</v>
      </c>
      <c r="M30" s="27">
        <v>4.0699999999999985</v>
      </c>
      <c r="N30" s="73">
        <f t="shared" si="11"/>
        <v>4.4299999999999988</v>
      </c>
      <c r="O30" s="73">
        <f t="shared" si="14"/>
        <v>6349.199999999998</v>
      </c>
      <c r="P30" s="74">
        <f t="shared" si="15"/>
        <v>4.4299999999999988</v>
      </c>
      <c r="Q30" s="74">
        <f t="shared" si="16"/>
        <v>6910.7999999999984</v>
      </c>
      <c r="R30" s="74">
        <f t="shared" si="17"/>
        <v>561.60000000000036</v>
      </c>
      <c r="U30" s="151">
        <f t="shared" si="18"/>
        <v>8.8452088452088518E-2</v>
      </c>
      <c r="V30" s="116"/>
      <c r="X30" s="75">
        <f>32/202</f>
        <v>0.15841584158415842</v>
      </c>
      <c r="Y30" s="159">
        <f t="shared" ref="Y30:Y93" si="21">+X30*F30</f>
        <v>247.12871287128712</v>
      </c>
    </row>
    <row r="31" spans="1:25" s="75" customFormat="1" x14ac:dyDescent="0.25">
      <c r="A31" s="176"/>
      <c r="B31" s="72">
        <v>36</v>
      </c>
      <c r="C31" s="153" t="s">
        <v>115</v>
      </c>
      <c r="D31" s="153">
        <v>32</v>
      </c>
      <c r="E31" s="153">
        <v>1</v>
      </c>
      <c r="F31" s="152">
        <f t="shared" si="19"/>
        <v>1664</v>
      </c>
      <c r="G31" s="130">
        <f>References!$B$26</f>
        <v>29</v>
      </c>
      <c r="H31" s="79">
        <f t="shared" si="12"/>
        <v>48256</v>
      </c>
      <c r="I31" s="76">
        <f t="shared" si="13"/>
        <v>36184.994021922925</v>
      </c>
      <c r="J31" s="73">
        <f>References!$C$49*I31</f>
        <v>578.95990435076703</v>
      </c>
      <c r="K31" s="119">
        <f>J31/References!$G$57</f>
        <v>594.94610622503365</v>
      </c>
      <c r="L31" s="119">
        <f t="shared" si="20"/>
        <v>0.36</v>
      </c>
      <c r="M31" s="27">
        <v>4.0699999999999985</v>
      </c>
      <c r="N31" s="73">
        <f t="shared" si="11"/>
        <v>4.4299999999999988</v>
      </c>
      <c r="O31" s="73">
        <f t="shared" si="14"/>
        <v>6772.4799999999977</v>
      </c>
      <c r="P31" s="74">
        <f t="shared" si="15"/>
        <v>4.4299999999999988</v>
      </c>
      <c r="Q31" s="74">
        <f t="shared" si="16"/>
        <v>7371.5199999999977</v>
      </c>
      <c r="R31" s="74">
        <f t="shared" si="17"/>
        <v>599.04</v>
      </c>
      <c r="U31" s="151">
        <f t="shared" si="18"/>
        <v>8.8452088452088518E-2</v>
      </c>
      <c r="V31" s="116"/>
      <c r="X31" s="75">
        <f>32/202</f>
        <v>0.15841584158415842</v>
      </c>
      <c r="Y31" s="159">
        <f t="shared" si="21"/>
        <v>263.60396039603961</v>
      </c>
    </row>
    <row r="32" spans="1:25" s="75" customFormat="1" x14ac:dyDescent="0.25">
      <c r="A32" s="176"/>
      <c r="B32" s="72">
        <v>36</v>
      </c>
      <c r="C32" s="153" t="s">
        <v>116</v>
      </c>
      <c r="D32" s="153">
        <v>12</v>
      </c>
      <c r="E32" s="153">
        <v>1</v>
      </c>
      <c r="F32" s="152">
        <f t="shared" si="19"/>
        <v>624</v>
      </c>
      <c r="G32" s="130">
        <f>References!$B$26</f>
        <v>29</v>
      </c>
      <c r="H32" s="79">
        <f t="shared" si="12"/>
        <v>18096</v>
      </c>
      <c r="I32" s="76">
        <f t="shared" si="13"/>
        <v>13569.372758221096</v>
      </c>
      <c r="J32" s="73">
        <f>References!$C$49*I32</f>
        <v>217.10996413153762</v>
      </c>
      <c r="K32" s="119">
        <f>J32/References!$G$57</f>
        <v>223.10478983438762</v>
      </c>
      <c r="L32" s="119">
        <f t="shared" si="20"/>
        <v>0.36</v>
      </c>
      <c r="M32" s="27">
        <v>4.0699999999999985</v>
      </c>
      <c r="N32" s="73">
        <f t="shared" si="11"/>
        <v>4.4299999999999988</v>
      </c>
      <c r="O32" s="73">
        <f t="shared" si="14"/>
        <v>2539.6799999999989</v>
      </c>
      <c r="P32" s="74">
        <f t="shared" si="15"/>
        <v>4.4299999999999988</v>
      </c>
      <c r="Q32" s="74">
        <f t="shared" si="16"/>
        <v>2764.3199999999993</v>
      </c>
      <c r="R32" s="74">
        <f t="shared" si="17"/>
        <v>224.64000000000033</v>
      </c>
      <c r="U32" s="151">
        <f t="shared" si="18"/>
        <v>8.8452088452088518E-2</v>
      </c>
      <c r="V32" s="116"/>
      <c r="X32" s="75">
        <f>32/202</f>
        <v>0.15841584158415842</v>
      </c>
      <c r="Y32" s="159">
        <f t="shared" si="21"/>
        <v>98.851485148514854</v>
      </c>
    </row>
    <row r="33" spans="1:25" s="75" customFormat="1" x14ac:dyDescent="0.25">
      <c r="A33" s="176"/>
      <c r="B33" s="72">
        <v>36</v>
      </c>
      <c r="C33" s="153" t="s">
        <v>117</v>
      </c>
      <c r="D33" s="153">
        <v>1</v>
      </c>
      <c r="E33" s="153">
        <v>1</v>
      </c>
      <c r="F33" s="152">
        <f t="shared" si="19"/>
        <v>52</v>
      </c>
      <c r="G33" s="130">
        <f>References!$B$26</f>
        <v>29</v>
      </c>
      <c r="H33" s="79">
        <f t="shared" si="12"/>
        <v>1508</v>
      </c>
      <c r="I33" s="76">
        <f t="shared" si="13"/>
        <v>1130.7810631850914</v>
      </c>
      <c r="J33" s="73">
        <f>References!$C$49*I33</f>
        <v>18.09249701096147</v>
      </c>
      <c r="K33" s="119">
        <f>J33/References!$G$57</f>
        <v>18.592065819532301</v>
      </c>
      <c r="L33" s="119">
        <f t="shared" si="20"/>
        <v>0.36</v>
      </c>
      <c r="M33" s="27">
        <v>5.3199999999999985</v>
      </c>
      <c r="N33" s="73">
        <f t="shared" si="11"/>
        <v>5.6799999999999988</v>
      </c>
      <c r="O33" s="73">
        <f t="shared" si="14"/>
        <v>276.63999999999993</v>
      </c>
      <c r="P33" s="74">
        <f t="shared" si="15"/>
        <v>5.6799999999999988</v>
      </c>
      <c r="Q33" s="74">
        <f t="shared" si="16"/>
        <v>295.35999999999996</v>
      </c>
      <c r="R33" s="74">
        <f t="shared" si="17"/>
        <v>18.720000000000027</v>
      </c>
      <c r="S33" s="75">
        <v>17.28</v>
      </c>
      <c r="T33" s="171">
        <f>S33+L33</f>
        <v>17.64</v>
      </c>
      <c r="U33" s="151">
        <f t="shared" si="18"/>
        <v>6.7669172932330879E-2</v>
      </c>
      <c r="V33" s="116"/>
      <c r="X33" s="75">
        <f>35/202</f>
        <v>0.17326732673267325</v>
      </c>
      <c r="Y33" s="159">
        <f t="shared" si="21"/>
        <v>9.009900990099009</v>
      </c>
    </row>
    <row r="34" spans="1:25" s="75" customFormat="1" x14ac:dyDescent="0.25">
      <c r="A34" s="176"/>
      <c r="B34" s="72">
        <v>36</v>
      </c>
      <c r="C34" s="153" t="s">
        <v>118</v>
      </c>
      <c r="D34" s="153">
        <v>2</v>
      </c>
      <c r="E34" s="153">
        <v>1</v>
      </c>
      <c r="F34" s="152">
        <f t="shared" si="19"/>
        <v>104</v>
      </c>
      <c r="G34" s="130">
        <f>References!$B$26</f>
        <v>29</v>
      </c>
      <c r="H34" s="79">
        <f t="shared" si="12"/>
        <v>3016</v>
      </c>
      <c r="I34" s="76">
        <f t="shared" si="13"/>
        <v>2261.5621263701828</v>
      </c>
      <c r="J34" s="73">
        <f>References!$C$49*I34</f>
        <v>36.18499402192294</v>
      </c>
      <c r="K34" s="119">
        <f>J34/References!$G$57</f>
        <v>37.184131639064603</v>
      </c>
      <c r="L34" s="119">
        <f t="shared" si="20"/>
        <v>0.36</v>
      </c>
      <c r="M34" s="27">
        <v>5.3199999999999985</v>
      </c>
      <c r="N34" s="73">
        <f t="shared" si="11"/>
        <v>5.6799999999999988</v>
      </c>
      <c r="O34" s="73">
        <f t="shared" si="14"/>
        <v>553.27999999999986</v>
      </c>
      <c r="P34" s="74">
        <f t="shared" si="15"/>
        <v>5.6799999999999988</v>
      </c>
      <c r="Q34" s="74">
        <f t="shared" si="16"/>
        <v>590.71999999999991</v>
      </c>
      <c r="R34" s="74">
        <f t="shared" si="17"/>
        <v>37.440000000000055</v>
      </c>
      <c r="U34" s="151">
        <f t="shared" si="18"/>
        <v>6.7669172932330879E-2</v>
      </c>
      <c r="V34" s="116"/>
      <c r="X34" s="75">
        <f>35/202</f>
        <v>0.17326732673267325</v>
      </c>
      <c r="Y34" s="159">
        <f t="shared" si="21"/>
        <v>18.019801980198018</v>
      </c>
    </row>
    <row r="35" spans="1:25" s="75" customFormat="1" x14ac:dyDescent="0.25">
      <c r="A35" s="176"/>
      <c r="B35" s="72">
        <v>36</v>
      </c>
      <c r="C35" s="153" t="s">
        <v>119</v>
      </c>
      <c r="D35" s="153">
        <v>8</v>
      </c>
      <c r="E35" s="153">
        <v>1</v>
      </c>
      <c r="F35" s="152">
        <f t="shared" si="19"/>
        <v>416</v>
      </c>
      <c r="G35" s="130">
        <v>47</v>
      </c>
      <c r="H35" s="79">
        <f t="shared" si="12"/>
        <v>19552</v>
      </c>
      <c r="I35" s="76">
        <f t="shared" si="13"/>
        <v>14661.161370951528</v>
      </c>
      <c r="J35" s="73">
        <f>References!$C$49*I35</f>
        <v>234.57858193522455</v>
      </c>
      <c r="K35" s="119">
        <f>J35/References!$G$57</f>
        <v>241.05574993600499</v>
      </c>
      <c r="L35" s="119">
        <f t="shared" si="20"/>
        <v>0.57999999999999996</v>
      </c>
      <c r="M35" s="27">
        <v>7.89</v>
      </c>
      <c r="N35" s="73">
        <f t="shared" si="11"/>
        <v>8.4699999999999989</v>
      </c>
      <c r="O35" s="73">
        <f t="shared" si="14"/>
        <v>3282.24</v>
      </c>
      <c r="P35" s="74">
        <f t="shared" si="15"/>
        <v>8.4699999999999989</v>
      </c>
      <c r="Q35" s="74">
        <f t="shared" si="16"/>
        <v>3523.5199999999995</v>
      </c>
      <c r="R35" s="74">
        <f t="shared" si="17"/>
        <v>241.27999999999975</v>
      </c>
      <c r="S35" s="75">
        <v>19.88</v>
      </c>
      <c r="T35" s="171">
        <f>S35+L35</f>
        <v>20.459999999999997</v>
      </c>
      <c r="U35" s="151">
        <f t="shared" si="18"/>
        <v>7.3510773130544882E-2</v>
      </c>
      <c r="V35" s="117"/>
      <c r="X35" s="75">
        <f>64/202</f>
        <v>0.31683168316831684</v>
      </c>
      <c r="Y35" s="159">
        <f t="shared" si="21"/>
        <v>131.80198019801981</v>
      </c>
    </row>
    <row r="36" spans="1:25" s="75" customFormat="1" x14ac:dyDescent="0.25">
      <c r="A36" s="176"/>
      <c r="B36" s="72">
        <v>36</v>
      </c>
      <c r="C36" s="153" t="s">
        <v>120</v>
      </c>
      <c r="D36" s="153">
        <v>2</v>
      </c>
      <c r="E36" s="153">
        <v>1</v>
      </c>
      <c r="F36" s="152">
        <f t="shared" si="19"/>
        <v>104</v>
      </c>
      <c r="G36" s="130">
        <v>47</v>
      </c>
      <c r="H36" s="79">
        <f t="shared" ref="H36:H45" si="22">F36*G36</f>
        <v>4888</v>
      </c>
      <c r="I36" s="76">
        <f t="shared" ref="I36:I45" si="23">$C$111*H36</f>
        <v>3665.2903427378819</v>
      </c>
      <c r="J36" s="119">
        <f>References!$C$49*I36</f>
        <v>58.644645483806137</v>
      </c>
      <c r="K36" s="119">
        <f>J36/References!$G$57</f>
        <v>60.263937484001247</v>
      </c>
      <c r="L36" s="119">
        <f t="shared" ref="L36:L45" si="24">ROUND((K36/F36),2)</f>
        <v>0.57999999999999996</v>
      </c>
      <c r="M36" s="27">
        <v>7.89</v>
      </c>
      <c r="N36" s="119">
        <f t="shared" ref="N36:N45" si="25">L36+M36</f>
        <v>8.4699999999999989</v>
      </c>
      <c r="O36" s="119">
        <f t="shared" ref="O36:O45" si="26">F36*M36</f>
        <v>820.56</v>
      </c>
      <c r="P36" s="74">
        <f t="shared" ref="P36:P45" si="27">N36</f>
        <v>8.4699999999999989</v>
      </c>
      <c r="Q36" s="74">
        <f t="shared" ref="Q36:Q45" si="28">F36*P36</f>
        <v>880.87999999999988</v>
      </c>
      <c r="R36" s="74">
        <f t="shared" ref="R36:R45" si="29">Q36-O36</f>
        <v>60.319999999999936</v>
      </c>
      <c r="U36" s="151">
        <f t="shared" si="18"/>
        <v>7.3510773130544882E-2</v>
      </c>
      <c r="V36" s="117"/>
      <c r="X36" s="75">
        <f>64/202</f>
        <v>0.31683168316831684</v>
      </c>
      <c r="Y36" s="159">
        <f t="shared" si="21"/>
        <v>32.950495049504951</v>
      </c>
    </row>
    <row r="37" spans="1:25" s="75" customFormat="1" x14ac:dyDescent="0.25">
      <c r="A37" s="176"/>
      <c r="B37" s="72">
        <v>36</v>
      </c>
      <c r="C37" s="153" t="s">
        <v>121</v>
      </c>
      <c r="D37" s="153">
        <v>12</v>
      </c>
      <c r="E37" s="153">
        <v>1</v>
      </c>
      <c r="F37" s="152">
        <f t="shared" si="19"/>
        <v>624</v>
      </c>
      <c r="G37" s="130">
        <v>47</v>
      </c>
      <c r="H37" s="79">
        <f t="shared" si="22"/>
        <v>29328</v>
      </c>
      <c r="I37" s="76">
        <f t="shared" si="23"/>
        <v>21991.742056427294</v>
      </c>
      <c r="J37" s="119">
        <f>References!$C$49*I37</f>
        <v>351.86787290283689</v>
      </c>
      <c r="K37" s="119">
        <f>J37/References!$G$57</f>
        <v>361.58362490400754</v>
      </c>
      <c r="L37" s="119">
        <f t="shared" si="24"/>
        <v>0.57999999999999996</v>
      </c>
      <c r="M37" s="27">
        <v>7.89</v>
      </c>
      <c r="N37" s="119">
        <f t="shared" si="25"/>
        <v>8.4699999999999989</v>
      </c>
      <c r="O37" s="119">
        <f t="shared" si="26"/>
        <v>4923.3599999999997</v>
      </c>
      <c r="P37" s="74">
        <f t="shared" si="27"/>
        <v>8.4699999999999989</v>
      </c>
      <c r="Q37" s="74">
        <f t="shared" si="28"/>
        <v>5285.2799999999988</v>
      </c>
      <c r="R37" s="74">
        <f t="shared" si="29"/>
        <v>361.91999999999916</v>
      </c>
      <c r="U37" s="151">
        <f t="shared" si="18"/>
        <v>7.3510773130544882E-2</v>
      </c>
      <c r="V37" s="117"/>
      <c r="X37" s="75">
        <f>64/202</f>
        <v>0.31683168316831684</v>
      </c>
      <c r="Y37" s="159">
        <f t="shared" si="21"/>
        <v>197.70297029702971</v>
      </c>
    </row>
    <row r="38" spans="1:25" s="75" customFormat="1" x14ac:dyDescent="0.25">
      <c r="A38" s="176"/>
      <c r="B38" s="72">
        <v>36</v>
      </c>
      <c r="C38" s="153" t="s">
        <v>122</v>
      </c>
      <c r="D38" s="153">
        <v>10</v>
      </c>
      <c r="E38" s="153">
        <v>1</v>
      </c>
      <c r="F38" s="152">
        <f t="shared" si="19"/>
        <v>520</v>
      </c>
      <c r="G38" s="130">
        <v>47</v>
      </c>
      <c r="H38" s="79">
        <f t="shared" si="22"/>
        <v>24440</v>
      </c>
      <c r="I38" s="76">
        <f t="shared" si="23"/>
        <v>18326.45171368941</v>
      </c>
      <c r="J38" s="119">
        <f>References!$C$49*I38</f>
        <v>293.22322741903071</v>
      </c>
      <c r="K38" s="119">
        <f>J38/References!$G$57</f>
        <v>301.31968742000623</v>
      </c>
      <c r="L38" s="119">
        <f t="shared" si="24"/>
        <v>0.57999999999999996</v>
      </c>
      <c r="M38" s="27">
        <v>7.89</v>
      </c>
      <c r="N38" s="119">
        <f t="shared" si="25"/>
        <v>8.4699999999999989</v>
      </c>
      <c r="O38" s="119">
        <f t="shared" si="26"/>
        <v>4102.8</v>
      </c>
      <c r="P38" s="74">
        <f t="shared" si="27"/>
        <v>8.4699999999999989</v>
      </c>
      <c r="Q38" s="74">
        <f t="shared" si="28"/>
        <v>4404.3999999999996</v>
      </c>
      <c r="R38" s="74">
        <f t="shared" si="29"/>
        <v>301.59999999999945</v>
      </c>
      <c r="U38" s="151">
        <f t="shared" si="18"/>
        <v>7.3510773130544882E-2</v>
      </c>
      <c r="V38" s="117"/>
      <c r="X38" s="75">
        <f>64/202</f>
        <v>0.31683168316831684</v>
      </c>
      <c r="Y38" s="159">
        <f t="shared" si="21"/>
        <v>164.75247524752476</v>
      </c>
    </row>
    <row r="39" spans="1:25" s="75" customFormat="1" x14ac:dyDescent="0.25">
      <c r="A39" s="176"/>
      <c r="B39" s="72">
        <v>36</v>
      </c>
      <c r="C39" s="153" t="s">
        <v>123</v>
      </c>
      <c r="D39" s="153">
        <v>150</v>
      </c>
      <c r="E39" s="153">
        <v>1</v>
      </c>
      <c r="F39" s="152">
        <f t="shared" si="19"/>
        <v>7800</v>
      </c>
      <c r="G39" s="130">
        <v>47</v>
      </c>
      <c r="H39" s="79">
        <f t="shared" si="22"/>
        <v>366600</v>
      </c>
      <c r="I39" s="76">
        <f t="shared" si="23"/>
        <v>274896.77570534113</v>
      </c>
      <c r="J39" s="119">
        <f>References!$C$49*I39</f>
        <v>4398.3484112854603</v>
      </c>
      <c r="K39" s="119">
        <f>J39/References!$G$57</f>
        <v>4519.795311300094</v>
      </c>
      <c r="L39" s="119">
        <f t="shared" si="24"/>
        <v>0.57999999999999996</v>
      </c>
      <c r="M39" s="27">
        <v>7.89</v>
      </c>
      <c r="N39" s="119">
        <f t="shared" si="25"/>
        <v>8.4699999999999989</v>
      </c>
      <c r="O39" s="119">
        <f t="shared" si="26"/>
        <v>61542</v>
      </c>
      <c r="P39" s="74">
        <f t="shared" si="27"/>
        <v>8.4699999999999989</v>
      </c>
      <c r="Q39" s="74">
        <f t="shared" si="28"/>
        <v>66065.999999999985</v>
      </c>
      <c r="R39" s="74">
        <f t="shared" si="29"/>
        <v>4523.9999999999854</v>
      </c>
      <c r="U39" s="151">
        <f t="shared" si="18"/>
        <v>7.3510773130544882E-2</v>
      </c>
      <c r="V39" s="117"/>
      <c r="X39" s="75">
        <f>64/202</f>
        <v>0.31683168316831684</v>
      </c>
      <c r="Y39" s="159">
        <f t="shared" si="21"/>
        <v>2471.2871287128714</v>
      </c>
    </row>
    <row r="40" spans="1:25" s="75" customFormat="1" x14ac:dyDescent="0.25">
      <c r="A40" s="176"/>
      <c r="B40" s="72">
        <v>36</v>
      </c>
      <c r="C40" s="153" t="s">
        <v>124</v>
      </c>
      <c r="D40" s="153">
        <v>12</v>
      </c>
      <c r="E40" s="153">
        <v>1</v>
      </c>
      <c r="F40" s="152">
        <f t="shared" si="19"/>
        <v>624</v>
      </c>
      <c r="G40" s="130">
        <v>68</v>
      </c>
      <c r="H40" s="79">
        <f t="shared" si="22"/>
        <v>42432</v>
      </c>
      <c r="I40" s="76">
        <f t="shared" si="23"/>
        <v>31817.83957100119</v>
      </c>
      <c r="J40" s="119">
        <f>References!$C$49*I40</f>
        <v>509.08543313601928</v>
      </c>
      <c r="K40" s="119">
        <f>J40/References!$G$57</f>
        <v>523.14226581856406</v>
      </c>
      <c r="L40" s="119">
        <f t="shared" si="24"/>
        <v>0.84</v>
      </c>
      <c r="M40" s="27">
        <v>10.910000000000004</v>
      </c>
      <c r="N40" s="119">
        <f t="shared" si="25"/>
        <v>11.750000000000004</v>
      </c>
      <c r="O40" s="119">
        <f t="shared" si="26"/>
        <v>6807.840000000002</v>
      </c>
      <c r="P40" s="74">
        <f t="shared" si="27"/>
        <v>11.750000000000004</v>
      </c>
      <c r="Q40" s="74">
        <f t="shared" si="28"/>
        <v>7332.0000000000018</v>
      </c>
      <c r="R40" s="74">
        <f t="shared" si="29"/>
        <v>524.15999999999985</v>
      </c>
      <c r="S40" s="75">
        <v>22.91</v>
      </c>
      <c r="T40" s="171">
        <f>S40+L40</f>
        <v>23.75</v>
      </c>
      <c r="U40" s="151">
        <f t="shared" si="18"/>
        <v>7.6993583868010917E-2</v>
      </c>
      <c r="V40" s="117"/>
      <c r="X40" s="75">
        <f>96/202</f>
        <v>0.47524752475247523</v>
      </c>
      <c r="Y40" s="159">
        <f t="shared" si="21"/>
        <v>296.55445544554453</v>
      </c>
    </row>
    <row r="41" spans="1:25" s="75" customFormat="1" x14ac:dyDescent="0.25">
      <c r="A41" s="176"/>
      <c r="B41" s="72">
        <v>36</v>
      </c>
      <c r="C41" s="153" t="s">
        <v>125</v>
      </c>
      <c r="D41" s="153">
        <v>2</v>
      </c>
      <c r="E41" s="153">
        <v>1</v>
      </c>
      <c r="F41" s="152">
        <f t="shared" si="19"/>
        <v>104</v>
      </c>
      <c r="G41" s="130">
        <v>68</v>
      </c>
      <c r="H41" s="79">
        <f t="shared" si="22"/>
        <v>7072</v>
      </c>
      <c r="I41" s="76">
        <f t="shared" si="23"/>
        <v>5302.973261833532</v>
      </c>
      <c r="J41" s="119">
        <f>References!$C$49*I41</f>
        <v>84.847572189336546</v>
      </c>
      <c r="K41" s="119">
        <f>J41/References!$G$57</f>
        <v>87.190377636427343</v>
      </c>
      <c r="L41" s="119">
        <f t="shared" si="24"/>
        <v>0.84</v>
      </c>
      <c r="M41" s="27">
        <v>10.910000000000004</v>
      </c>
      <c r="N41" s="119">
        <f t="shared" si="25"/>
        <v>11.750000000000004</v>
      </c>
      <c r="O41" s="119">
        <f t="shared" si="26"/>
        <v>1134.6400000000003</v>
      </c>
      <c r="P41" s="74">
        <f t="shared" si="27"/>
        <v>11.750000000000004</v>
      </c>
      <c r="Q41" s="74">
        <f t="shared" si="28"/>
        <v>1222.0000000000005</v>
      </c>
      <c r="R41" s="74">
        <f t="shared" si="29"/>
        <v>87.360000000000127</v>
      </c>
      <c r="U41" s="151">
        <f t="shared" si="18"/>
        <v>7.6993583868010917E-2</v>
      </c>
      <c r="V41" s="117"/>
      <c r="X41" s="75">
        <f>96/202</f>
        <v>0.47524752475247523</v>
      </c>
      <c r="Y41" s="159">
        <f t="shared" si="21"/>
        <v>49.425742574257427</v>
      </c>
    </row>
    <row r="42" spans="1:25" s="75" customFormat="1" x14ac:dyDescent="0.25">
      <c r="A42" s="176"/>
      <c r="B42" s="72">
        <v>33</v>
      </c>
      <c r="C42" s="153" t="s">
        <v>126</v>
      </c>
      <c r="D42" s="153">
        <v>59</v>
      </c>
      <c r="E42" s="153">
        <v>0.5</v>
      </c>
      <c r="F42" s="152">
        <f t="shared" si="19"/>
        <v>1534</v>
      </c>
      <c r="G42" s="130">
        <f>+References!B27</f>
        <v>175</v>
      </c>
      <c r="H42" s="79">
        <f t="shared" si="22"/>
        <v>268450</v>
      </c>
      <c r="I42" s="76">
        <f t="shared" si="23"/>
        <v>201298.52547217358</v>
      </c>
      <c r="J42" s="119">
        <f>References!$C$49*I42</f>
        <v>3220.7764075547789</v>
      </c>
      <c r="K42" s="119">
        <f>J42/References!$G$57</f>
        <v>3309.708268735707</v>
      </c>
      <c r="L42" s="119">
        <f t="shared" si="24"/>
        <v>2.16</v>
      </c>
      <c r="M42" s="27">
        <v>18.659999999999997</v>
      </c>
      <c r="N42" s="119">
        <f t="shared" si="25"/>
        <v>20.819999999999997</v>
      </c>
      <c r="O42" s="119">
        <f t="shared" si="26"/>
        <v>28624.439999999995</v>
      </c>
      <c r="P42" s="74">
        <f t="shared" si="27"/>
        <v>20.819999999999997</v>
      </c>
      <c r="Q42" s="74">
        <f t="shared" si="28"/>
        <v>31937.879999999994</v>
      </c>
      <c r="R42" s="74">
        <f t="shared" si="29"/>
        <v>3313.4399999999987</v>
      </c>
      <c r="U42" s="151">
        <f t="shared" si="18"/>
        <v>0.11575562700964626</v>
      </c>
      <c r="V42" s="117"/>
      <c r="X42" s="75">
        <f>96/202</f>
        <v>0.47524752475247523</v>
      </c>
      <c r="Y42" s="159">
        <f t="shared" si="21"/>
        <v>729.02970297029697</v>
      </c>
    </row>
    <row r="43" spans="1:25" s="75" customFormat="1" x14ac:dyDescent="0.25">
      <c r="A43" s="176"/>
      <c r="B43" s="72">
        <v>33</v>
      </c>
      <c r="C43" s="153" t="s">
        <v>127</v>
      </c>
      <c r="D43" s="153">
        <v>148</v>
      </c>
      <c r="E43" s="153">
        <v>1</v>
      </c>
      <c r="F43" s="152">
        <f t="shared" si="19"/>
        <v>7696</v>
      </c>
      <c r="G43" s="130">
        <f>+G42</f>
        <v>175</v>
      </c>
      <c r="H43" s="79">
        <f t="shared" si="22"/>
        <v>1346800</v>
      </c>
      <c r="I43" s="76">
        <f t="shared" si="23"/>
        <v>1009904.4667756505</v>
      </c>
      <c r="J43" s="119">
        <f>References!$C$49*I43</f>
        <v>16158.471468410415</v>
      </c>
      <c r="K43" s="119">
        <f>J43/References!$G$57</f>
        <v>16604.638093996087</v>
      </c>
      <c r="L43" s="119">
        <f t="shared" si="24"/>
        <v>2.16</v>
      </c>
      <c r="M43" s="27">
        <v>18.659999999999997</v>
      </c>
      <c r="N43" s="119">
        <f t="shared" si="25"/>
        <v>20.819999999999997</v>
      </c>
      <c r="O43" s="119">
        <f t="shared" si="26"/>
        <v>143607.35999999999</v>
      </c>
      <c r="P43" s="74">
        <f t="shared" si="27"/>
        <v>20.819999999999997</v>
      </c>
      <c r="Q43" s="74">
        <f t="shared" si="28"/>
        <v>160230.71999999997</v>
      </c>
      <c r="R43" s="74">
        <f t="shared" si="29"/>
        <v>16623.359999999986</v>
      </c>
      <c r="U43" s="151">
        <f t="shared" si="18"/>
        <v>0.11575562700964626</v>
      </c>
      <c r="V43" s="117"/>
      <c r="X43" s="75">
        <v>1</v>
      </c>
      <c r="Y43" s="159">
        <f t="shared" si="21"/>
        <v>7696</v>
      </c>
    </row>
    <row r="44" spans="1:25" s="75" customFormat="1" x14ac:dyDescent="0.25">
      <c r="A44" s="176"/>
      <c r="B44" s="72">
        <v>33</v>
      </c>
      <c r="C44" s="153" t="s">
        <v>128</v>
      </c>
      <c r="D44" s="153">
        <v>2</v>
      </c>
      <c r="E44" s="153">
        <v>1</v>
      </c>
      <c r="F44" s="152">
        <f t="shared" si="19"/>
        <v>104</v>
      </c>
      <c r="G44" s="130">
        <f>+G43</f>
        <v>175</v>
      </c>
      <c r="H44" s="79">
        <f t="shared" si="22"/>
        <v>18200</v>
      </c>
      <c r="I44" s="76">
        <f t="shared" si="23"/>
        <v>13647.357659130412</v>
      </c>
      <c r="J44" s="119">
        <f>References!$C$49*I44</f>
        <v>218.35772254608668</v>
      </c>
      <c r="K44" s="119">
        <f>J44/References!$G$57</f>
        <v>224.38700127021741</v>
      </c>
      <c r="L44" s="119">
        <f t="shared" si="24"/>
        <v>2.16</v>
      </c>
      <c r="M44" s="27">
        <v>18.659999999999997</v>
      </c>
      <c r="N44" s="119">
        <f t="shared" si="25"/>
        <v>20.819999999999997</v>
      </c>
      <c r="O44" s="119">
        <f t="shared" si="26"/>
        <v>1940.6399999999996</v>
      </c>
      <c r="P44" s="74">
        <f t="shared" si="27"/>
        <v>20.819999999999997</v>
      </c>
      <c r="Q44" s="74">
        <f t="shared" si="28"/>
        <v>2165.2799999999997</v>
      </c>
      <c r="R44" s="74">
        <f t="shared" si="29"/>
        <v>224.6400000000001</v>
      </c>
      <c r="U44" s="151">
        <f t="shared" si="18"/>
        <v>0.11575562700964626</v>
      </c>
      <c r="V44" s="117"/>
      <c r="X44" s="75">
        <v>1</v>
      </c>
      <c r="Y44" s="159">
        <f t="shared" si="21"/>
        <v>104</v>
      </c>
    </row>
    <row r="45" spans="1:25" s="75" customFormat="1" x14ac:dyDescent="0.25">
      <c r="A45" s="176"/>
      <c r="B45" s="72">
        <v>33</v>
      </c>
      <c r="C45" s="153" t="s">
        <v>129</v>
      </c>
      <c r="D45" s="153">
        <v>2</v>
      </c>
      <c r="E45" s="153">
        <v>2</v>
      </c>
      <c r="F45" s="152">
        <f t="shared" si="19"/>
        <v>208</v>
      </c>
      <c r="G45" s="130">
        <f>+G44</f>
        <v>175</v>
      </c>
      <c r="H45" s="79">
        <f t="shared" si="22"/>
        <v>36400</v>
      </c>
      <c r="I45" s="76">
        <f t="shared" si="23"/>
        <v>27294.715318260824</v>
      </c>
      <c r="J45" s="119">
        <f>References!$C$49*I45</f>
        <v>436.71544509217335</v>
      </c>
      <c r="K45" s="119">
        <f>J45/References!$G$57</f>
        <v>448.77400254043482</v>
      </c>
      <c r="L45" s="119">
        <f t="shared" si="24"/>
        <v>2.16</v>
      </c>
      <c r="M45" s="27">
        <v>18.659999999999997</v>
      </c>
      <c r="N45" s="119">
        <f t="shared" si="25"/>
        <v>20.819999999999997</v>
      </c>
      <c r="O45" s="119">
        <f t="shared" si="26"/>
        <v>3881.2799999999993</v>
      </c>
      <c r="P45" s="74">
        <f t="shared" si="27"/>
        <v>20.819999999999997</v>
      </c>
      <c r="Q45" s="74">
        <f t="shared" si="28"/>
        <v>4330.5599999999995</v>
      </c>
      <c r="R45" s="74">
        <f t="shared" si="29"/>
        <v>449.2800000000002</v>
      </c>
      <c r="U45" s="151">
        <f t="shared" si="18"/>
        <v>0.11575562700964626</v>
      </c>
      <c r="V45" s="117"/>
      <c r="X45" s="75">
        <v>1</v>
      </c>
      <c r="Y45" s="159">
        <f t="shared" si="21"/>
        <v>208</v>
      </c>
    </row>
    <row r="46" spans="1:25" s="75" customFormat="1" x14ac:dyDescent="0.25">
      <c r="A46" s="176"/>
      <c r="B46" s="72">
        <v>33</v>
      </c>
      <c r="C46" s="153" t="s">
        <v>130</v>
      </c>
      <c r="D46" s="153">
        <v>3</v>
      </c>
      <c r="E46" s="153">
        <v>2</v>
      </c>
      <c r="F46" s="152">
        <f t="shared" si="19"/>
        <v>312</v>
      </c>
      <c r="G46" s="130">
        <f>+G45</f>
        <v>175</v>
      </c>
      <c r="H46" s="79">
        <f t="shared" si="12"/>
        <v>54600</v>
      </c>
      <c r="I46" s="76">
        <f t="shared" ref="I46:I77" si="30">$C$111*H46</f>
        <v>40942.072977391239</v>
      </c>
      <c r="J46" s="73">
        <f>References!$C$49*I46</f>
        <v>655.07316763826009</v>
      </c>
      <c r="K46" s="119">
        <f>J46/References!$G$57</f>
        <v>673.16100381065223</v>
      </c>
      <c r="L46" s="119">
        <f t="shared" si="20"/>
        <v>2.16</v>
      </c>
      <c r="M46" s="27">
        <v>18.659999999999997</v>
      </c>
      <c r="N46" s="73">
        <f t="shared" ref="N46:N89" si="31">L46+M46</f>
        <v>20.819999999999997</v>
      </c>
      <c r="O46" s="73">
        <f t="shared" si="14"/>
        <v>5821.9199999999992</v>
      </c>
      <c r="P46" s="74">
        <f t="shared" si="15"/>
        <v>20.819999999999997</v>
      </c>
      <c r="Q46" s="74">
        <f t="shared" si="16"/>
        <v>6495.8399999999992</v>
      </c>
      <c r="R46" s="74">
        <f t="shared" si="17"/>
        <v>673.92000000000007</v>
      </c>
      <c r="U46" s="151">
        <f t="shared" si="18"/>
        <v>0.11575562700964626</v>
      </c>
      <c r="V46" s="117"/>
      <c r="X46" s="75">
        <v>1</v>
      </c>
      <c r="Y46" s="159">
        <f t="shared" si="21"/>
        <v>312</v>
      </c>
    </row>
    <row r="47" spans="1:25" s="75" customFormat="1" x14ac:dyDescent="0.25">
      <c r="A47" s="176"/>
      <c r="B47" s="72">
        <v>33</v>
      </c>
      <c r="C47" s="153" t="s">
        <v>131</v>
      </c>
      <c r="D47" s="153">
        <v>1</v>
      </c>
      <c r="E47" s="153">
        <v>3</v>
      </c>
      <c r="F47" s="152">
        <f t="shared" si="19"/>
        <v>156</v>
      </c>
      <c r="G47" s="130">
        <f>+G46</f>
        <v>175</v>
      </c>
      <c r="H47" s="79">
        <f t="shared" si="12"/>
        <v>27300</v>
      </c>
      <c r="I47" s="76">
        <f t="shared" si="30"/>
        <v>20471.036488695619</v>
      </c>
      <c r="J47" s="73">
        <f>References!$C$49*I47</f>
        <v>327.53658381913004</v>
      </c>
      <c r="K47" s="119">
        <f>J47/References!$G$57</f>
        <v>336.58050190532612</v>
      </c>
      <c r="L47" s="119">
        <f t="shared" si="20"/>
        <v>2.16</v>
      </c>
      <c r="M47" s="27">
        <v>18.659999999999997</v>
      </c>
      <c r="N47" s="73">
        <f t="shared" si="31"/>
        <v>20.819999999999997</v>
      </c>
      <c r="O47" s="73">
        <f t="shared" si="14"/>
        <v>2910.9599999999996</v>
      </c>
      <c r="P47" s="74">
        <f t="shared" si="15"/>
        <v>20.819999999999997</v>
      </c>
      <c r="Q47" s="74">
        <f t="shared" si="16"/>
        <v>3247.9199999999996</v>
      </c>
      <c r="R47" s="74">
        <f t="shared" si="17"/>
        <v>336.96000000000004</v>
      </c>
      <c r="U47" s="151">
        <f t="shared" si="18"/>
        <v>0.11575562700964626</v>
      </c>
      <c r="V47" s="117"/>
      <c r="X47" s="75">
        <v>1</v>
      </c>
      <c r="Y47" s="159">
        <f t="shared" si="21"/>
        <v>156</v>
      </c>
    </row>
    <row r="48" spans="1:25" s="75" customFormat="1" x14ac:dyDescent="0.25">
      <c r="A48" s="176"/>
      <c r="B48" s="72">
        <v>33</v>
      </c>
      <c r="C48" s="153" t="s">
        <v>132</v>
      </c>
      <c r="D48" s="153">
        <v>20</v>
      </c>
      <c r="E48" s="153">
        <v>0.5</v>
      </c>
      <c r="F48" s="152">
        <f t="shared" si="19"/>
        <v>520</v>
      </c>
      <c r="G48" s="130">
        <f>+References!B28</f>
        <v>250</v>
      </c>
      <c r="H48" s="79">
        <f t="shared" si="12"/>
        <v>130000</v>
      </c>
      <c r="I48" s="76">
        <f t="shared" si="30"/>
        <v>97481.126136645806</v>
      </c>
      <c r="J48" s="73">
        <f>References!$C$49*I48</f>
        <v>1559.6980181863337</v>
      </c>
      <c r="K48" s="119">
        <f>J48/References!$G$57</f>
        <v>1602.7642947872675</v>
      </c>
      <c r="L48" s="119">
        <f t="shared" si="20"/>
        <v>3.08</v>
      </c>
      <c r="M48" s="27">
        <v>23.82</v>
      </c>
      <c r="N48" s="73">
        <f t="shared" si="31"/>
        <v>26.9</v>
      </c>
      <c r="O48" s="73">
        <f t="shared" si="14"/>
        <v>12386.4</v>
      </c>
      <c r="P48" s="74">
        <f t="shared" si="15"/>
        <v>26.9</v>
      </c>
      <c r="Q48" s="74">
        <f t="shared" si="16"/>
        <v>13988</v>
      </c>
      <c r="R48" s="74">
        <f t="shared" si="17"/>
        <v>1601.6000000000004</v>
      </c>
      <c r="U48" s="151">
        <f t="shared" si="18"/>
        <v>0.12930310663308142</v>
      </c>
      <c r="V48" s="117"/>
      <c r="X48" s="75">
        <v>1.5</v>
      </c>
      <c r="Y48" s="159">
        <f t="shared" si="21"/>
        <v>780</v>
      </c>
    </row>
    <row r="49" spans="1:25" s="75" customFormat="1" x14ac:dyDescent="0.25">
      <c r="A49" s="176"/>
      <c r="B49" s="72">
        <v>33</v>
      </c>
      <c r="C49" s="153" t="s">
        <v>133</v>
      </c>
      <c r="D49" s="153">
        <v>30</v>
      </c>
      <c r="E49" s="153">
        <v>1</v>
      </c>
      <c r="F49" s="152">
        <f t="shared" si="19"/>
        <v>1560</v>
      </c>
      <c r="G49" s="130">
        <f>+G48</f>
        <v>250</v>
      </c>
      <c r="H49" s="79">
        <f t="shared" si="12"/>
        <v>390000</v>
      </c>
      <c r="I49" s="76">
        <f t="shared" si="30"/>
        <v>292443.37840993737</v>
      </c>
      <c r="J49" s="73">
        <f>References!$C$49*I49</f>
        <v>4679.0940545590001</v>
      </c>
      <c r="K49" s="119">
        <f>J49/References!$G$57</f>
        <v>4808.292884361802</v>
      </c>
      <c r="L49" s="119">
        <f t="shared" si="20"/>
        <v>3.08</v>
      </c>
      <c r="M49" s="27">
        <f>M48</f>
        <v>23.82</v>
      </c>
      <c r="N49" s="73">
        <f t="shared" si="31"/>
        <v>26.9</v>
      </c>
      <c r="O49" s="73">
        <f t="shared" si="14"/>
        <v>37159.199999999997</v>
      </c>
      <c r="P49" s="74">
        <f t="shared" si="15"/>
        <v>26.9</v>
      </c>
      <c r="Q49" s="74">
        <f t="shared" si="16"/>
        <v>41964</v>
      </c>
      <c r="R49" s="74">
        <f t="shared" si="17"/>
        <v>4804.8000000000029</v>
      </c>
      <c r="U49" s="151">
        <f t="shared" si="18"/>
        <v>0.12930310663308142</v>
      </c>
      <c r="V49" s="117"/>
      <c r="X49" s="75">
        <v>1.5</v>
      </c>
      <c r="Y49" s="159">
        <f t="shared" si="21"/>
        <v>2340</v>
      </c>
    </row>
    <row r="50" spans="1:25" s="75" customFormat="1" x14ac:dyDescent="0.25">
      <c r="A50" s="176"/>
      <c r="B50" s="72">
        <v>33</v>
      </c>
      <c r="C50" s="153" t="s">
        <v>134</v>
      </c>
      <c r="D50" s="153">
        <v>1</v>
      </c>
      <c r="E50" s="153">
        <v>2</v>
      </c>
      <c r="F50" s="152">
        <f t="shared" si="19"/>
        <v>104</v>
      </c>
      <c r="G50" s="130">
        <f>+G49</f>
        <v>250</v>
      </c>
      <c r="H50" s="79">
        <f t="shared" si="12"/>
        <v>26000</v>
      </c>
      <c r="I50" s="76">
        <f t="shared" si="30"/>
        <v>19496.22522732916</v>
      </c>
      <c r="J50" s="73">
        <f>References!$C$49*I50</f>
        <v>311.93960363726671</v>
      </c>
      <c r="K50" s="119">
        <f>J50/References!$G$57</f>
        <v>320.55285895745345</v>
      </c>
      <c r="L50" s="119">
        <f t="shared" si="20"/>
        <v>3.08</v>
      </c>
      <c r="M50" s="27">
        <f>M49</f>
        <v>23.82</v>
      </c>
      <c r="N50" s="73">
        <f t="shared" si="31"/>
        <v>26.9</v>
      </c>
      <c r="O50" s="73">
        <f t="shared" si="14"/>
        <v>2477.2800000000002</v>
      </c>
      <c r="P50" s="74">
        <f t="shared" si="15"/>
        <v>26.9</v>
      </c>
      <c r="Q50" s="74">
        <f t="shared" si="16"/>
        <v>2797.6</v>
      </c>
      <c r="R50" s="74">
        <f t="shared" si="17"/>
        <v>320.31999999999971</v>
      </c>
      <c r="U50" s="151">
        <f t="shared" si="18"/>
        <v>0.12930310663308142</v>
      </c>
      <c r="V50" s="117"/>
      <c r="X50" s="75">
        <v>1.5</v>
      </c>
      <c r="Y50" s="159">
        <f t="shared" si="21"/>
        <v>156</v>
      </c>
    </row>
    <row r="51" spans="1:25" s="75" customFormat="1" x14ac:dyDescent="0.25">
      <c r="A51" s="176"/>
      <c r="B51" s="72">
        <v>33</v>
      </c>
      <c r="C51" s="153" t="s">
        <v>135</v>
      </c>
      <c r="D51" s="153">
        <v>6</v>
      </c>
      <c r="E51" s="155">
        <f>1/4.333</f>
        <v>0.23078698361412414</v>
      </c>
      <c r="F51" s="152">
        <f t="shared" si="19"/>
        <v>72.005538887606733</v>
      </c>
      <c r="G51" s="130">
        <f>+References!B29</f>
        <v>324</v>
      </c>
      <c r="H51" s="79">
        <f t="shared" si="12"/>
        <v>23329.79459958458</v>
      </c>
      <c r="I51" s="76">
        <f t="shared" si="30"/>
        <v>17493.958846954942</v>
      </c>
      <c r="J51" s="73">
        <f>References!$C$49*I51</f>
        <v>279.9033415512792</v>
      </c>
      <c r="K51" s="119">
        <f>J51/References!$G$57</f>
        <v>287.63201376103831</v>
      </c>
      <c r="L51" s="119">
        <f t="shared" si="20"/>
        <v>3.99</v>
      </c>
      <c r="M51" s="27">
        <v>32.119999999999997</v>
      </c>
      <c r="N51" s="73">
        <f t="shared" si="31"/>
        <v>36.11</v>
      </c>
      <c r="O51" s="73">
        <f t="shared" si="14"/>
        <v>2312.8179090699282</v>
      </c>
      <c r="P51" s="74">
        <f t="shared" si="15"/>
        <v>36.11</v>
      </c>
      <c r="Q51" s="74">
        <f t="shared" si="16"/>
        <v>2600.1200092314789</v>
      </c>
      <c r="R51" s="74">
        <f t="shared" si="17"/>
        <v>287.3021001615507</v>
      </c>
      <c r="U51" s="151">
        <f t="shared" si="18"/>
        <v>0.12422166874221685</v>
      </c>
      <c r="V51" s="117"/>
      <c r="X51" s="75">
        <v>2</v>
      </c>
      <c r="Y51" s="159">
        <f t="shared" si="21"/>
        <v>144.01107777521347</v>
      </c>
    </row>
    <row r="52" spans="1:25" s="75" customFormat="1" x14ac:dyDescent="0.25">
      <c r="A52" s="176"/>
      <c r="B52" s="72">
        <v>33</v>
      </c>
      <c r="C52" s="153" t="s">
        <v>136</v>
      </c>
      <c r="D52" s="153">
        <v>66</v>
      </c>
      <c r="E52" s="153">
        <v>0.5</v>
      </c>
      <c r="F52" s="152">
        <f t="shared" si="19"/>
        <v>1716</v>
      </c>
      <c r="G52" s="130">
        <f>+G51</f>
        <v>324</v>
      </c>
      <c r="H52" s="79">
        <f t="shared" si="12"/>
        <v>555984</v>
      </c>
      <c r="I52" s="76">
        <f t="shared" si="30"/>
        <v>416907.28026120673</v>
      </c>
      <c r="J52" s="73">
        <f>References!$C$49*I52</f>
        <v>6670.5164841793112</v>
      </c>
      <c r="K52" s="119">
        <f>J52/References!$G$57</f>
        <v>6854.7023359461846</v>
      </c>
      <c r="L52" s="119">
        <f t="shared" si="20"/>
        <v>3.99</v>
      </c>
      <c r="M52" s="27">
        <v>29.18</v>
      </c>
      <c r="N52" s="73">
        <f t="shared" si="31"/>
        <v>33.17</v>
      </c>
      <c r="O52" s="73">
        <f t="shared" si="14"/>
        <v>50072.88</v>
      </c>
      <c r="P52" s="74">
        <f t="shared" si="15"/>
        <v>33.17</v>
      </c>
      <c r="Q52" s="74">
        <f t="shared" si="16"/>
        <v>56919.72</v>
      </c>
      <c r="R52" s="74">
        <f t="shared" si="17"/>
        <v>6846.8400000000038</v>
      </c>
      <c r="S52" s="171"/>
      <c r="U52" s="151">
        <f t="shared" si="18"/>
        <v>0.13673749143248815</v>
      </c>
      <c r="V52" s="117"/>
      <c r="X52" s="75">
        <v>2</v>
      </c>
      <c r="Y52" s="159">
        <f t="shared" si="21"/>
        <v>3432</v>
      </c>
    </row>
    <row r="53" spans="1:25" s="75" customFormat="1" x14ac:dyDescent="0.25">
      <c r="A53" s="176"/>
      <c r="B53" s="72">
        <v>33</v>
      </c>
      <c r="C53" s="153" t="s">
        <v>137</v>
      </c>
      <c r="D53" s="153">
        <v>140</v>
      </c>
      <c r="E53" s="153">
        <v>1</v>
      </c>
      <c r="F53" s="152">
        <f t="shared" si="19"/>
        <v>7280</v>
      </c>
      <c r="G53" s="130">
        <f t="shared" ref="G53:G63" si="32">+G52</f>
        <v>324</v>
      </c>
      <c r="H53" s="79">
        <f t="shared" si="12"/>
        <v>2358720</v>
      </c>
      <c r="I53" s="76">
        <f t="shared" si="30"/>
        <v>1768697.5526233015</v>
      </c>
      <c r="J53" s="73">
        <f>References!$C$49*I53</f>
        <v>28299.160841972836</v>
      </c>
      <c r="K53" s="119">
        <f>J53/References!$G$57</f>
        <v>29080.555364620181</v>
      </c>
      <c r="L53" s="119">
        <f t="shared" si="20"/>
        <v>3.99</v>
      </c>
      <c r="M53" s="27">
        <v>29.18</v>
      </c>
      <c r="N53" s="73">
        <f t="shared" si="31"/>
        <v>33.17</v>
      </c>
      <c r="O53" s="73">
        <f t="shared" si="14"/>
        <v>212430.4</v>
      </c>
      <c r="P53" s="74">
        <f t="shared" si="15"/>
        <v>33.17</v>
      </c>
      <c r="Q53" s="74">
        <f t="shared" si="16"/>
        <v>241477.6</v>
      </c>
      <c r="R53" s="74">
        <f t="shared" si="17"/>
        <v>29047.200000000012</v>
      </c>
      <c r="S53" s="171">
        <f>P53*3</f>
        <v>99.51</v>
      </c>
      <c r="U53" s="151">
        <f t="shared" si="18"/>
        <v>0.13673749143248815</v>
      </c>
      <c r="V53" s="117"/>
      <c r="X53" s="75">
        <v>2</v>
      </c>
      <c r="Y53" s="159">
        <f t="shared" si="21"/>
        <v>14560</v>
      </c>
    </row>
    <row r="54" spans="1:25" s="75" customFormat="1" x14ac:dyDescent="0.25">
      <c r="A54" s="176"/>
      <c r="B54" s="72">
        <v>33</v>
      </c>
      <c r="C54" s="153" t="s">
        <v>138</v>
      </c>
      <c r="D54" s="153">
        <v>10</v>
      </c>
      <c r="E54" s="153">
        <v>1</v>
      </c>
      <c r="F54" s="152">
        <f t="shared" si="19"/>
        <v>520</v>
      </c>
      <c r="G54" s="130">
        <f t="shared" si="32"/>
        <v>324</v>
      </c>
      <c r="H54" s="79">
        <f t="shared" si="12"/>
        <v>168480</v>
      </c>
      <c r="I54" s="76">
        <f t="shared" si="30"/>
        <v>126335.53947309295</v>
      </c>
      <c r="J54" s="73">
        <f>References!$C$49*I54</f>
        <v>2021.3686315694881</v>
      </c>
      <c r="K54" s="119">
        <f>J54/References!$G$57</f>
        <v>2077.1825260442984</v>
      </c>
      <c r="L54" s="119">
        <f t="shared" si="20"/>
        <v>3.99</v>
      </c>
      <c r="M54" s="27">
        <v>29.18</v>
      </c>
      <c r="N54" s="73">
        <f t="shared" si="31"/>
        <v>33.17</v>
      </c>
      <c r="O54" s="73">
        <f t="shared" si="14"/>
        <v>15173.6</v>
      </c>
      <c r="P54" s="74">
        <f t="shared" si="15"/>
        <v>33.17</v>
      </c>
      <c r="Q54" s="74">
        <f t="shared" si="16"/>
        <v>17248.400000000001</v>
      </c>
      <c r="R54" s="74">
        <f t="shared" si="17"/>
        <v>2074.8000000000011</v>
      </c>
      <c r="U54" s="151">
        <f t="shared" si="18"/>
        <v>0.13673749143248815</v>
      </c>
      <c r="V54" s="117"/>
      <c r="X54" s="75">
        <v>2</v>
      </c>
      <c r="Y54" s="159">
        <f t="shared" si="21"/>
        <v>1040</v>
      </c>
    </row>
    <row r="55" spans="1:25" s="75" customFormat="1" x14ac:dyDescent="0.25">
      <c r="A55" s="176"/>
      <c r="B55" s="72">
        <v>33</v>
      </c>
      <c r="C55" s="153" t="s">
        <v>139</v>
      </c>
      <c r="D55" s="153">
        <v>3</v>
      </c>
      <c r="E55" s="153">
        <v>1</v>
      </c>
      <c r="F55" s="152">
        <f t="shared" si="19"/>
        <v>156</v>
      </c>
      <c r="G55" s="130">
        <f t="shared" si="32"/>
        <v>324</v>
      </c>
      <c r="H55" s="79">
        <f t="shared" si="12"/>
        <v>50544</v>
      </c>
      <c r="I55" s="76">
        <f t="shared" si="30"/>
        <v>37900.661841927889</v>
      </c>
      <c r="J55" s="73">
        <f>References!$C$49*I55</f>
        <v>606.4105894708465</v>
      </c>
      <c r="K55" s="119">
        <f>J55/References!$G$57</f>
        <v>623.15475781328951</v>
      </c>
      <c r="L55" s="119">
        <f t="shared" si="20"/>
        <v>3.99</v>
      </c>
      <c r="M55" s="27">
        <v>29.18</v>
      </c>
      <c r="N55" s="73">
        <f t="shared" si="31"/>
        <v>33.17</v>
      </c>
      <c r="O55" s="73">
        <f t="shared" si="14"/>
        <v>4552.08</v>
      </c>
      <c r="P55" s="74">
        <f t="shared" si="15"/>
        <v>33.17</v>
      </c>
      <c r="Q55" s="74">
        <f t="shared" si="16"/>
        <v>5174.5200000000004</v>
      </c>
      <c r="R55" s="74">
        <f t="shared" si="17"/>
        <v>622.44000000000051</v>
      </c>
      <c r="U55" s="151">
        <f t="shared" si="18"/>
        <v>0.13673749143248815</v>
      </c>
      <c r="V55" s="117"/>
      <c r="X55" s="75">
        <v>2</v>
      </c>
      <c r="Y55" s="159">
        <f t="shared" si="21"/>
        <v>312</v>
      </c>
    </row>
    <row r="56" spans="1:25" s="75" customFormat="1" x14ac:dyDescent="0.25">
      <c r="A56" s="176"/>
      <c r="B56" s="72">
        <v>33</v>
      </c>
      <c r="C56" s="153" t="s">
        <v>140</v>
      </c>
      <c r="D56" s="153">
        <v>5</v>
      </c>
      <c r="E56" s="153">
        <v>1</v>
      </c>
      <c r="F56" s="152">
        <f t="shared" si="19"/>
        <v>260</v>
      </c>
      <c r="G56" s="130">
        <f t="shared" si="32"/>
        <v>324</v>
      </c>
      <c r="H56" s="79">
        <f t="shared" si="12"/>
        <v>84240</v>
      </c>
      <c r="I56" s="76">
        <f t="shared" si="30"/>
        <v>63167.769736546477</v>
      </c>
      <c r="J56" s="73">
        <f>References!$C$49*I56</f>
        <v>1010.6843157847441</v>
      </c>
      <c r="K56" s="119">
        <f>J56/References!$G$57</f>
        <v>1038.5912630221492</v>
      </c>
      <c r="L56" s="119">
        <f t="shared" si="20"/>
        <v>3.99</v>
      </c>
      <c r="M56" s="27">
        <v>29.18</v>
      </c>
      <c r="N56" s="73">
        <f t="shared" si="31"/>
        <v>33.17</v>
      </c>
      <c r="O56" s="73">
        <f t="shared" si="14"/>
        <v>7586.8</v>
      </c>
      <c r="P56" s="74">
        <f t="shared" si="15"/>
        <v>33.17</v>
      </c>
      <c r="Q56" s="74">
        <f t="shared" si="16"/>
        <v>8624.2000000000007</v>
      </c>
      <c r="R56" s="74">
        <f t="shared" si="17"/>
        <v>1037.4000000000005</v>
      </c>
      <c r="U56" s="151">
        <f t="shared" si="18"/>
        <v>0.13673749143248815</v>
      </c>
      <c r="V56" s="117"/>
      <c r="X56" s="75">
        <v>2</v>
      </c>
      <c r="Y56" s="159">
        <f t="shared" si="21"/>
        <v>520</v>
      </c>
    </row>
    <row r="57" spans="1:25" s="75" customFormat="1" x14ac:dyDescent="0.25">
      <c r="A57" s="176"/>
      <c r="B57" s="72">
        <v>33</v>
      </c>
      <c r="C57" s="153" t="s">
        <v>141</v>
      </c>
      <c r="D57" s="153">
        <v>5</v>
      </c>
      <c r="E57" s="153">
        <v>1</v>
      </c>
      <c r="F57" s="152">
        <f t="shared" si="19"/>
        <v>260</v>
      </c>
      <c r="G57" s="130">
        <f t="shared" si="32"/>
        <v>324</v>
      </c>
      <c r="H57" s="79">
        <f t="shared" si="12"/>
        <v>84240</v>
      </c>
      <c r="I57" s="76">
        <f t="shared" si="30"/>
        <v>63167.769736546477</v>
      </c>
      <c r="J57" s="73">
        <f>References!$C$49*I57</f>
        <v>1010.6843157847441</v>
      </c>
      <c r="K57" s="119">
        <f>J57/References!$G$57</f>
        <v>1038.5912630221492</v>
      </c>
      <c r="L57" s="119">
        <f t="shared" si="20"/>
        <v>3.99</v>
      </c>
      <c r="M57" s="27">
        <v>29.18</v>
      </c>
      <c r="N57" s="73">
        <f t="shared" si="31"/>
        <v>33.17</v>
      </c>
      <c r="O57" s="73">
        <f t="shared" si="14"/>
        <v>7586.8</v>
      </c>
      <c r="P57" s="74">
        <f t="shared" si="15"/>
        <v>33.17</v>
      </c>
      <c r="Q57" s="74">
        <f t="shared" si="16"/>
        <v>8624.2000000000007</v>
      </c>
      <c r="R57" s="74">
        <f t="shared" si="17"/>
        <v>1037.4000000000005</v>
      </c>
      <c r="U57" s="151">
        <f t="shared" si="18"/>
        <v>0.13673749143248815</v>
      </c>
      <c r="V57" s="117"/>
      <c r="X57" s="75">
        <v>2</v>
      </c>
      <c r="Y57" s="159">
        <f t="shared" si="21"/>
        <v>520</v>
      </c>
    </row>
    <row r="58" spans="1:25" s="75" customFormat="1" x14ac:dyDescent="0.25">
      <c r="A58" s="176"/>
      <c r="B58" s="72">
        <v>33</v>
      </c>
      <c r="C58" s="153" t="s">
        <v>142</v>
      </c>
      <c r="D58" s="153">
        <v>21</v>
      </c>
      <c r="E58" s="153">
        <v>1</v>
      </c>
      <c r="F58" s="152">
        <f t="shared" si="19"/>
        <v>1092</v>
      </c>
      <c r="G58" s="130">
        <f t="shared" si="32"/>
        <v>324</v>
      </c>
      <c r="H58" s="79">
        <f t="shared" si="12"/>
        <v>353808</v>
      </c>
      <c r="I58" s="76">
        <f t="shared" si="30"/>
        <v>265304.6328934952</v>
      </c>
      <c r="J58" s="73">
        <f>References!$C$49*I58</f>
        <v>4244.8741262959256</v>
      </c>
      <c r="K58" s="119">
        <f>J58/References!$G$57</f>
        <v>4362.0833046930275</v>
      </c>
      <c r="L58" s="119">
        <f t="shared" si="20"/>
        <v>3.99</v>
      </c>
      <c r="M58" s="27">
        <v>29.18</v>
      </c>
      <c r="N58" s="73">
        <f t="shared" si="31"/>
        <v>33.17</v>
      </c>
      <c r="O58" s="73">
        <f t="shared" si="14"/>
        <v>31864.560000000001</v>
      </c>
      <c r="P58" s="74">
        <f t="shared" si="15"/>
        <v>33.17</v>
      </c>
      <c r="Q58" s="74">
        <f t="shared" si="16"/>
        <v>36221.64</v>
      </c>
      <c r="R58" s="74">
        <f t="shared" si="17"/>
        <v>4357.0799999999981</v>
      </c>
      <c r="U58" s="151">
        <f t="shared" si="18"/>
        <v>0.13673749143248815</v>
      </c>
      <c r="V58" s="117"/>
      <c r="X58" s="75">
        <v>2</v>
      </c>
      <c r="Y58" s="159">
        <f t="shared" si="21"/>
        <v>2184</v>
      </c>
    </row>
    <row r="59" spans="1:25" s="75" customFormat="1" x14ac:dyDescent="0.25">
      <c r="A59" s="176"/>
      <c r="B59" s="72">
        <v>33</v>
      </c>
      <c r="C59" s="153" t="s">
        <v>143</v>
      </c>
      <c r="D59" s="153">
        <v>7</v>
      </c>
      <c r="E59" s="153">
        <v>1</v>
      </c>
      <c r="F59" s="152">
        <f t="shared" si="19"/>
        <v>364</v>
      </c>
      <c r="G59" s="130">
        <f t="shared" si="32"/>
        <v>324</v>
      </c>
      <c r="H59" s="79">
        <f t="shared" si="12"/>
        <v>117936</v>
      </c>
      <c r="I59" s="76">
        <f t="shared" si="30"/>
        <v>88434.877631165073</v>
      </c>
      <c r="J59" s="73">
        <f>References!$C$49*I59</f>
        <v>1414.9580420986417</v>
      </c>
      <c r="K59" s="119">
        <f>J59/References!$G$57</f>
        <v>1454.0277682310088</v>
      </c>
      <c r="L59" s="119">
        <f t="shared" si="20"/>
        <v>3.99</v>
      </c>
      <c r="M59" s="27">
        <v>29.18</v>
      </c>
      <c r="N59" s="73">
        <f t="shared" si="31"/>
        <v>33.17</v>
      </c>
      <c r="O59" s="73">
        <f t="shared" si="14"/>
        <v>10621.52</v>
      </c>
      <c r="P59" s="74">
        <f t="shared" si="15"/>
        <v>33.17</v>
      </c>
      <c r="Q59" s="74">
        <f t="shared" si="16"/>
        <v>12073.880000000001</v>
      </c>
      <c r="R59" s="74">
        <f t="shared" si="17"/>
        <v>1452.3600000000006</v>
      </c>
      <c r="U59" s="151">
        <f t="shared" si="18"/>
        <v>0.13673749143248815</v>
      </c>
      <c r="V59" s="117"/>
      <c r="X59" s="75">
        <v>2</v>
      </c>
      <c r="Y59" s="159">
        <f t="shared" si="21"/>
        <v>728</v>
      </c>
    </row>
    <row r="60" spans="1:25" s="75" customFormat="1" x14ac:dyDescent="0.25">
      <c r="A60" s="176"/>
      <c r="B60" s="72">
        <v>33</v>
      </c>
      <c r="C60" s="153" t="s">
        <v>144</v>
      </c>
      <c r="D60" s="153">
        <v>9</v>
      </c>
      <c r="E60" s="153">
        <v>2</v>
      </c>
      <c r="F60" s="152">
        <f t="shared" si="19"/>
        <v>936</v>
      </c>
      <c r="G60" s="130">
        <f t="shared" si="32"/>
        <v>324</v>
      </c>
      <c r="H60" s="79">
        <f t="shared" si="12"/>
        <v>303264</v>
      </c>
      <c r="I60" s="76">
        <f t="shared" si="30"/>
        <v>227403.97105156732</v>
      </c>
      <c r="J60" s="73">
        <f>References!$C$49*I60</f>
        <v>3638.4635368250788</v>
      </c>
      <c r="K60" s="119">
        <f>J60/References!$G$57</f>
        <v>3738.928546879737</v>
      </c>
      <c r="L60" s="119">
        <f t="shared" si="20"/>
        <v>3.99</v>
      </c>
      <c r="M60" s="27">
        <v>29.18</v>
      </c>
      <c r="N60" s="73">
        <f t="shared" si="31"/>
        <v>33.17</v>
      </c>
      <c r="O60" s="73">
        <f t="shared" si="14"/>
        <v>27312.48</v>
      </c>
      <c r="P60" s="74">
        <f t="shared" si="15"/>
        <v>33.17</v>
      </c>
      <c r="Q60" s="74">
        <f t="shared" si="16"/>
        <v>31047.120000000003</v>
      </c>
      <c r="R60" s="74">
        <f t="shared" si="17"/>
        <v>3734.6400000000031</v>
      </c>
      <c r="U60" s="151">
        <f t="shared" si="18"/>
        <v>0.13673749143248815</v>
      </c>
      <c r="V60" s="117"/>
      <c r="X60" s="75">
        <v>2</v>
      </c>
      <c r="Y60" s="159">
        <f t="shared" si="21"/>
        <v>1872</v>
      </c>
    </row>
    <row r="61" spans="1:25" s="75" customFormat="1" x14ac:dyDescent="0.25">
      <c r="A61" s="176"/>
      <c r="B61" s="72">
        <v>33</v>
      </c>
      <c r="C61" s="153" t="s">
        <v>145</v>
      </c>
      <c r="D61" s="153">
        <v>9</v>
      </c>
      <c r="E61" s="153">
        <v>2</v>
      </c>
      <c r="F61" s="152">
        <f t="shared" si="19"/>
        <v>936</v>
      </c>
      <c r="G61" s="130">
        <f t="shared" si="32"/>
        <v>324</v>
      </c>
      <c r="H61" s="79">
        <f t="shared" si="12"/>
        <v>303264</v>
      </c>
      <c r="I61" s="76">
        <f t="shared" si="30"/>
        <v>227403.97105156732</v>
      </c>
      <c r="J61" s="73">
        <f>References!$C$49*I61</f>
        <v>3638.4635368250788</v>
      </c>
      <c r="K61" s="119">
        <f>J61/References!$G$57</f>
        <v>3738.928546879737</v>
      </c>
      <c r="L61" s="119">
        <f t="shared" si="20"/>
        <v>3.99</v>
      </c>
      <c r="M61" s="27">
        <v>29.18</v>
      </c>
      <c r="N61" s="73">
        <f t="shared" si="31"/>
        <v>33.17</v>
      </c>
      <c r="O61" s="73">
        <f t="shared" si="14"/>
        <v>27312.48</v>
      </c>
      <c r="P61" s="74">
        <f t="shared" si="15"/>
        <v>33.17</v>
      </c>
      <c r="Q61" s="74">
        <f t="shared" si="16"/>
        <v>31047.120000000003</v>
      </c>
      <c r="R61" s="74">
        <f t="shared" si="17"/>
        <v>3734.6400000000031</v>
      </c>
      <c r="U61" s="151">
        <f t="shared" si="18"/>
        <v>0.13673749143248815</v>
      </c>
      <c r="V61" s="117"/>
      <c r="X61" s="75">
        <v>2</v>
      </c>
      <c r="Y61" s="159">
        <f t="shared" si="21"/>
        <v>1872</v>
      </c>
    </row>
    <row r="62" spans="1:25" s="75" customFormat="1" x14ac:dyDescent="0.25">
      <c r="A62" s="176"/>
      <c r="B62" s="72">
        <v>33</v>
      </c>
      <c r="C62" s="153" t="s">
        <v>146</v>
      </c>
      <c r="D62" s="153">
        <v>7</v>
      </c>
      <c r="E62" s="153">
        <v>2</v>
      </c>
      <c r="F62" s="152">
        <f t="shared" si="19"/>
        <v>728</v>
      </c>
      <c r="G62" s="130">
        <f t="shared" si="32"/>
        <v>324</v>
      </c>
      <c r="H62" s="79">
        <f t="shared" si="12"/>
        <v>235872</v>
      </c>
      <c r="I62" s="76">
        <f t="shared" si="30"/>
        <v>176869.75526233015</v>
      </c>
      <c r="J62" s="73">
        <f>References!$C$49*I62</f>
        <v>2829.9160841972835</v>
      </c>
      <c r="K62" s="119">
        <f>J62/References!$G$57</f>
        <v>2908.0555364620177</v>
      </c>
      <c r="L62" s="119">
        <f t="shared" si="20"/>
        <v>3.99</v>
      </c>
      <c r="M62" s="27">
        <v>29.18</v>
      </c>
      <c r="N62" s="73">
        <f t="shared" si="31"/>
        <v>33.17</v>
      </c>
      <c r="O62" s="73">
        <f t="shared" si="14"/>
        <v>21243.040000000001</v>
      </c>
      <c r="P62" s="74">
        <f t="shared" si="15"/>
        <v>33.17</v>
      </c>
      <c r="Q62" s="74">
        <f t="shared" si="16"/>
        <v>24147.760000000002</v>
      </c>
      <c r="R62" s="74">
        <f t="shared" si="17"/>
        <v>2904.7200000000012</v>
      </c>
      <c r="U62" s="151">
        <f t="shared" si="18"/>
        <v>0.13673749143248815</v>
      </c>
      <c r="V62" s="117"/>
      <c r="X62" s="75">
        <v>2</v>
      </c>
      <c r="Y62" s="159">
        <f t="shared" si="21"/>
        <v>1456</v>
      </c>
    </row>
    <row r="63" spans="1:25" s="75" customFormat="1" x14ac:dyDescent="0.25">
      <c r="A63" s="176"/>
      <c r="B63" s="72">
        <v>33</v>
      </c>
      <c r="C63" s="153" t="s">
        <v>147</v>
      </c>
      <c r="D63" s="153">
        <v>6</v>
      </c>
      <c r="E63" s="153">
        <v>3</v>
      </c>
      <c r="F63" s="152">
        <f t="shared" si="19"/>
        <v>936</v>
      </c>
      <c r="G63" s="130">
        <f t="shared" si="32"/>
        <v>324</v>
      </c>
      <c r="H63" s="79">
        <f t="shared" si="12"/>
        <v>303264</v>
      </c>
      <c r="I63" s="76">
        <f t="shared" si="30"/>
        <v>227403.97105156732</v>
      </c>
      <c r="J63" s="73">
        <f>References!$C$49*I63</f>
        <v>3638.4635368250788</v>
      </c>
      <c r="K63" s="119">
        <f>J63/References!$G$57</f>
        <v>3738.928546879737</v>
      </c>
      <c r="L63" s="119">
        <f t="shared" si="20"/>
        <v>3.99</v>
      </c>
      <c r="M63" s="27">
        <v>29.18</v>
      </c>
      <c r="N63" s="73">
        <f t="shared" si="31"/>
        <v>33.17</v>
      </c>
      <c r="O63" s="73">
        <f t="shared" si="14"/>
        <v>27312.48</v>
      </c>
      <c r="P63" s="74">
        <f t="shared" si="15"/>
        <v>33.17</v>
      </c>
      <c r="Q63" s="74">
        <f t="shared" si="16"/>
        <v>31047.120000000003</v>
      </c>
      <c r="R63" s="74">
        <f t="shared" si="17"/>
        <v>3734.6400000000031</v>
      </c>
      <c r="U63" s="151">
        <f t="shared" si="18"/>
        <v>0.13673749143248815</v>
      </c>
      <c r="V63" s="117"/>
      <c r="X63" s="75">
        <v>2</v>
      </c>
      <c r="Y63" s="159">
        <f t="shared" si="21"/>
        <v>1872</v>
      </c>
    </row>
    <row r="64" spans="1:25" s="75" customFormat="1" x14ac:dyDescent="0.25">
      <c r="A64" s="176"/>
      <c r="B64" s="72">
        <v>33</v>
      </c>
      <c r="C64" s="153" t="s">
        <v>148</v>
      </c>
      <c r="D64" s="153">
        <v>19</v>
      </c>
      <c r="E64" s="153">
        <v>0.5</v>
      </c>
      <c r="F64" s="152">
        <f t="shared" si="19"/>
        <v>494</v>
      </c>
      <c r="G64" s="130">
        <f>+References!B30</f>
        <v>473</v>
      </c>
      <c r="H64" s="79">
        <f t="shared" si="12"/>
        <v>233662</v>
      </c>
      <c r="I64" s="76">
        <f t="shared" si="30"/>
        <v>175212.57611800716</v>
      </c>
      <c r="J64" s="73">
        <f>References!$C$49*I64</f>
        <v>2803.4012178881158</v>
      </c>
      <c r="K64" s="119">
        <f>J64/References!$G$57</f>
        <v>2880.8085434506343</v>
      </c>
      <c r="L64" s="119">
        <f t="shared" si="20"/>
        <v>5.83</v>
      </c>
      <c r="M64" s="27">
        <v>39.770000000000003</v>
      </c>
      <c r="N64" s="73">
        <f t="shared" si="31"/>
        <v>45.6</v>
      </c>
      <c r="O64" s="73">
        <f t="shared" si="14"/>
        <v>19646.38</v>
      </c>
      <c r="P64" s="74">
        <f t="shared" si="15"/>
        <v>45.6</v>
      </c>
      <c r="Q64" s="74">
        <f t="shared" si="16"/>
        <v>22526.400000000001</v>
      </c>
      <c r="R64" s="74">
        <f t="shared" si="17"/>
        <v>2880.0200000000004</v>
      </c>
      <c r="U64" s="151">
        <f t="shared" si="18"/>
        <v>0.14659290922806134</v>
      </c>
      <c r="V64" s="117"/>
      <c r="X64" s="75">
        <v>3</v>
      </c>
      <c r="Y64" s="159">
        <f t="shared" si="21"/>
        <v>1482</v>
      </c>
    </row>
    <row r="65" spans="1:25" s="75" customFormat="1" x14ac:dyDescent="0.25">
      <c r="A65" s="176"/>
      <c r="B65" s="72">
        <v>33</v>
      </c>
      <c r="C65" s="153" t="s">
        <v>149</v>
      </c>
      <c r="D65" s="153">
        <v>56</v>
      </c>
      <c r="E65" s="153">
        <v>1</v>
      </c>
      <c r="F65" s="152">
        <f t="shared" si="19"/>
        <v>2912</v>
      </c>
      <c r="G65" s="130">
        <f>+G64</f>
        <v>473</v>
      </c>
      <c r="H65" s="79">
        <f t="shared" si="12"/>
        <v>1377376</v>
      </c>
      <c r="I65" s="76">
        <f t="shared" si="30"/>
        <v>1032832.0276429895</v>
      </c>
      <c r="J65" s="73">
        <f>References!$C$49*I65</f>
        <v>16525.312442287839</v>
      </c>
      <c r="K65" s="119">
        <f>J65/References!$G$57</f>
        <v>16981.608256130054</v>
      </c>
      <c r="L65" s="119">
        <f t="shared" si="20"/>
        <v>5.83</v>
      </c>
      <c r="M65" s="27">
        <v>39.770000000000003</v>
      </c>
      <c r="N65" s="73">
        <f t="shared" si="31"/>
        <v>45.6</v>
      </c>
      <c r="O65" s="73">
        <f t="shared" si="14"/>
        <v>115810.24000000001</v>
      </c>
      <c r="P65" s="74">
        <f t="shared" si="15"/>
        <v>45.6</v>
      </c>
      <c r="Q65" s="74">
        <f t="shared" si="16"/>
        <v>132787.20000000001</v>
      </c>
      <c r="R65" s="74">
        <f t="shared" si="17"/>
        <v>16976.960000000006</v>
      </c>
      <c r="S65" s="171">
        <f>P65*3</f>
        <v>136.80000000000001</v>
      </c>
      <c r="U65" s="151">
        <f t="shared" si="18"/>
        <v>0.14659290922806134</v>
      </c>
      <c r="V65" s="117"/>
      <c r="X65" s="75">
        <v>3</v>
      </c>
      <c r="Y65" s="159">
        <f t="shared" si="21"/>
        <v>8736</v>
      </c>
    </row>
    <row r="66" spans="1:25" s="75" customFormat="1" x14ac:dyDescent="0.25">
      <c r="A66" s="176"/>
      <c r="B66" s="72">
        <v>33</v>
      </c>
      <c r="C66" s="153" t="s">
        <v>150</v>
      </c>
      <c r="D66" s="153">
        <v>6</v>
      </c>
      <c r="E66" s="153">
        <v>1</v>
      </c>
      <c r="F66" s="152">
        <f t="shared" si="19"/>
        <v>312</v>
      </c>
      <c r="G66" s="130">
        <f t="shared" ref="G66:G71" si="33">+G65</f>
        <v>473</v>
      </c>
      <c r="H66" s="79">
        <f t="shared" si="12"/>
        <v>147576</v>
      </c>
      <c r="I66" s="76">
        <f t="shared" si="30"/>
        <v>110660.57439032031</v>
      </c>
      <c r="J66" s="73">
        <f>References!$C$49*I66</f>
        <v>1770.5691902451258</v>
      </c>
      <c r="K66" s="119">
        <f>J66/References!$G$57</f>
        <v>1819.4580274425059</v>
      </c>
      <c r="L66" s="119">
        <f t="shared" si="20"/>
        <v>5.83</v>
      </c>
      <c r="M66" s="27">
        <v>39.770000000000003</v>
      </c>
      <c r="N66" s="73">
        <f t="shared" si="31"/>
        <v>45.6</v>
      </c>
      <c r="O66" s="73">
        <f t="shared" si="14"/>
        <v>12408.240000000002</v>
      </c>
      <c r="P66" s="74">
        <f t="shared" si="15"/>
        <v>45.6</v>
      </c>
      <c r="Q66" s="74">
        <f t="shared" si="16"/>
        <v>14227.2</v>
      </c>
      <c r="R66" s="74">
        <f t="shared" si="17"/>
        <v>1818.9599999999991</v>
      </c>
      <c r="U66" s="151">
        <f t="shared" si="18"/>
        <v>0.14659290922806134</v>
      </c>
      <c r="V66" s="117"/>
      <c r="X66" s="75">
        <v>3</v>
      </c>
      <c r="Y66" s="159">
        <f t="shared" si="21"/>
        <v>936</v>
      </c>
    </row>
    <row r="67" spans="1:25" s="75" customFormat="1" x14ac:dyDescent="0.25">
      <c r="A67" s="176"/>
      <c r="B67" s="72">
        <v>33</v>
      </c>
      <c r="C67" s="153" t="s">
        <v>151</v>
      </c>
      <c r="D67" s="153">
        <v>9</v>
      </c>
      <c r="E67" s="153">
        <v>1</v>
      </c>
      <c r="F67" s="152">
        <f t="shared" si="19"/>
        <v>468</v>
      </c>
      <c r="G67" s="130">
        <f t="shared" si="33"/>
        <v>473</v>
      </c>
      <c r="H67" s="79">
        <f t="shared" si="12"/>
        <v>221364</v>
      </c>
      <c r="I67" s="76">
        <f t="shared" si="30"/>
        <v>165990.86158548048</v>
      </c>
      <c r="J67" s="73">
        <f>References!$C$49*I67</f>
        <v>2655.8537853676889</v>
      </c>
      <c r="K67" s="119">
        <f>J67/References!$G$57</f>
        <v>2729.1870411637592</v>
      </c>
      <c r="L67" s="119">
        <f t="shared" si="20"/>
        <v>5.83</v>
      </c>
      <c r="M67" s="27">
        <v>39.770000000000003</v>
      </c>
      <c r="N67" s="73">
        <f t="shared" si="31"/>
        <v>45.6</v>
      </c>
      <c r="O67" s="73">
        <f t="shared" si="14"/>
        <v>18612.36</v>
      </c>
      <c r="P67" s="74">
        <f t="shared" si="15"/>
        <v>45.6</v>
      </c>
      <c r="Q67" s="74">
        <f t="shared" si="16"/>
        <v>21340.799999999999</v>
      </c>
      <c r="R67" s="74">
        <f t="shared" si="17"/>
        <v>2728.4399999999987</v>
      </c>
      <c r="U67" s="151">
        <f t="shared" si="18"/>
        <v>0.14659290922806134</v>
      </c>
      <c r="V67" s="117"/>
      <c r="X67" s="75">
        <v>3</v>
      </c>
      <c r="Y67" s="159">
        <f t="shared" si="21"/>
        <v>1404</v>
      </c>
    </row>
    <row r="68" spans="1:25" s="75" customFormat="1" x14ac:dyDescent="0.25">
      <c r="A68" s="176"/>
      <c r="B68" s="72">
        <v>33</v>
      </c>
      <c r="C68" s="153" t="s">
        <v>152</v>
      </c>
      <c r="D68" s="153">
        <v>16</v>
      </c>
      <c r="E68" s="153">
        <v>1</v>
      </c>
      <c r="F68" s="152">
        <f t="shared" si="19"/>
        <v>832</v>
      </c>
      <c r="G68" s="130">
        <f t="shared" si="33"/>
        <v>473</v>
      </c>
      <c r="H68" s="79">
        <f t="shared" si="12"/>
        <v>393536</v>
      </c>
      <c r="I68" s="76">
        <f t="shared" si="30"/>
        <v>295094.86504085414</v>
      </c>
      <c r="J68" s="73">
        <f>References!$C$49*I68</f>
        <v>4721.5178406536688</v>
      </c>
      <c r="K68" s="119">
        <f>J68/References!$G$57</f>
        <v>4851.8880731800155</v>
      </c>
      <c r="L68" s="119">
        <f t="shared" si="20"/>
        <v>5.83</v>
      </c>
      <c r="M68" s="27">
        <v>39.770000000000003</v>
      </c>
      <c r="N68" s="73">
        <f t="shared" si="31"/>
        <v>45.6</v>
      </c>
      <c r="O68" s="73">
        <f t="shared" si="14"/>
        <v>33088.639999999999</v>
      </c>
      <c r="P68" s="74">
        <f t="shared" si="15"/>
        <v>45.6</v>
      </c>
      <c r="Q68" s="74">
        <f t="shared" si="16"/>
        <v>37939.200000000004</v>
      </c>
      <c r="R68" s="74">
        <f t="shared" si="17"/>
        <v>4850.5600000000049</v>
      </c>
      <c r="U68" s="151">
        <f t="shared" si="18"/>
        <v>0.14659290922806134</v>
      </c>
      <c r="V68" s="117"/>
      <c r="X68" s="75">
        <v>3</v>
      </c>
      <c r="Y68" s="159">
        <f t="shared" si="21"/>
        <v>2496</v>
      </c>
    </row>
    <row r="69" spans="1:25" s="75" customFormat="1" x14ac:dyDescent="0.25">
      <c r="A69" s="176"/>
      <c r="B69" s="72">
        <v>33</v>
      </c>
      <c r="C69" s="153" t="s">
        <v>153</v>
      </c>
      <c r="D69" s="153">
        <v>7</v>
      </c>
      <c r="E69" s="153">
        <v>1</v>
      </c>
      <c r="F69" s="152">
        <f t="shared" si="19"/>
        <v>364</v>
      </c>
      <c r="G69" s="130">
        <f t="shared" si="33"/>
        <v>473</v>
      </c>
      <c r="H69" s="79">
        <f t="shared" si="12"/>
        <v>172172</v>
      </c>
      <c r="I69" s="76">
        <f t="shared" si="30"/>
        <v>129104.00345537369</v>
      </c>
      <c r="J69" s="73">
        <f>References!$C$49*I69</f>
        <v>2065.6640552859799</v>
      </c>
      <c r="K69" s="119">
        <f>J69/References!$G$57</f>
        <v>2122.7010320162567</v>
      </c>
      <c r="L69" s="119">
        <f t="shared" si="20"/>
        <v>5.83</v>
      </c>
      <c r="M69" s="27">
        <v>39.770000000000003</v>
      </c>
      <c r="N69" s="73">
        <f t="shared" si="31"/>
        <v>45.6</v>
      </c>
      <c r="O69" s="73">
        <f t="shared" si="14"/>
        <v>14476.28</v>
      </c>
      <c r="P69" s="74">
        <f t="shared" si="15"/>
        <v>45.6</v>
      </c>
      <c r="Q69" s="74">
        <f t="shared" si="16"/>
        <v>16598.400000000001</v>
      </c>
      <c r="R69" s="74">
        <f t="shared" si="17"/>
        <v>2122.1200000000008</v>
      </c>
      <c r="U69" s="151">
        <f t="shared" si="18"/>
        <v>0.14659290922806134</v>
      </c>
      <c r="V69" s="117"/>
      <c r="X69" s="75">
        <v>3</v>
      </c>
      <c r="Y69" s="159">
        <f t="shared" si="21"/>
        <v>1092</v>
      </c>
    </row>
    <row r="70" spans="1:25" s="75" customFormat="1" x14ac:dyDescent="0.25">
      <c r="A70" s="176"/>
      <c r="B70" s="72">
        <v>33</v>
      </c>
      <c r="C70" s="153" t="s">
        <v>154</v>
      </c>
      <c r="D70" s="153">
        <v>3</v>
      </c>
      <c r="E70" s="153">
        <v>2</v>
      </c>
      <c r="F70" s="152">
        <f t="shared" si="19"/>
        <v>312</v>
      </c>
      <c r="G70" s="130">
        <f t="shared" si="33"/>
        <v>473</v>
      </c>
      <c r="H70" s="79">
        <f t="shared" si="12"/>
        <v>147576</v>
      </c>
      <c r="I70" s="76">
        <f t="shared" si="30"/>
        <v>110660.57439032031</v>
      </c>
      <c r="J70" s="73">
        <f>References!$C$49*I70</f>
        <v>1770.5691902451258</v>
      </c>
      <c r="K70" s="119">
        <f>J70/References!$G$57</f>
        <v>1819.4580274425059</v>
      </c>
      <c r="L70" s="119">
        <f t="shared" si="20"/>
        <v>5.83</v>
      </c>
      <c r="M70" s="27">
        <v>39.770000000000003</v>
      </c>
      <c r="N70" s="73">
        <f t="shared" si="31"/>
        <v>45.6</v>
      </c>
      <c r="O70" s="73">
        <f t="shared" si="14"/>
        <v>12408.240000000002</v>
      </c>
      <c r="P70" s="74">
        <f t="shared" si="15"/>
        <v>45.6</v>
      </c>
      <c r="Q70" s="74">
        <f t="shared" si="16"/>
        <v>14227.2</v>
      </c>
      <c r="R70" s="74">
        <f t="shared" si="17"/>
        <v>1818.9599999999991</v>
      </c>
      <c r="U70" s="151">
        <f t="shared" si="18"/>
        <v>0.14659290922806134</v>
      </c>
      <c r="V70" s="117"/>
      <c r="X70" s="75">
        <v>3</v>
      </c>
      <c r="Y70" s="159">
        <f t="shared" si="21"/>
        <v>936</v>
      </c>
    </row>
    <row r="71" spans="1:25" s="75" customFormat="1" x14ac:dyDescent="0.25">
      <c r="A71" s="176"/>
      <c r="B71" s="72">
        <v>33</v>
      </c>
      <c r="C71" s="153" t="s">
        <v>156</v>
      </c>
      <c r="D71" s="153">
        <v>2</v>
      </c>
      <c r="E71" s="153">
        <v>3</v>
      </c>
      <c r="F71" s="152">
        <f t="shared" si="19"/>
        <v>312</v>
      </c>
      <c r="G71" s="130">
        <f t="shared" si="33"/>
        <v>473</v>
      </c>
      <c r="H71" s="79">
        <f t="shared" si="12"/>
        <v>147576</v>
      </c>
      <c r="I71" s="76">
        <f t="shared" si="30"/>
        <v>110660.57439032031</v>
      </c>
      <c r="J71" s="73">
        <f>References!$C$49*I71</f>
        <v>1770.5691902451258</v>
      </c>
      <c r="K71" s="119">
        <f>J71/References!$G$57</f>
        <v>1819.4580274425059</v>
      </c>
      <c r="L71" s="119">
        <f t="shared" si="20"/>
        <v>5.83</v>
      </c>
      <c r="M71" s="27">
        <v>39.770000000000003</v>
      </c>
      <c r="N71" s="73">
        <f t="shared" si="31"/>
        <v>45.6</v>
      </c>
      <c r="O71" s="73">
        <f t="shared" ref="O71:O99" si="34">F71*M71</f>
        <v>12408.240000000002</v>
      </c>
      <c r="P71" s="74">
        <f t="shared" ref="P71:P99" si="35">N71</f>
        <v>45.6</v>
      </c>
      <c r="Q71" s="74">
        <f t="shared" ref="Q71:Q99" si="36">F71*P71</f>
        <v>14227.2</v>
      </c>
      <c r="R71" s="74">
        <f t="shared" ref="R71:R99" si="37">Q71-O71</f>
        <v>1818.9599999999991</v>
      </c>
      <c r="U71" s="151">
        <f t="shared" si="18"/>
        <v>0.14659290922806134</v>
      </c>
      <c r="V71" s="117"/>
      <c r="X71" s="75">
        <v>3</v>
      </c>
      <c r="Y71" s="159">
        <f t="shared" si="21"/>
        <v>936</v>
      </c>
    </row>
    <row r="72" spans="1:25" s="75" customFormat="1" x14ac:dyDescent="0.25">
      <c r="A72" s="176"/>
      <c r="B72" s="72">
        <v>33</v>
      </c>
      <c r="C72" s="153" t="s">
        <v>157</v>
      </c>
      <c r="D72" s="153">
        <v>3</v>
      </c>
      <c r="E72" s="155">
        <f>1/4.333</f>
        <v>0.23078698361412414</v>
      </c>
      <c r="F72" s="152">
        <f t="shared" si="19"/>
        <v>36.002769443803366</v>
      </c>
      <c r="G72" s="130">
        <f>+References!B31</f>
        <v>613</v>
      </c>
      <c r="H72" s="79">
        <f t="shared" si="12"/>
        <v>22069.697669051464</v>
      </c>
      <c r="I72" s="76">
        <f t="shared" si="30"/>
        <v>16549.069094418795</v>
      </c>
      <c r="J72" s="73">
        <f>References!$C$49*I72</f>
        <v>264.78510551070087</v>
      </c>
      <c r="K72" s="119">
        <f>J72/References!$G$57</f>
        <v>272.09633400542668</v>
      </c>
      <c r="L72" s="119">
        <f t="shared" si="20"/>
        <v>7.56</v>
      </c>
      <c r="M72" s="27">
        <v>53.53</v>
      </c>
      <c r="N72" s="73">
        <f t="shared" si="31"/>
        <v>61.09</v>
      </c>
      <c r="O72" s="73">
        <f t="shared" si="34"/>
        <v>1927.2282483267943</v>
      </c>
      <c r="P72" s="74">
        <f t="shared" si="35"/>
        <v>61.09</v>
      </c>
      <c r="Q72" s="74">
        <f t="shared" si="36"/>
        <v>2199.4091853219479</v>
      </c>
      <c r="R72" s="74">
        <f t="shared" si="37"/>
        <v>272.18093699515362</v>
      </c>
      <c r="U72" s="151">
        <f t="shared" si="18"/>
        <v>0.14122921726134874</v>
      </c>
      <c r="V72" s="117"/>
      <c r="X72" s="75">
        <v>4</v>
      </c>
      <c r="Y72" s="159">
        <f t="shared" si="21"/>
        <v>144.01107777521347</v>
      </c>
    </row>
    <row r="73" spans="1:25" s="75" customFormat="1" x14ac:dyDescent="0.25">
      <c r="A73" s="176"/>
      <c r="B73" s="72">
        <v>33</v>
      </c>
      <c r="C73" s="153" t="s">
        <v>159</v>
      </c>
      <c r="D73" s="153">
        <v>15</v>
      </c>
      <c r="E73" s="153">
        <v>0.5</v>
      </c>
      <c r="F73" s="152">
        <f t="shared" si="19"/>
        <v>390</v>
      </c>
      <c r="G73" s="130">
        <f>+G72</f>
        <v>613</v>
      </c>
      <c r="H73" s="79">
        <f t="shared" si="12"/>
        <v>239070</v>
      </c>
      <c r="I73" s="76">
        <f t="shared" si="30"/>
        <v>179267.79096529161</v>
      </c>
      <c r="J73" s="73">
        <f>References!$C$49*I73</f>
        <v>2868.2846554446669</v>
      </c>
      <c r="K73" s="119">
        <f>J73/References!$G$57</f>
        <v>2947.4835381137841</v>
      </c>
      <c r="L73" s="119">
        <f t="shared" si="20"/>
        <v>7.56</v>
      </c>
      <c r="M73" s="27">
        <v>50.53</v>
      </c>
      <c r="N73" s="73">
        <f t="shared" si="31"/>
        <v>58.09</v>
      </c>
      <c r="O73" s="73">
        <f t="shared" si="34"/>
        <v>19706.7</v>
      </c>
      <c r="P73" s="74">
        <f t="shared" si="35"/>
        <v>58.09</v>
      </c>
      <c r="Q73" s="74">
        <f t="shared" si="36"/>
        <v>22655.100000000002</v>
      </c>
      <c r="R73" s="74">
        <f t="shared" si="37"/>
        <v>2948.4000000000015</v>
      </c>
      <c r="U73" s="151">
        <f t="shared" si="18"/>
        <v>0.14961409063922426</v>
      </c>
      <c r="V73" s="117"/>
      <c r="X73" s="75">
        <v>4</v>
      </c>
      <c r="Y73" s="159">
        <f t="shared" si="21"/>
        <v>1560</v>
      </c>
    </row>
    <row r="74" spans="1:25" s="75" customFormat="1" x14ac:dyDescent="0.25">
      <c r="A74" s="176"/>
      <c r="B74" s="72">
        <v>33</v>
      </c>
      <c r="C74" s="153" t="s">
        <v>158</v>
      </c>
      <c r="D74" s="153">
        <v>59</v>
      </c>
      <c r="E74" s="153">
        <v>1</v>
      </c>
      <c r="F74" s="152">
        <f t="shared" si="19"/>
        <v>3068</v>
      </c>
      <c r="G74" s="130">
        <f t="shared" ref="G74:G81" si="38">+G73</f>
        <v>613</v>
      </c>
      <c r="H74" s="79">
        <f t="shared" si="12"/>
        <v>1880684</v>
      </c>
      <c r="I74" s="76">
        <f t="shared" si="30"/>
        <v>1410239.9555936274</v>
      </c>
      <c r="J74" s="73">
        <f>References!$C$49*I74</f>
        <v>22563.83928949805</v>
      </c>
      <c r="K74" s="119">
        <f>J74/References!$G$57</f>
        <v>23186.870499828437</v>
      </c>
      <c r="L74" s="119">
        <f t="shared" si="20"/>
        <v>7.56</v>
      </c>
      <c r="M74" s="27">
        <v>50.53</v>
      </c>
      <c r="N74" s="73">
        <f t="shared" si="31"/>
        <v>58.09</v>
      </c>
      <c r="O74" s="73">
        <f t="shared" si="34"/>
        <v>155026.04</v>
      </c>
      <c r="P74" s="74">
        <f t="shared" si="35"/>
        <v>58.09</v>
      </c>
      <c r="Q74" s="74">
        <f t="shared" si="36"/>
        <v>178220.12000000002</v>
      </c>
      <c r="R74" s="74">
        <f t="shared" si="37"/>
        <v>23194.080000000016</v>
      </c>
      <c r="S74" s="171">
        <f>P74*3</f>
        <v>174.27</v>
      </c>
      <c r="U74" s="151">
        <f t="shared" si="18"/>
        <v>0.14961409063922426</v>
      </c>
      <c r="V74" s="117"/>
      <c r="X74" s="75">
        <v>4</v>
      </c>
      <c r="Y74" s="159">
        <f t="shared" si="21"/>
        <v>12272</v>
      </c>
    </row>
    <row r="75" spans="1:25" s="75" customFormat="1" x14ac:dyDescent="0.25">
      <c r="A75" s="176"/>
      <c r="B75" s="72">
        <v>33</v>
      </c>
      <c r="C75" s="153" t="s">
        <v>160</v>
      </c>
      <c r="D75" s="153">
        <v>16</v>
      </c>
      <c r="E75" s="153">
        <v>1</v>
      </c>
      <c r="F75" s="152">
        <f t="shared" si="19"/>
        <v>832</v>
      </c>
      <c r="G75" s="130">
        <f t="shared" si="38"/>
        <v>613</v>
      </c>
      <c r="H75" s="79">
        <f t="shared" si="12"/>
        <v>510016</v>
      </c>
      <c r="I75" s="76">
        <f t="shared" si="30"/>
        <v>382437.95405928878</v>
      </c>
      <c r="J75" s="73">
        <f>References!$C$49*I75</f>
        <v>6119.0072649486228</v>
      </c>
      <c r="K75" s="119">
        <f>J75/References!$G$57</f>
        <v>6287.9648813094063</v>
      </c>
      <c r="L75" s="119">
        <f t="shared" si="20"/>
        <v>7.56</v>
      </c>
      <c r="M75" s="27">
        <v>50.53</v>
      </c>
      <c r="N75" s="73">
        <f t="shared" si="31"/>
        <v>58.09</v>
      </c>
      <c r="O75" s="73">
        <f t="shared" si="34"/>
        <v>42040.959999999999</v>
      </c>
      <c r="P75" s="74">
        <f t="shared" si="35"/>
        <v>58.09</v>
      </c>
      <c r="Q75" s="74">
        <f t="shared" si="36"/>
        <v>48330.880000000005</v>
      </c>
      <c r="R75" s="74">
        <f t="shared" si="37"/>
        <v>6289.9200000000055</v>
      </c>
      <c r="U75" s="151">
        <f t="shared" si="18"/>
        <v>0.14961409063922426</v>
      </c>
      <c r="V75" s="117"/>
      <c r="X75" s="75">
        <v>4</v>
      </c>
      <c r="Y75" s="159">
        <f t="shared" si="21"/>
        <v>3328</v>
      </c>
    </row>
    <row r="76" spans="1:25" s="75" customFormat="1" x14ac:dyDescent="0.25">
      <c r="A76" s="176"/>
      <c r="B76" s="72">
        <v>33</v>
      </c>
      <c r="C76" s="153" t="s">
        <v>161</v>
      </c>
      <c r="D76" s="153">
        <v>6</v>
      </c>
      <c r="E76" s="153">
        <v>1</v>
      </c>
      <c r="F76" s="152">
        <f t="shared" si="19"/>
        <v>312</v>
      </c>
      <c r="G76" s="130">
        <f t="shared" si="38"/>
        <v>613</v>
      </c>
      <c r="H76" s="79">
        <f t="shared" si="12"/>
        <v>191256</v>
      </c>
      <c r="I76" s="76">
        <f t="shared" si="30"/>
        <v>143414.23277223331</v>
      </c>
      <c r="J76" s="73">
        <f>References!$C$49*I76</f>
        <v>2294.6277243557342</v>
      </c>
      <c r="K76" s="119">
        <f>J76/References!$G$57</f>
        <v>2357.9868304910278</v>
      </c>
      <c r="L76" s="119">
        <f t="shared" si="20"/>
        <v>7.56</v>
      </c>
      <c r="M76" s="27">
        <v>50.53</v>
      </c>
      <c r="N76" s="73">
        <f t="shared" si="31"/>
        <v>58.09</v>
      </c>
      <c r="O76" s="73">
        <f t="shared" si="34"/>
        <v>15765.36</v>
      </c>
      <c r="P76" s="74">
        <f t="shared" si="35"/>
        <v>58.09</v>
      </c>
      <c r="Q76" s="74">
        <f t="shared" si="36"/>
        <v>18124.080000000002</v>
      </c>
      <c r="R76" s="74">
        <f t="shared" si="37"/>
        <v>2358.7200000000012</v>
      </c>
      <c r="U76" s="151">
        <f t="shared" si="18"/>
        <v>0.14961409063922426</v>
      </c>
      <c r="V76" s="117"/>
      <c r="X76" s="75">
        <v>4</v>
      </c>
      <c r="Y76" s="159">
        <f t="shared" si="21"/>
        <v>1248</v>
      </c>
    </row>
    <row r="77" spans="1:25" s="75" customFormat="1" x14ac:dyDescent="0.25">
      <c r="A77" s="176"/>
      <c r="B77" s="72">
        <v>33</v>
      </c>
      <c r="C77" s="153" t="s">
        <v>162</v>
      </c>
      <c r="D77" s="153">
        <v>24</v>
      </c>
      <c r="E77" s="153">
        <v>1</v>
      </c>
      <c r="F77" s="152">
        <f t="shared" si="19"/>
        <v>1248</v>
      </c>
      <c r="G77" s="130">
        <f t="shared" si="38"/>
        <v>613</v>
      </c>
      <c r="H77" s="79">
        <f t="shared" si="12"/>
        <v>765024</v>
      </c>
      <c r="I77" s="76">
        <f t="shared" si="30"/>
        <v>573656.93108893326</v>
      </c>
      <c r="J77" s="73">
        <f>References!$C$49*I77</f>
        <v>9178.510897422937</v>
      </c>
      <c r="K77" s="119">
        <f>J77/References!$G$57</f>
        <v>9431.9473219641113</v>
      </c>
      <c r="L77" s="119">
        <f t="shared" si="20"/>
        <v>7.56</v>
      </c>
      <c r="M77" s="27">
        <v>50.53</v>
      </c>
      <c r="N77" s="73">
        <f t="shared" si="31"/>
        <v>58.09</v>
      </c>
      <c r="O77" s="73">
        <f t="shared" si="34"/>
        <v>63061.440000000002</v>
      </c>
      <c r="P77" s="74">
        <f t="shared" si="35"/>
        <v>58.09</v>
      </c>
      <c r="Q77" s="74">
        <f t="shared" si="36"/>
        <v>72496.320000000007</v>
      </c>
      <c r="R77" s="74">
        <f t="shared" si="37"/>
        <v>9434.8800000000047</v>
      </c>
      <c r="U77" s="151">
        <f t="shared" si="18"/>
        <v>0.14961409063922426</v>
      </c>
      <c r="V77" s="117"/>
      <c r="X77" s="75">
        <v>4</v>
      </c>
      <c r="Y77" s="159">
        <f t="shared" si="21"/>
        <v>4992</v>
      </c>
    </row>
    <row r="78" spans="1:25" s="75" customFormat="1" x14ac:dyDescent="0.25">
      <c r="A78" s="176"/>
      <c r="B78" s="72">
        <v>33</v>
      </c>
      <c r="C78" s="153" t="s">
        <v>163</v>
      </c>
      <c r="D78" s="153">
        <v>8</v>
      </c>
      <c r="E78" s="153">
        <v>2</v>
      </c>
      <c r="F78" s="152">
        <f t="shared" si="19"/>
        <v>832</v>
      </c>
      <c r="G78" s="130">
        <f t="shared" si="38"/>
        <v>613</v>
      </c>
      <c r="H78" s="79">
        <f t="shared" si="12"/>
        <v>510016</v>
      </c>
      <c r="I78" s="76">
        <f t="shared" ref="I78:I99" si="39">$C$111*H78</f>
        <v>382437.95405928878</v>
      </c>
      <c r="J78" s="73">
        <f>References!$C$49*I78</f>
        <v>6119.0072649486228</v>
      </c>
      <c r="K78" s="119">
        <f>J78/References!$G$57</f>
        <v>6287.9648813094063</v>
      </c>
      <c r="L78" s="119">
        <f t="shared" si="20"/>
        <v>7.56</v>
      </c>
      <c r="M78" s="27">
        <v>50.53</v>
      </c>
      <c r="N78" s="73">
        <f t="shared" si="31"/>
        <v>58.09</v>
      </c>
      <c r="O78" s="73">
        <f t="shared" si="34"/>
        <v>42040.959999999999</v>
      </c>
      <c r="P78" s="74">
        <f t="shared" si="35"/>
        <v>58.09</v>
      </c>
      <c r="Q78" s="74">
        <f t="shared" si="36"/>
        <v>48330.880000000005</v>
      </c>
      <c r="R78" s="74">
        <f t="shared" si="37"/>
        <v>6289.9200000000055</v>
      </c>
      <c r="U78" s="151">
        <f t="shared" si="18"/>
        <v>0.14961409063922426</v>
      </c>
      <c r="V78" s="117"/>
      <c r="X78" s="75">
        <v>4</v>
      </c>
      <c r="Y78" s="159">
        <f t="shared" si="21"/>
        <v>3328</v>
      </c>
    </row>
    <row r="79" spans="1:25" s="75" customFormat="1" x14ac:dyDescent="0.25">
      <c r="A79" s="176"/>
      <c r="B79" s="72">
        <v>33</v>
      </c>
      <c r="C79" s="153" t="s">
        <v>164</v>
      </c>
      <c r="D79" s="153">
        <v>2</v>
      </c>
      <c r="E79" s="153">
        <v>2</v>
      </c>
      <c r="F79" s="152">
        <f t="shared" si="19"/>
        <v>208</v>
      </c>
      <c r="G79" s="130">
        <f t="shared" si="38"/>
        <v>613</v>
      </c>
      <c r="H79" s="79">
        <f t="shared" si="12"/>
        <v>127504</v>
      </c>
      <c r="I79" s="76">
        <f t="shared" si="39"/>
        <v>95609.488514822195</v>
      </c>
      <c r="J79" s="73">
        <f>References!$C$49*I79</f>
        <v>1529.7518162371557</v>
      </c>
      <c r="K79" s="119">
        <f>J79/References!$G$57</f>
        <v>1571.9912203273516</v>
      </c>
      <c r="L79" s="119">
        <f t="shared" si="20"/>
        <v>7.56</v>
      </c>
      <c r="M79" s="27">
        <v>50.53</v>
      </c>
      <c r="N79" s="73">
        <f t="shared" si="31"/>
        <v>58.09</v>
      </c>
      <c r="O79" s="73">
        <f t="shared" si="34"/>
        <v>10510.24</v>
      </c>
      <c r="P79" s="74">
        <f t="shared" si="35"/>
        <v>58.09</v>
      </c>
      <c r="Q79" s="74">
        <f t="shared" si="36"/>
        <v>12082.720000000001</v>
      </c>
      <c r="R79" s="74">
        <f t="shared" si="37"/>
        <v>1572.4800000000014</v>
      </c>
      <c r="U79" s="151">
        <f t="shared" si="18"/>
        <v>0.14961409063922426</v>
      </c>
      <c r="V79" s="117"/>
      <c r="X79" s="75">
        <v>4</v>
      </c>
      <c r="Y79" s="159">
        <f t="shared" si="21"/>
        <v>832</v>
      </c>
    </row>
    <row r="80" spans="1:25" s="75" customFormat="1" x14ac:dyDescent="0.25">
      <c r="A80" s="176"/>
      <c r="B80" s="72">
        <v>33</v>
      </c>
      <c r="C80" s="153" t="s">
        <v>165</v>
      </c>
      <c r="D80" s="153">
        <v>4</v>
      </c>
      <c r="E80" s="153">
        <v>2</v>
      </c>
      <c r="F80" s="152">
        <f t="shared" si="19"/>
        <v>416</v>
      </c>
      <c r="G80" s="130">
        <f t="shared" si="38"/>
        <v>613</v>
      </c>
      <c r="H80" s="79">
        <f t="shared" si="12"/>
        <v>255008</v>
      </c>
      <c r="I80" s="76">
        <f t="shared" si="39"/>
        <v>191218.97702964439</v>
      </c>
      <c r="J80" s="73">
        <f>References!$C$49*I80</f>
        <v>3059.5036324743114</v>
      </c>
      <c r="K80" s="119">
        <f>J80/References!$G$57</f>
        <v>3143.9824406547032</v>
      </c>
      <c r="L80" s="119">
        <f t="shared" si="20"/>
        <v>7.56</v>
      </c>
      <c r="M80" s="27">
        <v>50.53</v>
      </c>
      <c r="N80" s="73">
        <f t="shared" si="31"/>
        <v>58.09</v>
      </c>
      <c r="O80" s="73">
        <f t="shared" si="34"/>
        <v>21020.48</v>
      </c>
      <c r="P80" s="74">
        <f t="shared" si="35"/>
        <v>58.09</v>
      </c>
      <c r="Q80" s="74">
        <f t="shared" si="36"/>
        <v>24165.440000000002</v>
      </c>
      <c r="R80" s="74">
        <f t="shared" si="37"/>
        <v>3144.9600000000028</v>
      </c>
      <c r="U80" s="151">
        <f t="shared" si="18"/>
        <v>0.14961409063922426</v>
      </c>
      <c r="V80" s="117"/>
      <c r="X80" s="75">
        <v>4</v>
      </c>
      <c r="Y80" s="159">
        <f t="shared" si="21"/>
        <v>1664</v>
      </c>
    </row>
    <row r="81" spans="1:25" s="75" customFormat="1" x14ac:dyDescent="0.25">
      <c r="A81" s="176"/>
      <c r="B81" s="72">
        <v>33</v>
      </c>
      <c r="C81" s="153" t="s">
        <v>166</v>
      </c>
      <c r="D81" s="153">
        <v>2</v>
      </c>
      <c r="E81" s="153">
        <v>3</v>
      </c>
      <c r="F81" s="152">
        <f t="shared" si="19"/>
        <v>312</v>
      </c>
      <c r="G81" s="130">
        <f t="shared" si="38"/>
        <v>613</v>
      </c>
      <c r="H81" s="79">
        <f t="shared" si="12"/>
        <v>191256</v>
      </c>
      <c r="I81" s="76">
        <f t="shared" si="39"/>
        <v>143414.23277223331</v>
      </c>
      <c r="J81" s="73">
        <f>References!$C$49*I81</f>
        <v>2294.6277243557342</v>
      </c>
      <c r="K81" s="119">
        <f>J81/References!$G$57</f>
        <v>2357.9868304910278</v>
      </c>
      <c r="L81" s="119">
        <f t="shared" si="20"/>
        <v>7.56</v>
      </c>
      <c r="M81" s="27">
        <v>50.53</v>
      </c>
      <c r="N81" s="73">
        <f t="shared" si="31"/>
        <v>58.09</v>
      </c>
      <c r="O81" s="73">
        <f t="shared" si="34"/>
        <v>15765.36</v>
      </c>
      <c r="P81" s="74">
        <f t="shared" si="35"/>
        <v>58.09</v>
      </c>
      <c r="Q81" s="74">
        <f t="shared" si="36"/>
        <v>18124.080000000002</v>
      </c>
      <c r="R81" s="74">
        <f t="shared" si="37"/>
        <v>2358.7200000000012</v>
      </c>
      <c r="U81" s="151">
        <f t="shared" si="18"/>
        <v>0.14961409063922426</v>
      </c>
      <c r="V81" s="117"/>
      <c r="X81" s="75">
        <v>4</v>
      </c>
      <c r="Y81" s="159">
        <f t="shared" si="21"/>
        <v>1248</v>
      </c>
    </row>
    <row r="82" spans="1:25" s="75" customFormat="1" x14ac:dyDescent="0.25">
      <c r="A82" s="176"/>
      <c r="B82" s="72">
        <v>33</v>
      </c>
      <c r="C82" s="153" t="s">
        <v>167</v>
      </c>
      <c r="D82" s="153">
        <v>2</v>
      </c>
      <c r="E82" s="155">
        <f>1/4.333</f>
        <v>0.23078698361412414</v>
      </c>
      <c r="F82" s="152">
        <f t="shared" si="19"/>
        <v>24.001846295868912</v>
      </c>
      <c r="G82" s="130">
        <f>+References!B32</f>
        <v>840</v>
      </c>
      <c r="H82" s="79">
        <f t="shared" si="12"/>
        <v>20161.550888529888</v>
      </c>
      <c r="I82" s="76">
        <f t="shared" si="39"/>
        <v>15118.236040578347</v>
      </c>
      <c r="J82" s="73">
        <f>References!$C$49*I82</f>
        <v>241.89177664925367</v>
      </c>
      <c r="K82" s="119">
        <f>J82/References!$G$57</f>
        <v>248.57087608978622</v>
      </c>
      <c r="L82" s="119">
        <f t="shared" si="20"/>
        <v>10.36</v>
      </c>
      <c r="M82" s="27">
        <v>72.84</v>
      </c>
      <c r="N82" s="73">
        <f t="shared" si="31"/>
        <v>83.2</v>
      </c>
      <c r="O82" s="73">
        <f t="shared" si="34"/>
        <v>1748.2944841910917</v>
      </c>
      <c r="P82" s="74">
        <f t="shared" si="35"/>
        <v>83.2</v>
      </c>
      <c r="Q82" s="74">
        <f t="shared" si="36"/>
        <v>1996.9536118162935</v>
      </c>
      <c r="R82" s="74">
        <f t="shared" si="37"/>
        <v>248.65912762520179</v>
      </c>
      <c r="U82" s="151">
        <f t="shared" ref="U82:U99" si="40">+N82/M82-1</f>
        <v>0.14222954420648004</v>
      </c>
      <c r="V82" s="117"/>
      <c r="X82" s="75">
        <v>6</v>
      </c>
      <c r="Y82" s="159">
        <f t="shared" si="21"/>
        <v>144.01107777521347</v>
      </c>
    </row>
    <row r="83" spans="1:25" s="75" customFormat="1" x14ac:dyDescent="0.25">
      <c r="A83" s="176"/>
      <c r="B83" s="72">
        <v>33</v>
      </c>
      <c r="C83" s="153" t="s">
        <v>168</v>
      </c>
      <c r="D83" s="153">
        <v>8</v>
      </c>
      <c r="E83" s="153">
        <v>0.5</v>
      </c>
      <c r="F83" s="152">
        <f t="shared" si="19"/>
        <v>208</v>
      </c>
      <c r="G83" s="130">
        <f>+G82</f>
        <v>840</v>
      </c>
      <c r="H83" s="79">
        <f t="shared" si="12"/>
        <v>174720</v>
      </c>
      <c r="I83" s="76">
        <f t="shared" si="39"/>
        <v>131014.63352765195</v>
      </c>
      <c r="J83" s="73">
        <f>References!$C$49*I83</f>
        <v>2096.2341364424324</v>
      </c>
      <c r="K83" s="119">
        <f>J83/References!$G$57</f>
        <v>2154.1152121940872</v>
      </c>
      <c r="L83" s="119">
        <f t="shared" si="20"/>
        <v>10.36</v>
      </c>
      <c r="M83" s="27">
        <v>69.84</v>
      </c>
      <c r="N83" s="73">
        <f t="shared" si="31"/>
        <v>80.2</v>
      </c>
      <c r="O83" s="73">
        <f t="shared" si="34"/>
        <v>14526.720000000001</v>
      </c>
      <c r="P83" s="74">
        <f t="shared" si="35"/>
        <v>80.2</v>
      </c>
      <c r="Q83" s="74">
        <f t="shared" si="36"/>
        <v>16681.600000000002</v>
      </c>
      <c r="R83" s="74">
        <f t="shared" si="37"/>
        <v>2154.880000000001</v>
      </c>
      <c r="U83" s="151">
        <f t="shared" si="40"/>
        <v>0.14833906071019465</v>
      </c>
      <c r="V83" s="117"/>
      <c r="X83" s="75">
        <v>6</v>
      </c>
      <c r="Y83" s="159">
        <f t="shared" si="21"/>
        <v>1248</v>
      </c>
    </row>
    <row r="84" spans="1:25" s="75" customFormat="1" x14ac:dyDescent="0.25">
      <c r="A84" s="176"/>
      <c r="B84" s="72">
        <v>33</v>
      </c>
      <c r="C84" s="153" t="s">
        <v>169</v>
      </c>
      <c r="D84" s="153">
        <v>51</v>
      </c>
      <c r="E84" s="153">
        <v>1</v>
      </c>
      <c r="F84" s="152">
        <f t="shared" si="19"/>
        <v>2652</v>
      </c>
      <c r="G84" s="130">
        <f t="shared" ref="G84:G95" si="41">+G83</f>
        <v>840</v>
      </c>
      <c r="H84" s="79">
        <f t="shared" si="12"/>
        <v>2227680</v>
      </c>
      <c r="I84" s="76">
        <f t="shared" si="39"/>
        <v>1670436.5774775625</v>
      </c>
      <c r="J84" s="73">
        <f>References!$C$49*I84</f>
        <v>26726.985239641013</v>
      </c>
      <c r="K84" s="119">
        <f>J84/References!$G$57</f>
        <v>27464.968955474615</v>
      </c>
      <c r="L84" s="119">
        <f t="shared" si="20"/>
        <v>10.36</v>
      </c>
      <c r="M84" s="27">
        <v>69.84</v>
      </c>
      <c r="N84" s="73">
        <f t="shared" si="31"/>
        <v>80.2</v>
      </c>
      <c r="O84" s="73">
        <f t="shared" si="34"/>
        <v>185215.68000000002</v>
      </c>
      <c r="P84" s="74">
        <f t="shared" si="35"/>
        <v>80.2</v>
      </c>
      <c r="Q84" s="74">
        <f t="shared" si="36"/>
        <v>212690.4</v>
      </c>
      <c r="R84" s="74">
        <f t="shared" si="37"/>
        <v>27474.719999999972</v>
      </c>
      <c r="S84" s="171">
        <f>P84*3</f>
        <v>240.60000000000002</v>
      </c>
      <c r="U84" s="151">
        <f t="shared" si="40"/>
        <v>0.14833906071019465</v>
      </c>
      <c r="V84" s="117"/>
      <c r="X84" s="75">
        <v>6</v>
      </c>
      <c r="Y84" s="159">
        <f t="shared" si="21"/>
        <v>15912</v>
      </c>
    </row>
    <row r="85" spans="1:25" s="75" customFormat="1" x14ac:dyDescent="0.25">
      <c r="A85" s="176"/>
      <c r="B85" s="72">
        <v>33</v>
      </c>
      <c r="C85" s="153" t="s">
        <v>170</v>
      </c>
      <c r="D85" s="153">
        <v>14</v>
      </c>
      <c r="E85" s="153">
        <v>1</v>
      </c>
      <c r="F85" s="152">
        <f t="shared" si="19"/>
        <v>728</v>
      </c>
      <c r="G85" s="130">
        <f t="shared" si="41"/>
        <v>840</v>
      </c>
      <c r="H85" s="79">
        <f t="shared" si="12"/>
        <v>611520</v>
      </c>
      <c r="I85" s="76">
        <f t="shared" si="39"/>
        <v>458551.21734678186</v>
      </c>
      <c r="J85" s="73">
        <f>References!$C$49*I85</f>
        <v>7336.8194775485135</v>
      </c>
      <c r="K85" s="119">
        <f>J85/References!$G$57</f>
        <v>7539.4032426793065</v>
      </c>
      <c r="L85" s="119">
        <f t="shared" si="20"/>
        <v>10.36</v>
      </c>
      <c r="M85" s="27">
        <v>69.84</v>
      </c>
      <c r="N85" s="73">
        <f t="shared" si="31"/>
        <v>80.2</v>
      </c>
      <c r="O85" s="73">
        <f t="shared" si="34"/>
        <v>50843.520000000004</v>
      </c>
      <c r="P85" s="74">
        <f t="shared" si="35"/>
        <v>80.2</v>
      </c>
      <c r="Q85" s="74">
        <f t="shared" si="36"/>
        <v>58385.599999999999</v>
      </c>
      <c r="R85" s="74">
        <f t="shared" si="37"/>
        <v>7542.0799999999945</v>
      </c>
      <c r="U85" s="151">
        <f t="shared" si="40"/>
        <v>0.14833906071019465</v>
      </c>
      <c r="V85" s="117"/>
      <c r="X85" s="75">
        <v>6</v>
      </c>
      <c r="Y85" s="159">
        <f t="shared" si="21"/>
        <v>4368</v>
      </c>
    </row>
    <row r="86" spans="1:25" s="75" customFormat="1" x14ac:dyDescent="0.25">
      <c r="A86" s="176"/>
      <c r="B86" s="72">
        <v>33</v>
      </c>
      <c r="C86" s="153" t="s">
        <v>171</v>
      </c>
      <c r="D86" s="153">
        <v>9</v>
      </c>
      <c r="E86" s="153">
        <v>1</v>
      </c>
      <c r="F86" s="152">
        <f t="shared" si="19"/>
        <v>468</v>
      </c>
      <c r="G86" s="130">
        <f t="shared" si="41"/>
        <v>840</v>
      </c>
      <c r="H86" s="79">
        <f t="shared" si="12"/>
        <v>393120</v>
      </c>
      <c r="I86" s="76">
        <f t="shared" si="39"/>
        <v>294782.92543721688</v>
      </c>
      <c r="J86" s="73">
        <f>References!$C$49*I86</f>
        <v>4716.5268069954718</v>
      </c>
      <c r="K86" s="119">
        <f>J86/References!$G$57</f>
        <v>4846.7592274366953</v>
      </c>
      <c r="L86" s="119">
        <f t="shared" si="20"/>
        <v>10.36</v>
      </c>
      <c r="M86" s="27">
        <v>69.84</v>
      </c>
      <c r="N86" s="73">
        <f t="shared" si="31"/>
        <v>80.2</v>
      </c>
      <c r="O86" s="73">
        <f t="shared" si="34"/>
        <v>32685.120000000003</v>
      </c>
      <c r="P86" s="74">
        <f t="shared" si="35"/>
        <v>80.2</v>
      </c>
      <c r="Q86" s="74">
        <f t="shared" si="36"/>
        <v>37533.599999999999</v>
      </c>
      <c r="R86" s="74">
        <f t="shared" si="37"/>
        <v>4848.4799999999959</v>
      </c>
      <c r="U86" s="151">
        <f t="shared" si="40"/>
        <v>0.14833906071019465</v>
      </c>
      <c r="V86" s="117"/>
      <c r="X86" s="75">
        <v>6</v>
      </c>
      <c r="Y86" s="159">
        <f t="shared" si="21"/>
        <v>2808</v>
      </c>
    </row>
    <row r="87" spans="1:25" s="75" customFormat="1" x14ac:dyDescent="0.25">
      <c r="A87" s="176"/>
      <c r="B87" s="72">
        <v>33</v>
      </c>
      <c r="C87" s="153" t="s">
        <v>172</v>
      </c>
      <c r="D87" s="153">
        <v>8</v>
      </c>
      <c r="E87" s="153">
        <v>1</v>
      </c>
      <c r="F87" s="152">
        <f t="shared" si="19"/>
        <v>416</v>
      </c>
      <c r="G87" s="130">
        <f t="shared" si="41"/>
        <v>840</v>
      </c>
      <c r="H87" s="79">
        <f t="shared" si="12"/>
        <v>349440</v>
      </c>
      <c r="I87" s="76">
        <f t="shared" si="39"/>
        <v>262029.26705530391</v>
      </c>
      <c r="J87" s="73">
        <f>References!$C$49*I87</f>
        <v>4192.4682728848647</v>
      </c>
      <c r="K87" s="119">
        <f>J87/References!$G$57</f>
        <v>4308.2304243881745</v>
      </c>
      <c r="L87" s="119">
        <f t="shared" si="20"/>
        <v>10.36</v>
      </c>
      <c r="M87" s="27">
        <v>69.84</v>
      </c>
      <c r="N87" s="73">
        <f t="shared" si="31"/>
        <v>80.2</v>
      </c>
      <c r="O87" s="73">
        <f t="shared" si="34"/>
        <v>29053.440000000002</v>
      </c>
      <c r="P87" s="74">
        <f t="shared" si="35"/>
        <v>80.2</v>
      </c>
      <c r="Q87" s="74">
        <f t="shared" si="36"/>
        <v>33363.200000000004</v>
      </c>
      <c r="R87" s="74">
        <f t="shared" si="37"/>
        <v>4309.760000000002</v>
      </c>
      <c r="U87" s="151">
        <f t="shared" si="40"/>
        <v>0.14833906071019465</v>
      </c>
      <c r="V87" s="117"/>
      <c r="X87" s="75">
        <v>6</v>
      </c>
      <c r="Y87" s="159">
        <f t="shared" si="21"/>
        <v>2496</v>
      </c>
    </row>
    <row r="88" spans="1:25" s="75" customFormat="1" x14ac:dyDescent="0.25">
      <c r="A88" s="176"/>
      <c r="B88" s="72">
        <v>33</v>
      </c>
      <c r="C88" s="153" t="s">
        <v>173</v>
      </c>
      <c r="D88" s="153">
        <v>15</v>
      </c>
      <c r="E88" s="153">
        <v>1</v>
      </c>
      <c r="F88" s="152">
        <f t="shared" si="19"/>
        <v>780</v>
      </c>
      <c r="G88" s="130">
        <f t="shared" si="41"/>
        <v>840</v>
      </c>
      <c r="H88" s="79">
        <f t="shared" si="12"/>
        <v>655200</v>
      </c>
      <c r="I88" s="76">
        <f t="shared" si="39"/>
        <v>491304.87572869484</v>
      </c>
      <c r="J88" s="73">
        <f>References!$C$49*I88</f>
        <v>7860.8780116591206</v>
      </c>
      <c r="K88" s="119">
        <f>J88/References!$G$57</f>
        <v>8077.9320457278272</v>
      </c>
      <c r="L88" s="119">
        <f t="shared" si="20"/>
        <v>10.36</v>
      </c>
      <c r="M88" s="27">
        <v>69.84</v>
      </c>
      <c r="N88" s="73">
        <f t="shared" si="31"/>
        <v>80.2</v>
      </c>
      <c r="O88" s="73">
        <f t="shared" si="34"/>
        <v>54475.200000000004</v>
      </c>
      <c r="P88" s="74">
        <f t="shared" si="35"/>
        <v>80.2</v>
      </c>
      <c r="Q88" s="74">
        <f t="shared" si="36"/>
        <v>62556</v>
      </c>
      <c r="R88" s="74">
        <f t="shared" si="37"/>
        <v>8080.7999999999956</v>
      </c>
      <c r="U88" s="151">
        <f t="shared" si="40"/>
        <v>0.14833906071019465</v>
      </c>
      <c r="V88" s="117"/>
      <c r="X88" s="75">
        <v>6</v>
      </c>
      <c r="Y88" s="159">
        <f t="shared" si="21"/>
        <v>4680</v>
      </c>
    </row>
    <row r="89" spans="1:25" s="75" customFormat="1" x14ac:dyDescent="0.25">
      <c r="A89" s="176"/>
      <c r="B89" s="72">
        <v>33</v>
      </c>
      <c r="C89" s="153" t="s">
        <v>174</v>
      </c>
      <c r="D89" s="153">
        <v>6</v>
      </c>
      <c r="E89" s="153">
        <v>1</v>
      </c>
      <c r="F89" s="152">
        <f t="shared" si="19"/>
        <v>312</v>
      </c>
      <c r="G89" s="130">
        <f t="shared" si="41"/>
        <v>840</v>
      </c>
      <c r="H89" s="79">
        <f t="shared" si="12"/>
        <v>262080</v>
      </c>
      <c r="I89" s="76">
        <f t="shared" si="39"/>
        <v>196521.95029147793</v>
      </c>
      <c r="J89" s="73">
        <f>References!$C$49*I89</f>
        <v>3144.3512046636483</v>
      </c>
      <c r="K89" s="119">
        <f>J89/References!$G$57</f>
        <v>3231.1728182911311</v>
      </c>
      <c r="L89" s="119">
        <f t="shared" si="20"/>
        <v>10.36</v>
      </c>
      <c r="M89" s="27">
        <v>69.84</v>
      </c>
      <c r="N89" s="73">
        <f t="shared" si="31"/>
        <v>80.2</v>
      </c>
      <c r="O89" s="73">
        <f t="shared" si="34"/>
        <v>21790.080000000002</v>
      </c>
      <c r="P89" s="74">
        <f t="shared" si="35"/>
        <v>80.2</v>
      </c>
      <c r="Q89" s="74">
        <f t="shared" si="36"/>
        <v>25022.400000000001</v>
      </c>
      <c r="R89" s="74">
        <f t="shared" si="37"/>
        <v>3232.3199999999997</v>
      </c>
      <c r="U89" s="151">
        <f t="shared" si="40"/>
        <v>0.14833906071019465</v>
      </c>
      <c r="V89" s="117"/>
      <c r="X89" s="75">
        <v>6</v>
      </c>
      <c r="Y89" s="159">
        <f t="shared" si="21"/>
        <v>1872</v>
      </c>
    </row>
    <row r="90" spans="1:25" s="75" customFormat="1" x14ac:dyDescent="0.25">
      <c r="A90" s="176"/>
      <c r="B90" s="72">
        <v>33</v>
      </c>
      <c r="C90" s="153" t="s">
        <v>175</v>
      </c>
      <c r="D90" s="153">
        <v>10</v>
      </c>
      <c r="E90" s="153">
        <v>2</v>
      </c>
      <c r="F90" s="152">
        <f t="shared" si="19"/>
        <v>1040</v>
      </c>
      <c r="G90" s="130">
        <f t="shared" si="41"/>
        <v>840</v>
      </c>
      <c r="H90" s="79">
        <f t="shared" ref="H90:H99" si="42">F90*G90</f>
        <v>873600</v>
      </c>
      <c r="I90" s="76">
        <f t="shared" si="39"/>
        <v>655073.16763825982</v>
      </c>
      <c r="J90" s="73">
        <f>References!$C$49*I90</f>
        <v>10481.170682212161</v>
      </c>
      <c r="K90" s="119">
        <f>J90/References!$G$57</f>
        <v>10770.576060970436</v>
      </c>
      <c r="L90" s="119">
        <f t="shared" si="20"/>
        <v>10.36</v>
      </c>
      <c r="M90" s="27">
        <v>69.84</v>
      </c>
      <c r="N90" s="73">
        <f t="shared" ref="N90:N99" si="43">L90+M90</f>
        <v>80.2</v>
      </c>
      <c r="O90" s="73">
        <f t="shared" si="34"/>
        <v>72633.600000000006</v>
      </c>
      <c r="P90" s="74">
        <f t="shared" si="35"/>
        <v>80.2</v>
      </c>
      <c r="Q90" s="74">
        <f t="shared" si="36"/>
        <v>83408</v>
      </c>
      <c r="R90" s="74">
        <f t="shared" si="37"/>
        <v>10774.399999999994</v>
      </c>
      <c r="U90" s="151">
        <f t="shared" si="40"/>
        <v>0.14833906071019465</v>
      </c>
      <c r="V90" s="117"/>
      <c r="X90" s="75">
        <v>6</v>
      </c>
      <c r="Y90" s="159">
        <f t="shared" si="21"/>
        <v>6240</v>
      </c>
    </row>
    <row r="91" spans="1:25" s="75" customFormat="1" x14ac:dyDescent="0.25">
      <c r="A91" s="176"/>
      <c r="B91" s="72">
        <v>33</v>
      </c>
      <c r="C91" s="153" t="s">
        <v>176</v>
      </c>
      <c r="D91" s="153">
        <v>2</v>
      </c>
      <c r="E91" s="153">
        <v>2</v>
      </c>
      <c r="F91" s="152">
        <f t="shared" si="19"/>
        <v>208</v>
      </c>
      <c r="G91" s="130">
        <f t="shared" si="41"/>
        <v>840</v>
      </c>
      <c r="H91" s="79">
        <f t="shared" si="42"/>
        <v>174720</v>
      </c>
      <c r="I91" s="76">
        <f t="shared" si="39"/>
        <v>131014.63352765195</v>
      </c>
      <c r="J91" s="73">
        <f>References!$C$49*I91</f>
        <v>2096.2341364424324</v>
      </c>
      <c r="K91" s="119">
        <f>J91/References!$G$57</f>
        <v>2154.1152121940872</v>
      </c>
      <c r="L91" s="119">
        <f t="shared" si="20"/>
        <v>10.36</v>
      </c>
      <c r="M91" s="27">
        <v>69.84</v>
      </c>
      <c r="N91" s="73">
        <f t="shared" si="43"/>
        <v>80.2</v>
      </c>
      <c r="O91" s="73">
        <f t="shared" si="34"/>
        <v>14526.720000000001</v>
      </c>
      <c r="P91" s="74">
        <f t="shared" si="35"/>
        <v>80.2</v>
      </c>
      <c r="Q91" s="74">
        <f t="shared" si="36"/>
        <v>16681.600000000002</v>
      </c>
      <c r="R91" s="74">
        <f t="shared" si="37"/>
        <v>2154.880000000001</v>
      </c>
      <c r="U91" s="151">
        <f t="shared" si="40"/>
        <v>0.14833906071019465</v>
      </c>
      <c r="V91" s="117"/>
      <c r="X91" s="75">
        <v>6</v>
      </c>
      <c r="Y91" s="159">
        <f t="shared" si="21"/>
        <v>1248</v>
      </c>
    </row>
    <row r="92" spans="1:25" s="75" customFormat="1" x14ac:dyDescent="0.25">
      <c r="A92" s="176"/>
      <c r="B92" s="72">
        <v>33</v>
      </c>
      <c r="C92" s="153" t="s">
        <v>177</v>
      </c>
      <c r="D92" s="153">
        <v>8</v>
      </c>
      <c r="E92" s="153">
        <v>2</v>
      </c>
      <c r="F92" s="152">
        <f t="shared" si="19"/>
        <v>832</v>
      </c>
      <c r="G92" s="130">
        <f t="shared" si="41"/>
        <v>840</v>
      </c>
      <c r="H92" s="79">
        <f t="shared" si="42"/>
        <v>698880</v>
      </c>
      <c r="I92" s="76">
        <f t="shared" si="39"/>
        <v>524058.53411060781</v>
      </c>
      <c r="J92" s="73">
        <f>References!$C$49*I92</f>
        <v>8384.9365457697295</v>
      </c>
      <c r="K92" s="119">
        <f>J92/References!$G$57</f>
        <v>8616.4608487763489</v>
      </c>
      <c r="L92" s="119">
        <f t="shared" si="20"/>
        <v>10.36</v>
      </c>
      <c r="M92" s="27">
        <v>69.84</v>
      </c>
      <c r="N92" s="73">
        <f t="shared" si="43"/>
        <v>80.2</v>
      </c>
      <c r="O92" s="73">
        <f t="shared" si="34"/>
        <v>58106.880000000005</v>
      </c>
      <c r="P92" s="74">
        <f t="shared" si="35"/>
        <v>80.2</v>
      </c>
      <c r="Q92" s="74">
        <f t="shared" si="36"/>
        <v>66726.400000000009</v>
      </c>
      <c r="R92" s="74">
        <f t="shared" si="37"/>
        <v>8619.5200000000041</v>
      </c>
      <c r="U92" s="151">
        <f t="shared" si="40"/>
        <v>0.14833906071019465</v>
      </c>
      <c r="V92" s="117"/>
      <c r="X92" s="75">
        <v>6</v>
      </c>
      <c r="Y92" s="159">
        <f t="shared" si="21"/>
        <v>4992</v>
      </c>
    </row>
    <row r="93" spans="1:25" s="75" customFormat="1" x14ac:dyDescent="0.25">
      <c r="A93" s="176"/>
      <c r="B93" s="72">
        <v>33</v>
      </c>
      <c r="C93" s="153" t="s">
        <v>178</v>
      </c>
      <c r="D93" s="153">
        <v>7</v>
      </c>
      <c r="E93" s="153">
        <v>2</v>
      </c>
      <c r="F93" s="152">
        <f t="shared" si="19"/>
        <v>728</v>
      </c>
      <c r="G93" s="130">
        <f t="shared" si="41"/>
        <v>840</v>
      </c>
      <c r="H93" s="79">
        <f t="shared" si="42"/>
        <v>611520</v>
      </c>
      <c r="I93" s="76">
        <f t="shared" si="39"/>
        <v>458551.21734678186</v>
      </c>
      <c r="J93" s="73">
        <f>References!$C$49*I93</f>
        <v>7336.8194775485135</v>
      </c>
      <c r="K93" s="119">
        <f>J93/References!$G$57</f>
        <v>7539.4032426793065</v>
      </c>
      <c r="L93" s="119">
        <f t="shared" si="20"/>
        <v>10.36</v>
      </c>
      <c r="M93" s="27">
        <v>69.84</v>
      </c>
      <c r="N93" s="73">
        <f t="shared" si="43"/>
        <v>80.2</v>
      </c>
      <c r="O93" s="73">
        <f t="shared" si="34"/>
        <v>50843.520000000004</v>
      </c>
      <c r="P93" s="74">
        <f t="shared" si="35"/>
        <v>80.2</v>
      </c>
      <c r="Q93" s="74">
        <f t="shared" si="36"/>
        <v>58385.599999999999</v>
      </c>
      <c r="R93" s="74">
        <f t="shared" si="37"/>
        <v>7542.0799999999945</v>
      </c>
      <c r="U93" s="151">
        <f t="shared" si="40"/>
        <v>0.14833906071019465</v>
      </c>
      <c r="V93" s="117"/>
      <c r="X93" s="75">
        <v>6</v>
      </c>
      <c r="Y93" s="159">
        <f t="shared" si="21"/>
        <v>4368</v>
      </c>
    </row>
    <row r="94" spans="1:25" s="75" customFormat="1" x14ac:dyDescent="0.25">
      <c r="A94" s="176"/>
      <c r="B94" s="72">
        <v>33</v>
      </c>
      <c r="C94" s="153" t="s">
        <v>179</v>
      </c>
      <c r="D94" s="153">
        <v>2</v>
      </c>
      <c r="E94" s="153">
        <v>3</v>
      </c>
      <c r="F94" s="152">
        <f t="shared" ref="F94:F99" si="44">+E94*D94*52</f>
        <v>312</v>
      </c>
      <c r="G94" s="130">
        <f t="shared" si="41"/>
        <v>840</v>
      </c>
      <c r="H94" s="79">
        <f t="shared" si="42"/>
        <v>262080</v>
      </c>
      <c r="I94" s="76">
        <f t="shared" si="39"/>
        <v>196521.95029147793</v>
      </c>
      <c r="J94" s="73">
        <f>References!$C$49*I94</f>
        <v>3144.3512046636483</v>
      </c>
      <c r="K94" s="119">
        <f>J94/References!$G$57</f>
        <v>3231.1728182911311</v>
      </c>
      <c r="L94" s="119">
        <f t="shared" si="20"/>
        <v>10.36</v>
      </c>
      <c r="M94" s="27">
        <v>69.84</v>
      </c>
      <c r="N94" s="73">
        <f t="shared" si="43"/>
        <v>80.2</v>
      </c>
      <c r="O94" s="73">
        <f t="shared" si="34"/>
        <v>21790.080000000002</v>
      </c>
      <c r="P94" s="74">
        <f t="shared" si="35"/>
        <v>80.2</v>
      </c>
      <c r="Q94" s="74">
        <f t="shared" si="36"/>
        <v>25022.400000000001</v>
      </c>
      <c r="R94" s="74">
        <f t="shared" si="37"/>
        <v>3232.3199999999997</v>
      </c>
      <c r="U94" s="151">
        <f t="shared" si="40"/>
        <v>0.14833906071019465</v>
      </c>
      <c r="V94" s="117"/>
      <c r="X94" s="75">
        <v>6</v>
      </c>
      <c r="Y94" s="159">
        <f t="shared" ref="Y94:Y99" si="45">+X94*F94</f>
        <v>1872</v>
      </c>
    </row>
    <row r="95" spans="1:25" s="75" customFormat="1" x14ac:dyDescent="0.25">
      <c r="A95" s="176"/>
      <c r="B95" s="72">
        <v>33</v>
      </c>
      <c r="C95" s="153" t="s">
        <v>180</v>
      </c>
      <c r="D95" s="153">
        <v>2</v>
      </c>
      <c r="E95" s="153">
        <v>3</v>
      </c>
      <c r="F95" s="152">
        <f t="shared" si="44"/>
        <v>312</v>
      </c>
      <c r="G95" s="130">
        <f t="shared" si="41"/>
        <v>840</v>
      </c>
      <c r="H95" s="79">
        <f t="shared" si="42"/>
        <v>262080</v>
      </c>
      <c r="I95" s="76">
        <f t="shared" si="39"/>
        <v>196521.95029147793</v>
      </c>
      <c r="J95" s="73">
        <f>References!$C$49*I95</f>
        <v>3144.3512046636483</v>
      </c>
      <c r="K95" s="119">
        <f>J95/References!$G$57</f>
        <v>3231.1728182911311</v>
      </c>
      <c r="L95" s="119">
        <f t="shared" si="20"/>
        <v>10.36</v>
      </c>
      <c r="M95" s="27">
        <v>69.84</v>
      </c>
      <c r="N95" s="73">
        <f t="shared" si="43"/>
        <v>80.2</v>
      </c>
      <c r="O95" s="73">
        <f t="shared" si="34"/>
        <v>21790.080000000002</v>
      </c>
      <c r="P95" s="74">
        <f t="shared" si="35"/>
        <v>80.2</v>
      </c>
      <c r="Q95" s="74">
        <f t="shared" si="36"/>
        <v>25022.400000000001</v>
      </c>
      <c r="R95" s="74">
        <f t="shared" si="37"/>
        <v>3232.3199999999997</v>
      </c>
      <c r="U95" s="151">
        <f t="shared" si="40"/>
        <v>0.14833906071019465</v>
      </c>
      <c r="V95" s="117"/>
      <c r="X95" s="75">
        <v>6</v>
      </c>
      <c r="Y95" s="159">
        <f t="shared" si="45"/>
        <v>1872</v>
      </c>
    </row>
    <row r="96" spans="1:25" s="75" customFormat="1" x14ac:dyDescent="0.25">
      <c r="A96" s="176"/>
      <c r="B96" s="72">
        <v>33</v>
      </c>
      <c r="C96" s="153" t="s">
        <v>181</v>
      </c>
      <c r="D96" s="153">
        <v>6</v>
      </c>
      <c r="E96" s="153">
        <v>0.5</v>
      </c>
      <c r="F96" s="152">
        <f t="shared" si="44"/>
        <v>156</v>
      </c>
      <c r="G96" s="130">
        <f>+References!B33</f>
        <v>980</v>
      </c>
      <c r="H96" s="79">
        <f t="shared" si="42"/>
        <v>152880</v>
      </c>
      <c r="I96" s="76">
        <f t="shared" si="39"/>
        <v>114637.80433669547</v>
      </c>
      <c r="J96" s="73">
        <f>References!$C$49*I96</f>
        <v>1834.2048693871284</v>
      </c>
      <c r="K96" s="119">
        <f>J96/References!$G$57</f>
        <v>1884.8508106698266</v>
      </c>
      <c r="L96" s="119">
        <f t="shared" si="20"/>
        <v>12.08</v>
      </c>
      <c r="M96" s="27">
        <v>88.6</v>
      </c>
      <c r="N96" s="73">
        <f t="shared" si="43"/>
        <v>100.67999999999999</v>
      </c>
      <c r="O96" s="73">
        <f t="shared" si="34"/>
        <v>13821.599999999999</v>
      </c>
      <c r="P96" s="74">
        <f t="shared" si="35"/>
        <v>100.67999999999999</v>
      </c>
      <c r="Q96" s="74">
        <f t="shared" si="36"/>
        <v>15706.079999999998</v>
      </c>
      <c r="R96" s="74">
        <f t="shared" si="37"/>
        <v>1884.4799999999996</v>
      </c>
      <c r="U96" s="151">
        <f t="shared" si="40"/>
        <v>0.13634311512415342</v>
      </c>
      <c r="V96" s="117"/>
      <c r="X96" s="75">
        <v>8</v>
      </c>
      <c r="Y96" s="159">
        <f t="shared" si="45"/>
        <v>1248</v>
      </c>
    </row>
    <row r="97" spans="1:26" s="75" customFormat="1" x14ac:dyDescent="0.25">
      <c r="A97" s="176"/>
      <c r="B97" s="72">
        <v>33</v>
      </c>
      <c r="C97" s="153" t="s">
        <v>182</v>
      </c>
      <c r="D97" s="153">
        <v>20</v>
      </c>
      <c r="E97" s="153">
        <v>1</v>
      </c>
      <c r="F97" s="152">
        <f t="shared" si="44"/>
        <v>1040</v>
      </c>
      <c r="G97" s="130">
        <f>+G96</f>
        <v>980</v>
      </c>
      <c r="H97" s="79">
        <f t="shared" si="42"/>
        <v>1019200</v>
      </c>
      <c r="I97" s="76">
        <f t="shared" si="39"/>
        <v>764252.02891130303</v>
      </c>
      <c r="J97" s="73">
        <f>References!$C$49*I97</f>
        <v>12228.032462580853</v>
      </c>
      <c r="K97" s="119">
        <f>J97/References!$G$57</f>
        <v>12565.672071132174</v>
      </c>
      <c r="L97" s="119">
        <f t="shared" si="20"/>
        <v>12.08</v>
      </c>
      <c r="M97" s="27">
        <v>88.6</v>
      </c>
      <c r="N97" s="73">
        <f t="shared" si="43"/>
        <v>100.67999999999999</v>
      </c>
      <c r="O97" s="73">
        <f t="shared" si="34"/>
        <v>92144</v>
      </c>
      <c r="P97" s="74">
        <f t="shared" si="35"/>
        <v>100.67999999999999</v>
      </c>
      <c r="Q97" s="74">
        <f t="shared" si="36"/>
        <v>104707.2</v>
      </c>
      <c r="R97" s="74">
        <f t="shared" si="37"/>
        <v>12563.199999999997</v>
      </c>
      <c r="U97" s="151">
        <f t="shared" si="40"/>
        <v>0.13634311512415342</v>
      </c>
      <c r="V97" s="117"/>
      <c r="X97" s="75">
        <v>8</v>
      </c>
      <c r="Y97" s="159">
        <f t="shared" si="45"/>
        <v>8320</v>
      </c>
    </row>
    <row r="98" spans="1:26" s="75" customFormat="1" x14ac:dyDescent="0.25">
      <c r="A98" s="176"/>
      <c r="B98" s="72">
        <v>33</v>
      </c>
      <c r="C98" s="153" t="s">
        <v>183</v>
      </c>
      <c r="D98" s="153">
        <v>4</v>
      </c>
      <c r="E98" s="153">
        <v>2</v>
      </c>
      <c r="F98" s="152">
        <f t="shared" si="44"/>
        <v>416</v>
      </c>
      <c r="G98" s="130">
        <f>+G97</f>
        <v>980</v>
      </c>
      <c r="H98" s="79">
        <f t="shared" si="42"/>
        <v>407680</v>
      </c>
      <c r="I98" s="76">
        <f t="shared" si="39"/>
        <v>305700.81156452122</v>
      </c>
      <c r="J98" s="73">
        <f>References!$C$49*I98</f>
        <v>4891.2129850323417</v>
      </c>
      <c r="K98" s="119">
        <f>J98/References!$G$57</f>
        <v>5026.2688284528704</v>
      </c>
      <c r="L98" s="119">
        <f t="shared" si="20"/>
        <v>12.08</v>
      </c>
      <c r="M98" s="27">
        <v>88.6</v>
      </c>
      <c r="N98" s="73">
        <f t="shared" si="43"/>
        <v>100.67999999999999</v>
      </c>
      <c r="O98" s="73">
        <f t="shared" si="34"/>
        <v>36857.599999999999</v>
      </c>
      <c r="P98" s="74">
        <f t="shared" si="35"/>
        <v>100.67999999999999</v>
      </c>
      <c r="Q98" s="74">
        <f t="shared" si="36"/>
        <v>41882.879999999997</v>
      </c>
      <c r="R98" s="74">
        <f t="shared" si="37"/>
        <v>5025.2799999999988</v>
      </c>
      <c r="U98" s="151">
        <f t="shared" si="40"/>
        <v>0.13634311512415342</v>
      </c>
      <c r="V98" s="117"/>
      <c r="X98" s="75">
        <v>8</v>
      </c>
      <c r="Y98" s="159">
        <f t="shared" si="45"/>
        <v>3328</v>
      </c>
    </row>
    <row r="99" spans="1:26" s="75" customFormat="1" x14ac:dyDescent="0.25">
      <c r="A99" s="176"/>
      <c r="B99" s="72">
        <v>33</v>
      </c>
      <c r="C99" s="153" t="s">
        <v>155</v>
      </c>
      <c r="D99" s="154">
        <v>1</v>
      </c>
      <c r="E99" s="153">
        <v>3</v>
      </c>
      <c r="F99" s="152">
        <f t="shared" si="44"/>
        <v>156</v>
      </c>
      <c r="G99" s="130">
        <f>+G98</f>
        <v>980</v>
      </c>
      <c r="H99" s="79">
        <f t="shared" si="42"/>
        <v>152880</v>
      </c>
      <c r="I99" s="76">
        <f t="shared" si="39"/>
        <v>114637.80433669547</v>
      </c>
      <c r="J99" s="73">
        <f>References!$C$49*I99</f>
        <v>1834.2048693871284</v>
      </c>
      <c r="K99" s="119">
        <f>J99/References!$G$57</f>
        <v>1884.8508106698266</v>
      </c>
      <c r="L99" s="119">
        <f t="shared" si="20"/>
        <v>12.08</v>
      </c>
      <c r="M99" s="27">
        <v>88.6</v>
      </c>
      <c r="N99" s="73">
        <f t="shared" si="43"/>
        <v>100.67999999999999</v>
      </c>
      <c r="O99" s="73">
        <f t="shared" si="34"/>
        <v>13821.599999999999</v>
      </c>
      <c r="P99" s="74">
        <f t="shared" si="35"/>
        <v>100.67999999999999</v>
      </c>
      <c r="Q99" s="74">
        <f t="shared" si="36"/>
        <v>15706.079999999998</v>
      </c>
      <c r="R99" s="74">
        <f t="shared" si="37"/>
        <v>1884.4799999999996</v>
      </c>
      <c r="U99" s="151">
        <f t="shared" si="40"/>
        <v>0.13634311512415342</v>
      </c>
      <c r="V99" s="117"/>
      <c r="X99" s="75">
        <v>8</v>
      </c>
      <c r="Y99" s="159">
        <f t="shared" si="45"/>
        <v>1248</v>
      </c>
    </row>
    <row r="100" spans="1:26" s="75" customFormat="1" x14ac:dyDescent="0.25">
      <c r="A100" s="80"/>
      <c r="B100" s="61"/>
      <c r="C100" s="82" t="s">
        <v>3</v>
      </c>
      <c r="D100" s="83">
        <f>SUM(D29:D99)</f>
        <v>1266</v>
      </c>
      <c r="E100" s="83"/>
      <c r="F100" s="83">
        <f>SUM(F29:F99)</f>
        <v>66120.010154627278</v>
      </c>
      <c r="G100" s="132"/>
      <c r="H100" s="83">
        <f>SUM(H29:H99)</f>
        <v>24694061.043157168</v>
      </c>
      <c r="I100" s="86">
        <f>SUM(I29:I99)</f>
        <v>18516960.610569496</v>
      </c>
      <c r="J100" s="88"/>
      <c r="K100" s="88"/>
      <c r="L100" s="88"/>
      <c r="M100" s="88"/>
      <c r="N100" s="88"/>
      <c r="O100" s="88">
        <f>SUM(O29:O99)</f>
        <v>2195799.0806415887</v>
      </c>
      <c r="P100" s="88"/>
      <c r="Q100" s="88">
        <f>SUM(Q29:Q99)</f>
        <v>2500254.2028063703</v>
      </c>
      <c r="R100" s="88">
        <f>SUM(R29:R99)</f>
        <v>304455.1221647819</v>
      </c>
      <c r="U100" s="158">
        <f>+R100/O100</f>
        <v>0.13865345187949685</v>
      </c>
      <c r="W100" s="75">
        <f>+I100/F100</f>
        <v>280.05078292132754</v>
      </c>
      <c r="Y100" s="159">
        <f>SUM(Y29:Y99)</f>
        <v>163876.27085708801</v>
      </c>
      <c r="Z100" s="159">
        <f>+I100/Y100</f>
        <v>112.99354393240756</v>
      </c>
    </row>
    <row r="101" spans="1:26" ht="25.5" customHeight="1" x14ac:dyDescent="0.4">
      <c r="C101" s="91" t="s">
        <v>100</v>
      </c>
      <c r="D101" s="92">
        <f>D27+D100</f>
        <v>13849</v>
      </c>
      <c r="E101" s="92"/>
      <c r="F101" s="92">
        <f>F27+F100</f>
        <v>639854.36095462739</v>
      </c>
      <c r="G101" s="92"/>
      <c r="H101" s="92">
        <f>H27+H100</f>
        <v>46895880.414757162</v>
      </c>
      <c r="I101" s="92">
        <f>I27+I100</f>
        <v>35165101.800000004</v>
      </c>
      <c r="J101" s="73"/>
      <c r="K101" s="93"/>
      <c r="L101" s="93"/>
      <c r="M101" s="93"/>
      <c r="N101" s="93"/>
      <c r="O101" s="134">
        <f>O27+O100</f>
        <v>5298165.2006415874</v>
      </c>
      <c r="P101" s="134"/>
      <c r="Q101" s="134">
        <f>Q27+Q100</f>
        <v>5881051.6428063698</v>
      </c>
      <c r="R101" s="134">
        <f>R27+R100</f>
        <v>582886.4421647822</v>
      </c>
      <c r="U101" s="151">
        <f>+R101/O101</f>
        <v>0.11001666050243146</v>
      </c>
    </row>
    <row r="102" spans="1:26" x14ac:dyDescent="0.25">
      <c r="G102" s="133"/>
      <c r="J102" s="95"/>
      <c r="U102" s="161"/>
    </row>
    <row r="103" spans="1:26" x14ac:dyDescent="0.25">
      <c r="G103" s="133"/>
      <c r="J103" s="95"/>
    </row>
    <row r="104" spans="1:26" x14ac:dyDescent="0.25">
      <c r="A104" s="78"/>
      <c r="C104" s="97"/>
    </row>
    <row r="105" spans="1:26" x14ac:dyDescent="0.25">
      <c r="A105" s="78"/>
      <c r="C105" s="97"/>
      <c r="M105" s="163" t="s">
        <v>200</v>
      </c>
      <c r="N105" s="164"/>
      <c r="O105" s="165"/>
      <c r="P105" s="166"/>
    </row>
    <row r="106" spans="1:26" x14ac:dyDescent="0.25">
      <c r="A106" s="78"/>
      <c r="B106" s="178" t="s">
        <v>101</v>
      </c>
      <c r="C106" s="178"/>
      <c r="D106" s="71"/>
      <c r="E106" s="98"/>
      <c r="F106" s="98"/>
      <c r="H106" s="127"/>
      <c r="M106" s="161">
        <v>75.266308586472675</v>
      </c>
      <c r="N106" s="160">
        <f>+U100</f>
        <v>0.13865345187949685</v>
      </c>
      <c r="O106" s="161">
        <f>+N106*M106</f>
        <v>10.43593349574185</v>
      </c>
      <c r="P106" s="112">
        <f>+O106+M106</f>
        <v>85.702242082214525</v>
      </c>
    </row>
    <row r="107" spans="1:26" x14ac:dyDescent="0.25">
      <c r="A107" s="78"/>
      <c r="B107" s="71"/>
      <c r="C107" s="99" t="s">
        <v>3</v>
      </c>
      <c r="D107" s="71"/>
      <c r="E107" s="31"/>
      <c r="F107" s="31"/>
      <c r="H107" s="100" t="s">
        <v>102</v>
      </c>
      <c r="J107" s="101"/>
      <c r="M107" s="161">
        <v>108.62720960449509</v>
      </c>
      <c r="N107" s="160">
        <f>+N106</f>
        <v>0.13865345187949685</v>
      </c>
      <c r="O107" s="161">
        <f>+N107*M107</f>
        <v>15.061537579700879</v>
      </c>
      <c r="P107" s="112">
        <f>+O107+M107</f>
        <v>123.68874718419598</v>
      </c>
    </row>
    <row r="108" spans="1:26" x14ac:dyDescent="0.25">
      <c r="A108" s="78"/>
      <c r="B108" s="71" t="s">
        <v>103</v>
      </c>
      <c r="C108" s="128">
        <f>'Co. Pro Tonnage'!E9</f>
        <v>17582.550900000002</v>
      </c>
      <c r="D108" s="71"/>
      <c r="E108" s="89"/>
      <c r="F108" s="89"/>
      <c r="G108" s="102"/>
      <c r="H108" s="125" t="s">
        <v>106</v>
      </c>
      <c r="I108" s="126"/>
      <c r="J108" s="101"/>
      <c r="M108" s="161">
        <v>139.34506373206636</v>
      </c>
      <c r="N108" s="160">
        <f>+N107</f>
        <v>0.13865345187949685</v>
      </c>
      <c r="O108" s="161">
        <f>+N108*M108</f>
        <v>19.320674088819484</v>
      </c>
      <c r="P108" s="112">
        <f>+O108+M108</f>
        <v>158.66573782088585</v>
      </c>
    </row>
    <row r="109" spans="1:26" x14ac:dyDescent="0.25">
      <c r="A109" s="78"/>
      <c r="B109" s="71" t="s">
        <v>104</v>
      </c>
      <c r="C109" s="103">
        <f>C108*2000</f>
        <v>35165101.800000004</v>
      </c>
      <c r="D109" s="71"/>
      <c r="E109" s="103"/>
      <c r="F109" s="103"/>
      <c r="G109" s="103"/>
      <c r="H109" s="104"/>
      <c r="J109" s="101"/>
      <c r="M109" s="162">
        <v>200.65971640444016</v>
      </c>
      <c r="N109" s="160">
        <f>+N108</f>
        <v>0.13865345187949685</v>
      </c>
      <c r="O109" s="161">
        <f>+N109*M109</f>
        <v>27.822162332636527</v>
      </c>
      <c r="P109" s="112">
        <f>+O109+M109</f>
        <v>228.4818787370767</v>
      </c>
    </row>
    <row r="110" spans="1:26" x14ac:dyDescent="0.25">
      <c r="A110" s="78"/>
      <c r="B110" s="71" t="s">
        <v>105</v>
      </c>
      <c r="C110" s="103">
        <f>F27+F100</f>
        <v>639854.36095462739</v>
      </c>
      <c r="D110" s="71"/>
      <c r="E110" s="89"/>
      <c r="F110" s="89"/>
      <c r="G110" s="89"/>
      <c r="I110" s="118"/>
      <c r="J110" s="101"/>
      <c r="O110" s="161">
        <f>+N110*M110</f>
        <v>0</v>
      </c>
    </row>
    <row r="111" spans="1:26" x14ac:dyDescent="0.25">
      <c r="B111" s="105" t="s">
        <v>107</v>
      </c>
      <c r="C111" s="106">
        <f>C109/$H$101</f>
        <v>0.74985481643573693</v>
      </c>
      <c r="D111" s="71"/>
      <c r="E111" s="106"/>
      <c r="F111" s="106"/>
      <c r="G111" s="106"/>
      <c r="H111" s="107"/>
      <c r="J111" s="101"/>
      <c r="M111" s="108"/>
      <c r="N111" s="108"/>
      <c r="O111" s="109"/>
    </row>
    <row r="112" spans="1:26" x14ac:dyDescent="0.25">
      <c r="E112" s="101"/>
      <c r="G112" s="110"/>
      <c r="H112" s="111"/>
      <c r="J112" s="101"/>
      <c r="M112" s="163" t="s">
        <v>201</v>
      </c>
      <c r="N112" s="164"/>
      <c r="O112" s="165"/>
      <c r="P112" s="166"/>
    </row>
    <row r="113" spans="4:16" x14ac:dyDescent="0.25">
      <c r="D113" s="113"/>
      <c r="E113" s="114"/>
      <c r="G113" s="110"/>
      <c r="H113" s="111"/>
      <c r="J113" s="101"/>
      <c r="M113" s="162">
        <v>18.78</v>
      </c>
      <c r="N113" s="160">
        <f>+U100</f>
        <v>0.13865345187949685</v>
      </c>
      <c r="O113" s="161">
        <f>+N113*M113</f>
        <v>2.6039118262969509</v>
      </c>
      <c r="P113" s="112">
        <f>+O113+M113</f>
        <v>21.383911826296952</v>
      </c>
    </row>
    <row r="114" spans="4:16" x14ac:dyDescent="0.25">
      <c r="D114" s="113"/>
      <c r="E114" s="114"/>
      <c r="G114" s="110"/>
      <c r="H114" s="111"/>
      <c r="J114" s="101"/>
      <c r="M114" s="112">
        <v>25.03</v>
      </c>
      <c r="N114" s="160">
        <f>N113</f>
        <v>0.13865345187949685</v>
      </c>
      <c r="O114" s="161">
        <f>+N114*M114</f>
        <v>3.4704959005438063</v>
      </c>
      <c r="P114" s="112">
        <f>+O114+M114</f>
        <v>28.500495900543807</v>
      </c>
    </row>
    <row r="115" spans="4:16" x14ac:dyDescent="0.25">
      <c r="D115" s="71"/>
      <c r="I115" s="71"/>
    </row>
    <row r="116" spans="4:16" x14ac:dyDescent="0.25">
      <c r="D116" s="71"/>
      <c r="E116" s="101"/>
      <c r="I116" s="71"/>
    </row>
    <row r="117" spans="4:16" x14ac:dyDescent="0.25">
      <c r="D117" s="71"/>
      <c r="I117" s="71"/>
    </row>
    <row r="118" spans="4:16" x14ac:dyDescent="0.25">
      <c r="D118" s="71"/>
      <c r="I118" s="71"/>
    </row>
    <row r="119" spans="4:16" x14ac:dyDescent="0.25">
      <c r="D119" s="71"/>
    </row>
  </sheetData>
  <mergeCells count="3">
    <mergeCell ref="A2:A26"/>
    <mergeCell ref="A29:A99"/>
    <mergeCell ref="B106:C106"/>
  </mergeCells>
  <pageMargins left="0.45" right="0.2" top="0.25" bottom="0.25" header="0.3" footer="0.3"/>
  <pageSetup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workbookViewId="0">
      <selection activeCell="H7" sqref="H7"/>
    </sheetView>
  </sheetViews>
  <sheetFormatPr defaultRowHeight="15" x14ac:dyDescent="0.25"/>
  <cols>
    <col min="1" max="1" width="28.85546875" bestFit="1" customWidth="1"/>
    <col min="3" max="3" width="12.85546875" bestFit="1" customWidth="1"/>
    <col min="4" max="4" width="12.42578125" bestFit="1" customWidth="1"/>
    <col min="5" max="5" width="14.28515625" bestFit="1" customWidth="1"/>
    <col min="6" max="6" width="11" bestFit="1" customWidth="1"/>
    <col min="7" max="7" width="17.5703125" bestFit="1" customWidth="1"/>
    <col min="8" max="8" width="13.5703125" bestFit="1" customWidth="1"/>
    <col min="9" max="9" width="14.28515625" bestFit="1" customWidth="1"/>
    <col min="10" max="10" width="12.7109375" bestFit="1" customWidth="1"/>
    <col min="11" max="11" width="2.42578125" customWidth="1"/>
    <col min="12" max="13" width="10.42578125" bestFit="1" customWidth="1"/>
    <col min="14" max="14" width="14.42578125" bestFit="1" customWidth="1"/>
    <col min="15" max="15" width="14.42578125" customWidth="1"/>
    <col min="16" max="16" width="12.85546875" bestFit="1" customWidth="1"/>
    <col min="17" max="17" width="10" bestFit="1" customWidth="1"/>
    <col min="18" max="18" width="12.5703125" bestFit="1" customWidth="1"/>
  </cols>
  <sheetData>
    <row r="1" spans="1:18" ht="26.25" x14ac:dyDescent="0.4">
      <c r="A1" s="9" t="s">
        <v>111</v>
      </c>
      <c r="B1" s="2"/>
      <c r="C1" s="2"/>
      <c r="D1" s="2"/>
      <c r="E1" s="2"/>
      <c r="F1" s="2"/>
      <c r="G1" s="2"/>
      <c r="H1" s="2"/>
      <c r="I1" s="2"/>
      <c r="J1" s="2"/>
    </row>
    <row r="2" spans="1:18" ht="20.25" x14ac:dyDescent="0.3">
      <c r="A2" s="8" t="s">
        <v>4</v>
      </c>
      <c r="B2" s="2"/>
      <c r="C2" s="2"/>
      <c r="D2" s="2"/>
      <c r="E2" s="2"/>
      <c r="F2" s="2"/>
      <c r="G2" s="2"/>
      <c r="H2" s="2"/>
      <c r="I2" s="2"/>
      <c r="J2" s="2"/>
    </row>
    <row r="3" spans="1:18" ht="15.75" x14ac:dyDescent="0.25">
      <c r="A3" s="30" t="s">
        <v>112</v>
      </c>
      <c r="G3" s="6" t="s">
        <v>110</v>
      </c>
      <c r="I3" s="6" t="s">
        <v>14</v>
      </c>
      <c r="L3" s="38"/>
      <c r="M3" s="37"/>
      <c r="N3" s="37"/>
      <c r="O3" s="145"/>
      <c r="P3" s="39"/>
    </row>
    <row r="4" spans="1:18" ht="15.75" x14ac:dyDescent="0.25">
      <c r="A4" s="2"/>
      <c r="B4" s="2"/>
      <c r="C4" s="6" t="s">
        <v>3</v>
      </c>
      <c r="D4" s="6" t="s">
        <v>2</v>
      </c>
      <c r="E4" s="6" t="s">
        <v>14</v>
      </c>
      <c r="F4" s="7" t="s">
        <v>5</v>
      </c>
      <c r="G4" s="6" t="s">
        <v>14</v>
      </c>
      <c r="H4" s="7" t="s">
        <v>7</v>
      </c>
      <c r="I4" s="6" t="s">
        <v>0</v>
      </c>
      <c r="J4" s="6" t="s">
        <v>0</v>
      </c>
      <c r="L4" s="39"/>
      <c r="M4" s="39"/>
      <c r="N4" s="39"/>
      <c r="O4" s="39"/>
      <c r="P4" s="39"/>
    </row>
    <row r="5" spans="1:18" ht="20.25" x14ac:dyDescent="0.55000000000000004">
      <c r="A5" s="2"/>
      <c r="B5" s="2"/>
      <c r="C5" s="4" t="s">
        <v>8</v>
      </c>
      <c r="D5" s="4" t="s">
        <v>14</v>
      </c>
      <c r="E5" s="4" t="s">
        <v>8</v>
      </c>
      <c r="F5" s="5" t="s">
        <v>9</v>
      </c>
      <c r="G5" s="4" t="s">
        <v>6</v>
      </c>
      <c r="H5" s="5" t="s">
        <v>9</v>
      </c>
      <c r="I5" s="4" t="s">
        <v>10</v>
      </c>
      <c r="J5" s="4" t="s">
        <v>1</v>
      </c>
      <c r="L5" s="40"/>
      <c r="M5" s="40"/>
      <c r="N5" s="40"/>
      <c r="O5" s="40"/>
      <c r="P5" s="40"/>
      <c r="Q5" s="40"/>
    </row>
    <row r="6" spans="1:18" ht="15.75" x14ac:dyDescent="0.25">
      <c r="A6" s="3" t="s">
        <v>11</v>
      </c>
      <c r="B6" s="2"/>
      <c r="C6" s="18">
        <v>9702.35</v>
      </c>
      <c r="D6" s="32">
        <v>0.80100000000000005</v>
      </c>
      <c r="E6" s="34">
        <f>+D6*C6</f>
        <v>7771.5823500000006</v>
      </c>
      <c r="F6" s="10">
        <v>101</v>
      </c>
      <c r="G6" s="13">
        <f>+F6*E6</f>
        <v>784929.81735000003</v>
      </c>
      <c r="H6" s="12">
        <v>103</v>
      </c>
      <c r="I6" s="13">
        <f>+H6*E6</f>
        <v>800472.98205000011</v>
      </c>
      <c r="J6" s="19">
        <f>+I6-G6</f>
        <v>15543.164700000081</v>
      </c>
      <c r="K6" s="29"/>
      <c r="L6" s="43"/>
      <c r="M6" s="43"/>
      <c r="N6" s="43"/>
      <c r="O6" s="43"/>
      <c r="P6" s="44"/>
      <c r="Q6" s="140"/>
      <c r="R6" s="28"/>
    </row>
    <row r="7" spans="1:18" ht="15.75" x14ac:dyDescent="0.25">
      <c r="A7" s="2"/>
      <c r="B7" s="2"/>
      <c r="C7" s="11"/>
      <c r="D7" s="13"/>
      <c r="E7" s="13"/>
      <c r="F7" s="10"/>
      <c r="G7" s="13"/>
      <c r="H7" s="12"/>
      <c r="I7" s="13"/>
      <c r="J7" s="19"/>
      <c r="L7" s="44"/>
      <c r="M7" s="44"/>
      <c r="N7" s="44"/>
      <c r="O7" s="44"/>
      <c r="P7" s="44"/>
    </row>
    <row r="8" spans="1:18" ht="18" x14ac:dyDescent="0.4">
      <c r="A8" s="3" t="s">
        <v>12</v>
      </c>
      <c r="B8" s="2"/>
      <c r="C8" s="24">
        <v>10722.37</v>
      </c>
      <c r="D8" s="32">
        <v>0.91500000000000004</v>
      </c>
      <c r="E8" s="35">
        <f>+D8*C8</f>
        <v>9810.9685500000014</v>
      </c>
      <c r="F8" s="10">
        <f>+F6</f>
        <v>101</v>
      </c>
      <c r="G8" s="14">
        <f>+F8*E8</f>
        <v>990907.82355000009</v>
      </c>
      <c r="H8" s="12">
        <f>+H6</f>
        <v>103</v>
      </c>
      <c r="I8" s="14">
        <f>+H8*E8</f>
        <v>1010529.7606500002</v>
      </c>
      <c r="J8" s="20">
        <f>+I8-G8</f>
        <v>19621.937100000097</v>
      </c>
      <c r="K8" s="29"/>
      <c r="L8" s="45"/>
      <c r="M8" s="45"/>
      <c r="N8" s="45"/>
      <c r="O8" s="45"/>
      <c r="P8" s="46"/>
      <c r="Q8" s="140"/>
      <c r="R8" s="28"/>
    </row>
    <row r="9" spans="1:18" ht="15.75" x14ac:dyDescent="0.25">
      <c r="A9" s="3"/>
      <c r="B9" s="2"/>
      <c r="C9" s="22">
        <f>+C8+C6</f>
        <v>20424.72</v>
      </c>
      <c r="D9" s="13"/>
      <c r="E9" s="22">
        <f>+E8+E6</f>
        <v>17582.550900000002</v>
      </c>
      <c r="F9" s="10"/>
      <c r="G9" s="33">
        <f>+G8+G6</f>
        <v>1775837.6409</v>
      </c>
      <c r="H9" s="12"/>
      <c r="J9" s="33">
        <f>+J8+J6</f>
        <v>35165.101800000179</v>
      </c>
      <c r="K9" s="33"/>
      <c r="L9" s="33"/>
      <c r="M9" s="33"/>
      <c r="N9" s="33"/>
      <c r="O9" s="33"/>
      <c r="P9" s="33"/>
      <c r="R9" s="28"/>
    </row>
    <row r="10" spans="1:18" ht="15.75" x14ac:dyDescent="0.25">
      <c r="A10" s="2"/>
      <c r="B10" s="2"/>
      <c r="C10" s="11"/>
      <c r="D10" s="13"/>
      <c r="E10" s="13"/>
      <c r="F10" s="10"/>
      <c r="G10" s="13"/>
      <c r="H10" s="12"/>
      <c r="I10" s="13"/>
      <c r="J10" s="19"/>
      <c r="L10" s="42"/>
      <c r="M10" s="42"/>
      <c r="N10" s="42"/>
      <c r="O10" s="42"/>
      <c r="P10" s="42"/>
    </row>
    <row r="11" spans="1:18" ht="17.25" x14ac:dyDescent="0.35">
      <c r="A11" s="3" t="s">
        <v>13</v>
      </c>
      <c r="B11" s="2"/>
      <c r="C11" s="18"/>
      <c r="D11" s="32"/>
      <c r="E11" s="24">
        <v>4937.46</v>
      </c>
      <c r="F11" s="10">
        <f>+F8</f>
        <v>101</v>
      </c>
      <c r="G11" s="14">
        <f>+F11*E11</f>
        <v>498683.46</v>
      </c>
      <c r="H11" s="12">
        <f>+H8</f>
        <v>103</v>
      </c>
      <c r="I11" s="13">
        <f>+H11*E11</f>
        <v>508558.38</v>
      </c>
      <c r="J11" s="19">
        <f>+I11-G11</f>
        <v>9874.9199999999837</v>
      </c>
      <c r="L11" s="41"/>
      <c r="M11" s="41"/>
      <c r="N11" s="43"/>
      <c r="O11" s="43"/>
      <c r="P11" s="44"/>
    </row>
    <row r="12" spans="1:18" ht="20.25" x14ac:dyDescent="0.55000000000000004">
      <c r="A12" s="2"/>
      <c r="B12" s="2"/>
      <c r="C12" s="21"/>
      <c r="D12" s="21"/>
      <c r="E12" s="21">
        <f>SUM(E11:E11)</f>
        <v>4937.46</v>
      </c>
      <c r="F12" s="10"/>
      <c r="G12" s="16">
        <f>SUM(G11:G11)</f>
        <v>498683.46</v>
      </c>
      <c r="H12" s="11"/>
      <c r="I12" s="16">
        <f>SUM(I11:I11)</f>
        <v>508558.38</v>
      </c>
      <c r="J12" s="16">
        <f>SUM(J11:J11)</f>
        <v>9874.9199999999837</v>
      </c>
      <c r="L12" s="16"/>
      <c r="M12" s="16"/>
      <c r="N12" s="16"/>
      <c r="O12" s="16"/>
      <c r="P12" s="16"/>
    </row>
    <row r="13" spans="1:18" ht="15.75" x14ac:dyDescent="0.25">
      <c r="A13" s="2"/>
      <c r="B13" s="2"/>
      <c r="C13" s="22"/>
      <c r="D13" s="22"/>
      <c r="E13" s="22"/>
      <c r="F13" s="10"/>
      <c r="G13" s="11"/>
      <c r="H13" s="11"/>
      <c r="I13" s="11"/>
      <c r="J13" s="11"/>
      <c r="L13" s="42"/>
      <c r="M13" s="42"/>
      <c r="N13" s="42"/>
      <c r="O13" s="42"/>
      <c r="P13" s="42"/>
    </row>
    <row r="14" spans="1:18" ht="18" x14ac:dyDescent="0.4">
      <c r="A14" s="2"/>
      <c r="B14" s="2"/>
      <c r="C14" s="23">
        <f>+C12+C9</f>
        <v>20424.72</v>
      </c>
      <c r="D14" s="23"/>
      <c r="E14" s="23">
        <f>+E12+E9</f>
        <v>22520.010900000001</v>
      </c>
      <c r="F14" s="10"/>
      <c r="G14" s="17">
        <f>+G12+G9</f>
        <v>2274521.1009</v>
      </c>
      <c r="H14" s="17"/>
      <c r="I14" s="17">
        <f>+I12+N9</f>
        <v>508558.38</v>
      </c>
      <c r="J14" s="17">
        <f>+J12+J9</f>
        <v>45040.021800000162</v>
      </c>
      <c r="K14" s="17"/>
      <c r="L14" s="17"/>
      <c r="M14" s="17"/>
      <c r="N14" s="17"/>
      <c r="O14" s="17"/>
      <c r="P14" s="17"/>
    </row>
    <row r="15" spans="1:18" ht="17.25" x14ac:dyDescent="0.35">
      <c r="A15" s="2"/>
      <c r="B15" s="2"/>
      <c r="C15" s="24"/>
      <c r="D15" s="24"/>
      <c r="E15" s="24"/>
      <c r="F15" s="10"/>
      <c r="G15" s="14"/>
      <c r="H15" s="11"/>
      <c r="I15" s="11"/>
      <c r="J15" s="11"/>
      <c r="K15" s="2"/>
      <c r="L15" s="2"/>
      <c r="N15" s="2"/>
      <c r="O15" s="2"/>
    </row>
    <row r="16" spans="1:18" ht="15.75" x14ac:dyDescent="0.25">
      <c r="A16" s="2"/>
      <c r="B16" s="2"/>
      <c r="C16" s="18"/>
      <c r="D16" s="11"/>
      <c r="E16" s="11"/>
      <c r="F16" s="10"/>
      <c r="G16" s="15"/>
      <c r="H16" s="11"/>
      <c r="I16" s="11"/>
      <c r="J16" s="11"/>
      <c r="K16" s="2"/>
      <c r="L16" s="2"/>
      <c r="N16" s="2"/>
      <c r="O16" s="2"/>
    </row>
    <row r="17" spans="1:15" ht="15.75" x14ac:dyDescent="0.25">
      <c r="A17" s="2"/>
      <c r="B17" s="2"/>
      <c r="C17" s="18"/>
      <c r="D17" s="18"/>
      <c r="E17" s="18"/>
      <c r="F17" s="25"/>
      <c r="G17" s="11"/>
      <c r="H17" s="25"/>
      <c r="I17" s="25"/>
      <c r="J17" s="25"/>
      <c r="K17" s="2"/>
      <c r="L17" s="2"/>
      <c r="N17" s="2"/>
      <c r="O17" s="2"/>
    </row>
    <row r="18" spans="1:15" x14ac:dyDescent="0.25">
      <c r="C18" s="1"/>
      <c r="D18" s="1"/>
      <c r="E18" s="1"/>
      <c r="F18" s="1"/>
      <c r="G18" s="36"/>
      <c r="H18" s="1"/>
      <c r="I18" s="1"/>
      <c r="J18" s="1"/>
    </row>
    <row r="19" spans="1:15" ht="15.75" x14ac:dyDescent="0.25">
      <c r="A19" s="2"/>
      <c r="B19" s="2"/>
      <c r="C19" s="25"/>
      <c r="D19" s="25"/>
      <c r="E19" s="25"/>
      <c r="F19" s="25"/>
      <c r="G19" s="26"/>
      <c r="H19" s="25"/>
      <c r="I19" s="25"/>
      <c r="J19" s="25"/>
      <c r="K19" s="2"/>
      <c r="L19" s="2"/>
      <c r="N19" s="2"/>
      <c r="O19" s="2"/>
    </row>
    <row r="20" spans="1:15" x14ac:dyDescent="0.25">
      <c r="C20" s="1"/>
      <c r="D20" s="1"/>
      <c r="E20" s="1"/>
      <c r="F20" s="1"/>
      <c r="G20" s="1"/>
      <c r="H20" s="1"/>
      <c r="I20" s="1"/>
      <c r="J20" s="1"/>
    </row>
    <row r="21" spans="1:15" x14ac:dyDescent="0.25">
      <c r="C21" s="1"/>
      <c r="D21" s="1"/>
      <c r="E21" s="1"/>
      <c r="F21" s="1"/>
      <c r="G21" s="1"/>
      <c r="H21" s="1"/>
      <c r="I21" s="1"/>
      <c r="J21" s="1"/>
    </row>
  </sheetData>
  <pageMargins left="0.45" right="0.2" top="0.75" bottom="0.75" header="0.3" footer="0.3"/>
  <pageSetup scale="62" orientation="landscape" verticalDpi="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4A3EDA9E55A243B3DEC08B7E6C490B" ma:contentTypeVersion="16" ma:contentTypeDescription="" ma:contentTypeScope="" ma:versionID="89acd9b2b470befe8a74f582d7cd164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2024-07-17T07:00:00+00:00</OpenedDate>
    <SignificantOrder xmlns="dc463f71-b30c-4ab2-9473-d307f9d35888">false</SignificantOrder>
    <Date1 xmlns="dc463f71-b30c-4ab2-9473-d307f9d35888">2024-07-17T07:00:00+00:00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240581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C7479C1-D115-4580-B4BA-35C3B05233DF}"/>
</file>

<file path=customXml/itemProps2.xml><?xml version="1.0" encoding="utf-8"?>
<ds:datastoreItem xmlns:ds="http://schemas.openxmlformats.org/officeDocument/2006/customXml" ds:itemID="{B4D20DFE-BA3C-4490-A52C-2ECC5427FF52}"/>
</file>

<file path=customXml/itemProps3.xml><?xml version="1.0" encoding="utf-8"?>
<ds:datastoreItem xmlns:ds="http://schemas.openxmlformats.org/officeDocument/2006/customXml" ds:itemID="{6E556EBB-2F5B-4759-9FE6-AEAF6AF3387D}"/>
</file>

<file path=customXml/itemProps4.xml><?xml version="1.0" encoding="utf-8"?>
<ds:datastoreItem xmlns:ds="http://schemas.openxmlformats.org/officeDocument/2006/customXml" ds:itemID="{30BF0CDE-7254-48AF-AB07-1A831E09B2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References</vt:lpstr>
      <vt:lpstr>Calc. and priceout</vt:lpstr>
      <vt:lpstr>Co. Pro Tonnage</vt:lpstr>
      <vt:lpstr>'Calc. and priceout'!Print_Area</vt:lpstr>
      <vt:lpstr>'Co. Pro Tonnage'!Print_Area</vt:lpstr>
      <vt:lpstr>References!Print_Area</vt:lpstr>
      <vt:lpstr>'Calc. and priceout'!Print_Titles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LaRue</dc:creator>
  <cp:lastModifiedBy>Burmester, Evan</cp:lastModifiedBy>
  <cp:lastPrinted>2019-06-05T19:11:46Z</cp:lastPrinted>
  <dcterms:created xsi:type="dcterms:W3CDTF">2013-04-10T21:01:30Z</dcterms:created>
  <dcterms:modified xsi:type="dcterms:W3CDTF">2024-07-29T19:07:38Z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0x0101006E56B4D1795A2E4DB2F0B01679ED314A00E34A3EDA9E55A243B3DEC08B7E6C490B</vt:lpwstr>
  </property>
  <property fmtid="{D5CDD505-2E9C-101B-9397-08002B2CF9AE}" pid="5" name="_docset_NoMedatataSyncRequired">
    <vt:lpwstr>False</vt:lpwstr>
  </property>
</Properties>
</file>