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Regulatory Filings\2024 Regulatory Filings\EIA I-937\Annual EIA Filing\"/>
    </mc:Choice>
  </mc:AlternateContent>
  <xr:revisionPtr revIDLastSave="0" documentId="13_ncr:1_{9111CCCB-8E5B-4079-A9C5-69B76C9115AF}" xr6:coauthVersionLast="47" xr6:coauthVersionMax="47" xr10:uidLastSave="{00000000-0000-0000-0000-000000000000}"/>
  <bookViews>
    <workbookView xWindow="-120" yWindow="-120" windowWidth="25230" windowHeight="14205" xr2:uid="{00000000-000D-0000-FFFF-FFFF00000000}"/>
  </bookViews>
  <sheets>
    <sheet name="(2)(a)(i) One Time (all)" sheetId="4" r:id="rId1"/>
    <sheet name="(2)(a)(ii)Annual-2024, estimate" sheetId="10" r:id="rId2"/>
    <sheet name="(2)(a)(ii)Annual-2023 actual" sheetId="6" r:id="rId3"/>
    <sheet name="(2)(a)(iii)(A) and (B)" sheetId="9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1" i="4" l="1"/>
  <c r="D71" i="4"/>
  <c r="B71" i="4"/>
  <c r="B65" i="4"/>
  <c r="B80" i="4"/>
  <c r="B82" i="4"/>
  <c r="E86" i="4"/>
  <c r="D86" i="4"/>
  <c r="F86" i="4" s="1"/>
  <c r="B86" i="4"/>
  <c r="C86" i="4" s="1"/>
  <c r="B78" i="4"/>
  <c r="B77" i="4"/>
  <c r="B34" i="10"/>
  <c r="G86" i="4" l="1"/>
  <c r="H86" i="4" s="1"/>
  <c r="D33" i="10"/>
  <c r="E33" i="10"/>
  <c r="H34" i="4"/>
  <c r="H33" i="4"/>
  <c r="F34" i="10" l="1"/>
  <c r="C34" i="10"/>
  <c r="H35" i="4" l="1"/>
  <c r="G35" i="4"/>
  <c r="F35" i="4"/>
  <c r="C35" i="4"/>
  <c r="C38" i="6" l="1"/>
  <c r="F38" i="6" s="1"/>
  <c r="B32" i="6"/>
  <c r="B60" i="10" l="1"/>
  <c r="C60" i="10" s="1"/>
  <c r="C39" i="10" l="1"/>
  <c r="F39" i="10" s="1"/>
  <c r="B46" i="9"/>
  <c r="D46" i="9" s="1"/>
  <c r="F46" i="9" s="1"/>
  <c r="B57" i="6"/>
  <c r="B56" i="6"/>
  <c r="B55" i="6"/>
  <c r="C41" i="6"/>
  <c r="C42" i="6"/>
  <c r="F18" i="9"/>
  <c r="F19" i="9"/>
  <c r="F20" i="9"/>
  <c r="F21" i="9"/>
  <c r="D63" i="6"/>
  <c r="F56" i="10"/>
  <c r="F41" i="6" l="1"/>
  <c r="B44" i="4"/>
  <c r="B67" i="4" l="1"/>
  <c r="C58" i="10" s="1"/>
  <c r="C42" i="10" s="1"/>
  <c r="B62" i="4"/>
  <c r="B63" i="4" l="1"/>
  <c r="C71" i="4" l="1"/>
  <c r="F71" i="4"/>
  <c r="B58" i="10"/>
  <c r="F42" i="10" s="1"/>
  <c r="B56" i="10"/>
  <c r="G71" i="4" l="1"/>
  <c r="H71" i="4" s="1"/>
  <c r="C17" i="9"/>
  <c r="C22" i="9"/>
  <c r="D22" i="9" s="1"/>
  <c r="F22" i="9" s="1"/>
  <c r="E25" i="10" l="1"/>
  <c r="E32" i="10"/>
  <c r="B32" i="10"/>
  <c r="B45" i="9" s="1"/>
  <c r="E29" i="10"/>
  <c r="B29" i="10"/>
  <c r="D32" i="10" l="1"/>
  <c r="C43" i="9"/>
  <c r="C44" i="9"/>
  <c r="B42" i="9"/>
  <c r="B43" i="9"/>
  <c r="B44" i="9"/>
  <c r="D45" i="9" l="1"/>
  <c r="F45" i="9" s="1"/>
  <c r="B46" i="4" l="1"/>
  <c r="B47" i="4"/>
  <c r="B49" i="4"/>
  <c r="B51" i="4"/>
  <c r="B55" i="4"/>
  <c r="D55" i="4"/>
  <c r="E55" i="4"/>
  <c r="F55" i="4" l="1"/>
  <c r="C55" i="4"/>
  <c r="G55" i="4"/>
  <c r="H55" i="4" s="1"/>
  <c r="E25" i="6" l="1"/>
  <c r="E33" i="6" s="1"/>
  <c r="D28" i="10" l="1"/>
  <c r="D25" i="10"/>
  <c r="G29" i="4"/>
  <c r="H29" i="4" s="1"/>
  <c r="B29" i="4"/>
  <c r="G25" i="10" l="1"/>
  <c r="D34" i="10"/>
  <c r="C57" i="10"/>
  <c r="C39" i="6"/>
  <c r="F39" i="6" s="1"/>
  <c r="B57" i="10"/>
  <c r="G25" i="6" l="1"/>
  <c r="F33" i="6" l="1"/>
  <c r="C33" i="6"/>
  <c r="C14" i="9" l="1"/>
  <c r="C40" i="6"/>
  <c r="G48" i="10"/>
  <c r="F57" i="10"/>
  <c r="B25" i="10" s="1"/>
  <c r="F40" i="6" l="1"/>
  <c r="C43" i="6"/>
  <c r="D62" i="6"/>
  <c r="B25" i="6" s="1"/>
  <c r="F40" i="9" l="1"/>
  <c r="D28" i="6" l="1"/>
  <c r="D33" i="6" s="1"/>
  <c r="G27" i="4"/>
  <c r="B27" i="6" s="1"/>
  <c r="G26" i="4"/>
  <c r="B26" i="6" s="1"/>
  <c r="G28" i="6" l="1"/>
  <c r="G33" i="6" s="1"/>
  <c r="B16" i="9"/>
  <c r="D16" i="9" s="1"/>
  <c r="F16" i="9" s="1"/>
  <c r="H27" i="4"/>
  <c r="B39" i="9"/>
  <c r="D39" i="9" s="1"/>
  <c r="F39" i="9" s="1"/>
  <c r="H26" i="4"/>
  <c r="B38" i="9"/>
  <c r="D38" i="9" s="1"/>
  <c r="F38" i="9" s="1"/>
  <c r="B15" i="9"/>
  <c r="D17" i="9"/>
  <c r="F17" i="9" s="1"/>
  <c r="B28" i="6"/>
  <c r="D15" i="9" l="1"/>
  <c r="F15" i="9" s="1"/>
  <c r="C40" i="10"/>
  <c r="F40" i="10" s="1"/>
  <c r="D34" i="6"/>
  <c r="D45" i="6" s="1"/>
  <c r="G28" i="10" l="1"/>
  <c r="G34" i="10" s="1"/>
  <c r="C41" i="10"/>
  <c r="F41" i="10" l="1"/>
  <c r="C44" i="10"/>
  <c r="F38" i="10" l="1"/>
  <c r="F44" i="10" s="1"/>
  <c r="E43" i="6" l="1"/>
  <c r="E45" i="6" s="1"/>
  <c r="F43" i="6"/>
  <c r="E28" i="10"/>
  <c r="E26" i="10"/>
  <c r="E27" i="10"/>
  <c r="B26" i="10"/>
  <c r="B27" i="10"/>
  <c r="B28" i="10"/>
  <c r="G44" i="10"/>
  <c r="E44" i="10"/>
  <c r="D44" i="10"/>
  <c r="B44" i="10"/>
  <c r="G35" i="10"/>
  <c r="G46" i="10" s="1"/>
  <c r="F35" i="10"/>
  <c r="D35" i="10"/>
  <c r="D46" i="10" s="1"/>
  <c r="C35" i="10"/>
  <c r="C46" i="10" s="1"/>
  <c r="G43" i="6"/>
  <c r="D43" i="6"/>
  <c r="B43" i="6"/>
  <c r="F46" i="10" l="1"/>
  <c r="H28" i="4" l="1"/>
  <c r="G45" i="6"/>
  <c r="F45" i="6"/>
  <c r="B40" i="9" l="1"/>
  <c r="C34" i="6" l="1"/>
  <c r="C45" i="6" s="1"/>
  <c r="G16" i="4"/>
  <c r="G24" i="4"/>
  <c r="G23" i="4"/>
  <c r="G22" i="4"/>
  <c r="B11" i="9" s="1"/>
  <c r="G21" i="4"/>
  <c r="G20" i="4"/>
  <c r="G19" i="4"/>
  <c r="B19" i="6" s="1"/>
  <c r="G18" i="4"/>
  <c r="B18" i="6" s="1"/>
  <c r="G17" i="4"/>
  <c r="B17" i="6" s="1"/>
  <c r="E16" i="10" l="1"/>
  <c r="B16" i="10"/>
  <c r="H16" i="4"/>
  <c r="B28" i="9"/>
  <c r="D28" i="9" s="1"/>
  <c r="F28" i="9" s="1"/>
  <c r="B5" i="9"/>
  <c r="D5" i="9" s="1"/>
  <c r="F5" i="9" s="1"/>
  <c r="B16" i="6"/>
  <c r="H25" i="4"/>
  <c r="B37" i="9"/>
  <c r="D37" i="9" s="1"/>
  <c r="F37" i="9" s="1"/>
  <c r="B20" i="10"/>
  <c r="E20" i="10"/>
  <c r="H20" i="4"/>
  <c r="B32" i="9"/>
  <c r="D32" i="9" s="1"/>
  <c r="F32" i="9" s="1"/>
  <c r="B9" i="9"/>
  <c r="D9" i="9" s="1"/>
  <c r="F9" i="9" s="1"/>
  <c r="E21" i="10"/>
  <c r="B21" i="10"/>
  <c r="H21" i="4"/>
  <c r="B33" i="9"/>
  <c r="D33" i="9" s="1"/>
  <c r="F33" i="9" s="1"/>
  <c r="B10" i="9"/>
  <c r="D10" i="9" s="1"/>
  <c r="F10" i="9" s="1"/>
  <c r="E22" i="10"/>
  <c r="B22" i="10"/>
  <c r="H22" i="4"/>
  <c r="B34" i="9"/>
  <c r="D34" i="9" s="1"/>
  <c r="F34" i="9" s="1"/>
  <c r="D11" i="9"/>
  <c r="F11" i="9" s="1"/>
  <c r="B23" i="10"/>
  <c r="E23" i="10"/>
  <c r="H23" i="4"/>
  <c r="B35" i="9"/>
  <c r="D35" i="9" s="1"/>
  <c r="F35" i="9" s="1"/>
  <c r="B12" i="9"/>
  <c r="D12" i="9" s="1"/>
  <c r="F12" i="9" s="1"/>
  <c r="B20" i="6"/>
  <c r="B24" i="10"/>
  <c r="E24" i="10"/>
  <c r="H24" i="4"/>
  <c r="B36" i="9"/>
  <c r="D36" i="9" s="1"/>
  <c r="F36" i="9" s="1"/>
  <c r="B13" i="9"/>
  <c r="D13" i="9" s="1"/>
  <c r="F13" i="9" s="1"/>
  <c r="B21" i="6"/>
  <c r="E17" i="10"/>
  <c r="B17" i="10"/>
  <c r="H17" i="4"/>
  <c r="B6" i="9"/>
  <c r="D6" i="9" s="1"/>
  <c r="F6" i="9" s="1"/>
  <c r="B29" i="9"/>
  <c r="D29" i="9" s="1"/>
  <c r="F29" i="9" s="1"/>
  <c r="B22" i="6"/>
  <c r="B18" i="10"/>
  <c r="E18" i="10"/>
  <c r="H18" i="4"/>
  <c r="B7" i="9"/>
  <c r="D7" i="9" s="1"/>
  <c r="F7" i="9" s="1"/>
  <c r="B30" i="9"/>
  <c r="D30" i="9" s="1"/>
  <c r="F30" i="9" s="1"/>
  <c r="B23" i="6"/>
  <c r="E19" i="10"/>
  <c r="B19" i="10"/>
  <c r="H19" i="4"/>
  <c r="B31" i="9"/>
  <c r="D31" i="9" s="1"/>
  <c r="F31" i="9" s="1"/>
  <c r="B8" i="9"/>
  <c r="D8" i="9" s="1"/>
  <c r="F8" i="9" s="1"/>
  <c r="B24" i="6"/>
  <c r="B35" i="10" l="1"/>
  <c r="B46" i="10" s="1"/>
  <c r="D49" i="10" s="1"/>
  <c r="B50" i="10" s="1"/>
  <c r="E34" i="10"/>
  <c r="B33" i="6"/>
  <c r="B34" i="6" s="1"/>
  <c r="B45" i="6" s="1"/>
  <c r="D48" i="6" s="1"/>
  <c r="B49" i="6" s="1"/>
  <c r="G38" i="4"/>
  <c r="B14" i="9"/>
  <c r="D14" i="9" s="1"/>
  <c r="G48" i="6"/>
  <c r="E49" i="6" s="1"/>
  <c r="F14" i="9" l="1"/>
  <c r="E35" i="10"/>
  <c r="E46" i="10" s="1"/>
  <c r="G49" i="10" s="1"/>
  <c r="E5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  <author>jwg3596</author>
    <author>Gall, James</author>
  </authors>
  <commentList>
    <comment ref="A2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These costs represent the cost per qualifing MWh, rather than the incremental MWh from the project</t>
        </r>
      </text>
    </comment>
    <comment ref="A2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WAC 480-109-210 (2) (G): Legacy resources. Any eligible resource that the utility acquired prior to March 31, 1999, is deemed to have an incremental cost of zero.</t>
        </r>
      </text>
    </comment>
    <comment ref="A29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100% allocated to WA State customers
</t>
        </r>
      </text>
    </comment>
    <comment ref="A30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2" shapeId="0" xr:uid="{00000000-0006-0000-0000-000005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</text>
    </comment>
    <comment ref="A32" authorId="2" shapeId="0" xr:uid="{00000000-0006-0000-0000-000006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7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The Production/Transmission Ratio (“P/T Ratio”) is a jurisdictional allocation used to allocate production and transmission costs between the Company’s Washington and Idaho electric service territories.  The Company files its P/T Ratio annually with the WUTC within its annual required Commission Basis Report.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Avista</author>
    <author>Gall, James</author>
    <author>James Gall</author>
    <author>Lyons, John</author>
  </authors>
  <commentList>
    <comment ref="B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Avista:</t>
        </r>
        <r>
          <rPr>
            <sz val="9"/>
            <color indexed="81"/>
            <rFont val="Tahoma"/>
            <family val="2"/>
          </rPr>
          <t xml:space="preserve">
Adjusted for expected production</t>
        </r>
      </text>
    </comment>
    <comment ref="A29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</text>
    </comment>
    <comment ref="A31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2" shapeId="0" xr:uid="{00000000-0006-0000-0100-000005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2" shapeId="0" xr:uid="{00000000-0006-0000-0100-000006000000}">
      <text>
        <r>
          <rPr>
            <b/>
            <sz val="9"/>
            <color indexed="81"/>
            <rFont val="Tahoma"/>
            <family val="2"/>
          </rPr>
          <t>REC Value for transfering Kettle Falls RECs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1" authorId="2" shapeId="0" xr:uid="{00000000-0006-0000-0100-000007000000}">
      <text>
        <r>
          <rPr>
            <b/>
            <sz val="9"/>
            <color indexed="81"/>
            <rFont val="Tahoma"/>
            <family val="2"/>
          </rPr>
          <t>REC Value for transfering Palouse Wind RECs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2" authorId="2" shapeId="0" xr:uid="{5358E689-CC9B-4C6F-ADEE-DF72269C2FA4}">
      <text>
        <r>
          <rPr>
            <b/>
            <sz val="9"/>
            <color indexed="81"/>
            <rFont val="Tahoma"/>
            <family val="2"/>
          </rPr>
          <t>REC Value for transfering Rattlesnake Flat Wind RECs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9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To calcualte revenue requirements all costs/revenues are multiplied by 1.029768 to account for Washington's share Excise Tax, Uncollectibles and Comission Fees</t>
        </r>
      </text>
    </comment>
    <comment ref="E55" authorId="3" shapeId="0" xr:uid="{1BF5FF23-AF42-43DE-8763-844178405127}">
      <text>
        <r>
          <rPr>
            <b/>
            <sz val="9"/>
            <color indexed="81"/>
            <rFont val="Tahoma"/>
            <family val="2"/>
          </rPr>
          <t>Lyons, John:</t>
        </r>
        <r>
          <rPr>
            <sz val="9"/>
            <color indexed="81"/>
            <rFont val="Tahoma"/>
            <family val="2"/>
          </rPr>
          <t xml:space="preserve">
Used 2023 REC prices from Chris Drake in Wholesale Marketing.</t>
        </r>
      </text>
    </comment>
    <comment ref="F59" authorId="3" shapeId="0" xr:uid="{D1E920D8-278D-43A1-922D-DF47BD03BA8C}">
      <text>
        <r>
          <rPr>
            <b/>
            <sz val="9"/>
            <color indexed="81"/>
            <rFont val="Tahoma"/>
            <family val="2"/>
          </rPr>
          <t>Lyons, John:</t>
        </r>
        <r>
          <rPr>
            <sz val="9"/>
            <color indexed="81"/>
            <rFont val="Tahoma"/>
            <family val="2"/>
          </rPr>
          <t xml:space="preserve">
Partial year Sept - Dec in 2024, will change to full year in 2025 report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Gall, James</author>
    <author>James Gall</author>
    <author>Lyons, John</author>
  </authors>
  <commentList>
    <comment ref="E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Columns E through G are values from the 2017 filing estimate as a comparison to this year's actual</t>
        </r>
      </text>
    </comment>
    <comment ref="B25" authorId="1" shapeId="0" xr:uid="{00000000-0006-0000-0200-000002000000}">
      <text>
        <r>
          <rPr>
            <sz val="9"/>
            <color indexed="81"/>
            <rFont val="Tahoma"/>
            <family val="2"/>
          </rPr>
          <t xml:space="preserve">
adjusted for actual production</t>
        </r>
      </text>
    </comment>
    <comment ref="A2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</text>
    </comment>
    <comment ref="A3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REC Value for transfering Kettle Falls RECs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REC Value for transfering Palouse Wind RECs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1" authorId="2" shapeId="0" xr:uid="{0CB08BF0-1487-4EED-9BEA-BBAD882A0812}">
      <text>
        <r>
          <rPr>
            <sz val="9"/>
            <color indexed="81"/>
            <rFont val="Tahoma"/>
            <family val="2"/>
          </rPr>
          <t>REC Value for transfering Rattlesnake Flat Wind RECs entitled to Idaho to Washington</t>
        </r>
      </text>
    </comment>
    <comment ref="B48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To calcualte revenue requirements all costs/revenues are multiplied by 1.029768 to account for Washington's share Excise Tax, Uncollectibles and Comission Fees</t>
        </r>
      </text>
    </comment>
  </commentList>
</comments>
</file>

<file path=xl/sharedStrings.xml><?xml version="1.0" encoding="utf-8"?>
<sst xmlns="http://schemas.openxmlformats.org/spreadsheetml/2006/main" count="260" uniqueCount="113">
  <si>
    <t>480-109-210(2)(a)(i) Utility must make a one-time calculation of incremental cost for each eligible resource at the time of acquisition or, for historic acquisitions, the best information available at the time of acquistion</t>
  </si>
  <si>
    <t>(A)</t>
  </si>
  <si>
    <t>Resource</t>
  </si>
  <si>
    <t>ENERGY</t>
  </si>
  <si>
    <t>Kettle Falls</t>
  </si>
  <si>
    <t xml:space="preserve">ALL RESOURCES TOTAL INCREMENTAL COST =                 ENERGY + CAPACITY                                        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</si>
  <si>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One Time Calculation</t>
    </r>
    <r>
      <rPr>
        <sz val="12"/>
        <color theme="1"/>
        <rFont val="Calibri"/>
        <family val="2"/>
        <scheme val="minor"/>
      </rPr>
      <t xml:space="preserve"> of Incremental Cost:
Energy-Levelized Incremental Cost:
[Levelized Cost Eligible Renewable Resource – Levelized Cost Alternative]
Capacity-Levelized Incremental Cost:
[Levelized Cost Eligible Renewable Resource – Levelized Cost Alternative]
Energy + Capacity = Incremental Cost
</t>
    </r>
  </si>
  <si>
    <t>One Time Calculation of Incremental Cost for Each (All) Eligible Resource(s)</t>
  </si>
  <si>
    <t>480-109-210(2)(a)(ii) Utility must annually calculate its revenue requirement ratio for 1) All Resources 2) Required Resources Target Year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</si>
  <si>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Annual Calculation</t>
    </r>
    <r>
      <rPr>
        <sz val="12"/>
        <color theme="1"/>
        <rFont val="Calibri"/>
        <family val="2"/>
        <scheme val="minor"/>
      </rPr>
      <t xml:space="preserve"> of Incremental Cost (Revenue Requirement Ratio):
1) Total Incremental Cost All* Resources:
{[sum of incremental costs of All* eligible resources + cost of unbundled RECs] - [revenue RECs]} / annual revenue requirement
</t>
    </r>
    <r>
      <rPr>
        <i/>
        <sz val="12"/>
        <color theme="1"/>
        <rFont val="Calibri"/>
        <family val="2"/>
        <scheme val="minor"/>
      </rPr>
      <t xml:space="preserve"> *required because of excess generation, Avista needs to report 2 incremental costs </t>
    </r>
    <r>
      <rPr>
        <sz val="12"/>
        <color theme="1"/>
        <rFont val="Calibri"/>
        <family val="2"/>
        <scheme val="minor"/>
      </rPr>
      <t xml:space="preserve">
2) Total Incremental Cost Required Resources for Target Year:
{[sum of incremental costs of Target Year* eligible resources used for target year compliance + cost of unbundled RECs] - [revenue RECs]} / annual revenue requirement
</t>
    </r>
  </si>
  <si>
    <t>sum of incremental costs of all eligible resources</t>
  </si>
  <si>
    <t>Annual Revenue Requirement (most recent rate case)</t>
  </si>
  <si>
    <t>Total Incremental Cost (as dollar $ amt.)</t>
  </si>
  <si>
    <t>MWh</t>
  </si>
  <si>
    <t>Number of Megawatt-hours Needed for Target Year Compliance</t>
  </si>
  <si>
    <t>(B)</t>
  </si>
  <si>
    <t>Total Incremental Cost ($/MWh)</t>
  </si>
  <si>
    <t>Utility must (A) report its total incremental cost as a dollar amount and in dollars per megawatt-hour of renewable energy generated by all eligible renewable resources in the calcualtion (a)(i) of this subsection; and (B) multiply the dollars per megawatt-hour cost calculated in (a)(iii)(A) of this subsection by the number of megawatt-hours needed for target year compliance.</t>
  </si>
  <si>
    <t>RECs purchased</t>
  </si>
  <si>
    <t>revenue from REC sales</t>
  </si>
  <si>
    <t>Total Incremental Cost ($/MWh) Multiplied by Number of Megawatt-hours Needed for Target Year Compliance</t>
  </si>
  <si>
    <t>Little Falls 4</t>
  </si>
  <si>
    <t>Long Lake 3</t>
  </si>
  <si>
    <t>Cabinet Gorge 2</t>
  </si>
  <si>
    <t>Cabinet Gorge 3</t>
  </si>
  <si>
    <t>Cabinet Gorge 4</t>
  </si>
  <si>
    <t>Noxon Rapids 1</t>
  </si>
  <si>
    <t>Noxon Rapids 2</t>
  </si>
  <si>
    <t>Noxon Rapids 3</t>
  </si>
  <si>
    <t>Noxon Rapids 4</t>
  </si>
  <si>
    <t>Palouse Wind</t>
  </si>
  <si>
    <t>Levelized Cost Alternative ($/MWh)</t>
  </si>
  <si>
    <t>Levelized Cost Alternative ($/kW-yr)</t>
  </si>
  <si>
    <t>Energy</t>
  </si>
  <si>
    <t>Capacity</t>
  </si>
  <si>
    <t>Levelized Cost Eligible Renewable Resource ($/REC/MWh)</t>
  </si>
  <si>
    <t>Total Alternative Cost ($)</t>
  </si>
  <si>
    <t>Incremental Cost ($)</t>
  </si>
  <si>
    <t>Total Renewable Resource Cost</t>
  </si>
  <si>
    <t>Washington Share:</t>
  </si>
  <si>
    <t>$</t>
  </si>
  <si>
    <t>Total</t>
  </si>
  <si>
    <t>Nine Mile Falls 1</t>
  </si>
  <si>
    <t>Nine Mile Falls 2</t>
  </si>
  <si>
    <t>Washington Share</t>
  </si>
  <si>
    <t>Total Annual Cost ($)</t>
  </si>
  <si>
    <t>EWEB/Stateline</t>
  </si>
  <si>
    <t>ALL AVAILABLE RESOURCES BASED ON ACTUAL RESULTS</t>
  </si>
  <si>
    <t>TARGET YEAR: BASED ON EXPECTED COMPLIANCE RESOURCES</t>
  </si>
  <si>
    <t>WA Share of WA/ID Resources</t>
  </si>
  <si>
    <t>Washington Only Resources</t>
  </si>
  <si>
    <t>Total WA Only Resources</t>
  </si>
  <si>
    <t>Total WA Share of Costs</t>
  </si>
  <si>
    <t>Revenue from REC sales</t>
  </si>
  <si>
    <t xml:space="preserve">CALCULATION 1: </t>
  </si>
  <si>
    <t>CALCULATION 2:</t>
  </si>
  <si>
    <t>Palouse</t>
  </si>
  <si>
    <t xml:space="preserve">Idaho Transferred REC Value Hydro </t>
  </si>
  <si>
    <t>Idaho Transferred REC Value Palouse</t>
  </si>
  <si>
    <t>Idaho Transferred REC Value Kettle Falls</t>
  </si>
  <si>
    <t>NOTES</t>
  </si>
  <si>
    <t>RECS Already Sold</t>
  </si>
  <si>
    <t>REC Price</t>
  </si>
  <si>
    <t>TARGET YEAR: FORCAST SUBJECT TO CHANGE</t>
  </si>
  <si>
    <t>ALL AVAILABLE RESOURCES ESTIMATED</t>
  </si>
  <si>
    <t>Resources</t>
  </si>
  <si>
    <t>Palouse Generation</t>
  </si>
  <si>
    <t>Avg REC Price</t>
  </si>
  <si>
    <t>RECs in one time calculation</t>
  </si>
  <si>
    <t>palouse scenarios</t>
  </si>
  <si>
    <t>Developer estimated MWh</t>
  </si>
  <si>
    <t>Developer estimated MWh w/ A.C.</t>
  </si>
  <si>
    <t>notes</t>
  </si>
  <si>
    <t>(this is the amount cell b25 is based on)</t>
  </si>
  <si>
    <t>Adjustment to cost if included curtailed gen adjusted for A.C.</t>
  </si>
  <si>
    <t>RECS Expected</t>
  </si>
  <si>
    <t>Boulder Community Solar</t>
  </si>
  <si>
    <t>Rathdrum Solar</t>
  </si>
  <si>
    <t>Adams-Neilson Solar Farm</t>
  </si>
  <si>
    <t>(used for c25 &amp; F25 calculation)</t>
  </si>
  <si>
    <t>Rattlesnake Flat Wind</t>
  </si>
  <si>
    <t>Rattlesnake</t>
  </si>
  <si>
    <t>Rattlesnake Flat</t>
  </si>
  <si>
    <t>RECS Assumed used for 2023 Compliance</t>
  </si>
  <si>
    <t>Rattlesnake Flat scenarios</t>
  </si>
  <si>
    <t>(this is the amount cell b33 is based on)</t>
  </si>
  <si>
    <t>(used for c33 &amp; F33 calculation)</t>
  </si>
  <si>
    <t>Idaho Transferred REC Value Rattlesnake Flat</t>
  </si>
  <si>
    <t>Idaho Transferred REC Value New Resource Holding Place</t>
  </si>
  <si>
    <t xml:space="preserve">Hydro </t>
  </si>
  <si>
    <t>Hydro</t>
  </si>
  <si>
    <t>2023 Actual</t>
  </si>
  <si>
    <t>2023 Actual Data: Annual Calculation of Revenue Requirement Ratio</t>
  </si>
  <si>
    <t>(iii)(A) &amp; (B) Annual Reporting Summary Data: 2023 and 2024</t>
  </si>
  <si>
    <t>Clearwater Wind</t>
  </si>
  <si>
    <t>Clearwater</t>
  </si>
  <si>
    <t>RECS Assumed used for 2024 Compliance</t>
  </si>
  <si>
    <t>2024 Estimated Data: Annual Calculation of Revenue Requirement Ratio</t>
  </si>
  <si>
    <t xml:space="preserve">  </t>
  </si>
  <si>
    <t>2023 Actual gen</t>
  </si>
  <si>
    <t>2023 Curtailed Gen</t>
  </si>
  <si>
    <t>2023 WA Rec's w/ Apprentice credits (A.C.)</t>
  </si>
  <si>
    <t>2023 WA Rec's w/ A.C. &amp; Curtailed gen</t>
  </si>
  <si>
    <t>2024 Expected Gen</t>
  </si>
  <si>
    <t>2024 Expected RECs</t>
  </si>
  <si>
    <t>Clearwater Wind scenarios</t>
  </si>
  <si>
    <t>2023 WA Rec's w/out Apprentice credits (A.C.)</t>
  </si>
  <si>
    <t>2023 WA Rec's w/out A.C. &amp; Curtailed gen</t>
  </si>
  <si>
    <t>(this is the amount cell b34 is based on)</t>
  </si>
  <si>
    <t>Developer estimated MWh w/out A.C.</t>
  </si>
  <si>
    <t>(used for c34 &amp; F34 calculation)</t>
  </si>
  <si>
    <t>Zero Palouse Wind curtailments in 2023</t>
  </si>
  <si>
    <t>No curtailments in 2023, PPA starts in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</si>
</sst>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00%"/>
    <numFmt numFmtId="167" formatCode="_(* #,##0.0000_);_(* \(#,##0.0000\);_(* &quot;-&quot;??_);_(@_)"/>
    <numFmt numFmtId="168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51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/>
    <xf numFmtId="0" fontId="0" fillId="0" borderId="15" xfId="0" applyBorder="1"/>
    <xf numFmtId="0" fontId="0" fillId="0" borderId="16" xfId="0" applyBorder="1"/>
    <xf numFmtId="0" fontId="6" fillId="0" borderId="0" xfId="0" applyFont="1" applyBorder="1" applyAlignment="1"/>
    <xf numFmtId="0" fontId="0" fillId="0" borderId="0" xfId="0" applyBorder="1" applyAlignment="1"/>
    <xf numFmtId="0" fontId="3" fillId="0" borderId="0" xfId="0" applyFont="1"/>
    <xf numFmtId="165" fontId="0" fillId="0" borderId="15" xfId="1" applyNumberFormat="1" applyFont="1" applyBorder="1"/>
    <xf numFmtId="0" fontId="0" fillId="0" borderId="0" xfId="0"/>
    <xf numFmtId="0" fontId="2" fillId="0" borderId="0" xfId="0" applyFont="1"/>
    <xf numFmtId="0" fontId="0" fillId="0" borderId="15" xfId="0" applyBorder="1"/>
    <xf numFmtId="0" fontId="0" fillId="0" borderId="16" xfId="0" applyBorder="1"/>
    <xf numFmtId="0" fontId="1" fillId="0" borderId="18" xfId="0" applyFont="1" applyBorder="1" applyAlignment="1"/>
    <xf numFmtId="165" fontId="0" fillId="0" borderId="4" xfId="0" applyNumberFormat="1" applyBorder="1"/>
    <xf numFmtId="0" fontId="0" fillId="0" borderId="18" xfId="0" applyFill="1" applyBorder="1"/>
    <xf numFmtId="0" fontId="0" fillId="0" borderId="21" xfId="0" applyFill="1" applyBorder="1"/>
    <xf numFmtId="165" fontId="3" fillId="0" borderId="15" xfId="1" applyNumberFormat="1" applyFont="1" applyBorder="1"/>
    <xf numFmtId="165" fontId="3" fillId="0" borderId="15" xfId="1" applyNumberFormat="1" applyFont="1" applyFill="1" applyBorder="1"/>
    <xf numFmtId="0" fontId="3" fillId="0" borderId="15" xfId="0" applyFont="1" applyBorder="1" applyAlignment="1">
      <alignment wrapText="1"/>
    </xf>
    <xf numFmtId="0" fontId="3" fillId="0" borderId="17" xfId="0" applyFont="1" applyBorder="1" applyAlignment="1">
      <alignment wrapText="1"/>
    </xf>
    <xf numFmtId="16" fontId="3" fillId="0" borderId="15" xfId="0" applyNumberFormat="1" applyFont="1" applyBorder="1"/>
    <xf numFmtId="165" fontId="3" fillId="0" borderId="15" xfId="1" applyNumberFormat="1" applyFont="1" applyBorder="1" applyAlignment="1">
      <alignment wrapText="1"/>
    </xf>
    <xf numFmtId="0" fontId="3" fillId="0" borderId="15" xfId="0" applyFont="1" applyBorder="1"/>
    <xf numFmtId="0" fontId="3" fillId="0" borderId="15" xfId="0" applyFont="1" applyFill="1" applyBorder="1"/>
    <xf numFmtId="0" fontId="0" fillId="0" borderId="27" xfId="0" applyBorder="1"/>
    <xf numFmtId="165" fontId="0" fillId="0" borderId="31" xfId="1" applyNumberFormat="1" applyFont="1" applyBorder="1"/>
    <xf numFmtId="0" fontId="0" fillId="0" borderId="0" xfId="0" applyFont="1"/>
    <xf numFmtId="0" fontId="0" fillId="0" borderId="23" xfId="0" applyFont="1" applyFill="1" applyBorder="1" applyAlignment="1">
      <alignment horizontal="right" wrapText="1"/>
    </xf>
    <xf numFmtId="0" fontId="0" fillId="0" borderId="28" xfId="0" applyFont="1" applyFill="1" applyBorder="1" applyAlignment="1">
      <alignment horizontal="right" wrapText="1"/>
    </xf>
    <xf numFmtId="0" fontId="0" fillId="0" borderId="24" xfId="0" applyFont="1" applyBorder="1" applyAlignment="1">
      <alignment horizontal="right"/>
    </xf>
    <xf numFmtId="16" fontId="0" fillId="0" borderId="25" xfId="0" applyNumberFormat="1" applyFont="1" applyBorder="1"/>
    <xf numFmtId="165" fontId="0" fillId="0" borderId="26" xfId="0" applyNumberFormat="1" applyFont="1" applyBorder="1" applyAlignment="1">
      <alignment horizontal="right"/>
    </xf>
    <xf numFmtId="0" fontId="0" fillId="0" borderId="25" xfId="0" applyFont="1" applyBorder="1"/>
    <xf numFmtId="0" fontId="0" fillId="0" borderId="27" xfId="0" applyFont="1" applyBorder="1"/>
    <xf numFmtId="0" fontId="0" fillId="0" borderId="15" xfId="0" applyFont="1" applyBorder="1"/>
    <xf numFmtId="165" fontId="0" fillId="0" borderId="20" xfId="0" applyNumberFormat="1" applyFont="1" applyBorder="1"/>
    <xf numFmtId="0" fontId="0" fillId="0" borderId="20" xfId="0" applyFont="1" applyBorder="1"/>
    <xf numFmtId="0" fontId="0" fillId="0" borderId="0" xfId="0" applyFont="1" applyBorder="1"/>
    <xf numFmtId="0" fontId="12" fillId="0" borderId="0" xfId="0" applyFont="1"/>
    <xf numFmtId="10" fontId="13" fillId="0" borderId="19" xfId="0" applyNumberFormat="1" applyFont="1" applyFill="1" applyBorder="1"/>
    <xf numFmtId="0" fontId="0" fillId="0" borderId="15" xfId="0" applyFont="1" applyFill="1" applyBorder="1"/>
    <xf numFmtId="0" fontId="1" fillId="0" borderId="18" xfId="0" applyFont="1" applyFill="1" applyBorder="1" applyAlignment="1">
      <alignment horizontal="left" indent="1"/>
    </xf>
    <xf numFmtId="0" fontId="1" fillId="0" borderId="18" xfId="0" applyFont="1" applyBorder="1" applyAlignment="1">
      <alignment horizontal="left" indent="1"/>
    </xf>
    <xf numFmtId="0" fontId="0" fillId="0" borderId="7" xfId="0" applyFill="1" applyBorder="1"/>
    <xf numFmtId="165" fontId="0" fillId="0" borderId="8" xfId="0" applyNumberFormat="1" applyBorder="1"/>
    <xf numFmtId="165" fontId="0" fillId="0" borderId="0" xfId="0" applyNumberFormat="1" applyBorder="1"/>
    <xf numFmtId="0" fontId="1" fillId="0" borderId="18" xfId="0" applyFont="1" applyFill="1" applyBorder="1"/>
    <xf numFmtId="16" fontId="0" fillId="0" borderId="17" xfId="0" applyNumberFormat="1" applyBorder="1"/>
    <xf numFmtId="37" fontId="0" fillId="0" borderId="17" xfId="1" applyNumberFormat="1" applyFont="1" applyBorder="1"/>
    <xf numFmtId="37" fontId="0" fillId="0" borderId="17" xfId="0" applyNumberFormat="1" applyBorder="1"/>
    <xf numFmtId="37" fontId="0" fillId="0" borderId="15" xfId="1" applyNumberFormat="1" applyFont="1" applyBorder="1"/>
    <xf numFmtId="37" fontId="0" fillId="0" borderId="15" xfId="0" applyNumberFormat="1" applyBorder="1"/>
    <xf numFmtId="37" fontId="0" fillId="0" borderId="16" xfId="0" applyNumberFormat="1" applyBorder="1"/>
    <xf numFmtId="37" fontId="0" fillId="0" borderId="20" xfId="0" applyNumberFormat="1" applyBorder="1"/>
    <xf numFmtId="37" fontId="0" fillId="0" borderId="19" xfId="0" applyNumberFormat="1" applyBorder="1"/>
    <xf numFmtId="37" fontId="1" fillId="0" borderId="20" xfId="0" applyNumberFormat="1" applyFont="1" applyBorder="1"/>
    <xf numFmtId="37" fontId="1" fillId="0" borderId="19" xfId="0" applyNumberFormat="1" applyFont="1" applyBorder="1"/>
    <xf numFmtId="37" fontId="0" fillId="0" borderId="16" xfId="1" applyNumberFormat="1" applyFont="1" applyBorder="1"/>
    <xf numFmtId="37" fontId="0" fillId="0" borderId="22" xfId="0" applyNumberFormat="1" applyBorder="1"/>
    <xf numFmtId="37" fontId="0" fillId="0" borderId="15" xfId="1" applyNumberFormat="1" applyFont="1" applyBorder="1" applyAlignment="1">
      <alignment horizontal="right"/>
    </xf>
    <xf numFmtId="165" fontId="0" fillId="0" borderId="0" xfId="1" applyNumberFormat="1" applyFont="1"/>
    <xf numFmtId="0" fontId="14" fillId="0" borderId="0" xfId="0" applyFont="1"/>
    <xf numFmtId="0" fontId="0" fillId="0" borderId="0" xfId="0" applyAlignment="1">
      <alignment wrapText="1"/>
    </xf>
    <xf numFmtId="37" fontId="0" fillId="0" borderId="0" xfId="0" applyNumberFormat="1" applyBorder="1"/>
    <xf numFmtId="0" fontId="0" fillId="0" borderId="3" xfId="0" applyFill="1" applyBorder="1"/>
    <xf numFmtId="37" fontId="0" fillId="0" borderId="3" xfId="0" applyNumberFormat="1" applyBorder="1"/>
    <xf numFmtId="0" fontId="1" fillId="0" borderId="32" xfId="0" applyFont="1" applyFill="1" applyBorder="1"/>
    <xf numFmtId="37" fontId="0" fillId="0" borderId="32" xfId="0" applyNumberFormat="1" applyBorder="1"/>
    <xf numFmtId="0" fontId="0" fillId="0" borderId="0" xfId="0" applyFill="1" applyBorder="1"/>
    <xf numFmtId="0" fontId="1" fillId="0" borderId="0" xfId="0" applyFont="1" applyFill="1" applyBorder="1"/>
    <xf numFmtId="165" fontId="0" fillId="0" borderId="0" xfId="1" applyNumberFormat="1" applyFont="1" applyAlignment="1">
      <alignment horizontal="right"/>
    </xf>
    <xf numFmtId="43" fontId="0" fillId="0" borderId="15" xfId="0" applyNumberFormat="1" applyFont="1" applyBorder="1"/>
    <xf numFmtId="0" fontId="15" fillId="0" borderId="0" xfId="0" applyFont="1"/>
    <xf numFmtId="0" fontId="0" fillId="0" borderId="34" xfId="0" applyFont="1" applyFill="1" applyBorder="1"/>
    <xf numFmtId="0" fontId="0" fillId="0" borderId="25" xfId="0" applyFont="1" applyFill="1" applyBorder="1"/>
    <xf numFmtId="37" fontId="0" fillId="0" borderId="33" xfId="1" applyNumberFormat="1" applyFont="1" applyBorder="1"/>
    <xf numFmtId="37" fontId="0" fillId="0" borderId="33" xfId="0" applyNumberFormat="1" applyBorder="1"/>
    <xf numFmtId="37" fontId="0" fillId="0" borderId="33" xfId="1" applyNumberFormat="1" applyFont="1" applyBorder="1" applyAlignment="1">
      <alignment horizontal="right"/>
    </xf>
    <xf numFmtId="37" fontId="0" fillId="0" borderId="16" xfId="1" applyNumberFormat="1" applyFont="1" applyBorder="1" applyAlignment="1">
      <alignment horizontal="right"/>
    </xf>
    <xf numFmtId="165" fontId="0" fillId="0" borderId="15" xfId="0" applyNumberFormat="1" applyFont="1" applyBorder="1"/>
    <xf numFmtId="37" fontId="0" fillId="0" borderId="0" xfId="0" applyNumberFormat="1"/>
    <xf numFmtId="16" fontId="0" fillId="0" borderId="0" xfId="0" applyNumberFormat="1" applyFont="1" applyBorder="1"/>
    <xf numFmtId="164" fontId="0" fillId="0" borderId="0" xfId="1" applyNumberFormat="1" applyFont="1"/>
    <xf numFmtId="2" fontId="0" fillId="0" borderId="15" xfId="0" applyNumberFormat="1" applyFont="1" applyBorder="1"/>
    <xf numFmtId="2" fontId="0" fillId="0" borderId="15" xfId="1" applyNumberFormat="1" applyFont="1" applyBorder="1"/>
    <xf numFmtId="2" fontId="0" fillId="0" borderId="16" xfId="1" applyNumberFormat="1" applyFont="1" applyBorder="1"/>
    <xf numFmtId="2" fontId="0" fillId="0" borderId="16" xfId="1" applyNumberFormat="1" applyFont="1" applyBorder="1" applyAlignment="1">
      <alignment horizontal="right"/>
    </xf>
    <xf numFmtId="3" fontId="0" fillId="0" borderId="15" xfId="1" applyNumberFormat="1" applyFont="1" applyFill="1" applyBorder="1"/>
    <xf numFmtId="3" fontId="0" fillId="0" borderId="16" xfId="1" applyNumberFormat="1" applyFont="1" applyFill="1" applyBorder="1"/>
    <xf numFmtId="3" fontId="0" fillId="0" borderId="16" xfId="1" applyNumberFormat="1" applyFont="1" applyFill="1" applyBorder="1" applyAlignment="1">
      <alignment horizontal="right"/>
    </xf>
    <xf numFmtId="3" fontId="0" fillId="0" borderId="15" xfId="0" applyNumberFormat="1" applyFont="1" applyFill="1" applyBorder="1"/>
    <xf numFmtId="3" fontId="0" fillId="0" borderId="15" xfId="0" applyNumberFormat="1" applyFont="1" applyBorder="1"/>
    <xf numFmtId="4" fontId="0" fillId="0" borderId="15" xfId="1" applyNumberFormat="1" applyFont="1" applyFill="1" applyBorder="1"/>
    <xf numFmtId="4" fontId="0" fillId="0" borderId="16" xfId="1" applyNumberFormat="1" applyFont="1" applyFill="1" applyBorder="1"/>
    <xf numFmtId="4" fontId="0" fillId="0" borderId="16" xfId="1" applyNumberFormat="1" applyFont="1" applyFill="1" applyBorder="1" applyAlignment="1">
      <alignment horizontal="right"/>
    </xf>
    <xf numFmtId="4" fontId="0" fillId="0" borderId="15" xfId="0" applyNumberFormat="1" applyFont="1" applyFill="1" applyBorder="1"/>
    <xf numFmtId="4" fontId="0" fillId="0" borderId="15" xfId="0" applyNumberFormat="1" applyFont="1" applyBorder="1"/>
    <xf numFmtId="3" fontId="0" fillId="0" borderId="31" xfId="1" applyNumberFormat="1" applyFont="1" applyBorder="1"/>
    <xf numFmtId="3" fontId="0" fillId="0" borderId="26" xfId="0" applyNumberFormat="1" applyFont="1" applyBorder="1" applyAlignment="1">
      <alignment horizontal="right"/>
    </xf>
    <xf numFmtId="3" fontId="0" fillId="0" borderId="31" xfId="0" applyNumberFormat="1" applyFont="1" applyBorder="1"/>
    <xf numFmtId="3" fontId="0" fillId="0" borderId="15" xfId="1" applyNumberFormat="1" applyFont="1" applyBorder="1"/>
    <xf numFmtId="3" fontId="0" fillId="0" borderId="20" xfId="0" applyNumberFormat="1" applyFont="1" applyBorder="1" applyAlignment="1">
      <alignment wrapText="1"/>
    </xf>
    <xf numFmtId="3" fontId="0" fillId="0" borderId="19" xfId="0" applyNumberFormat="1" applyFont="1" applyBorder="1" applyAlignment="1">
      <alignment horizontal="right"/>
    </xf>
    <xf numFmtId="165" fontId="3" fillId="0" borderId="15" xfId="1" applyNumberFormat="1" applyFont="1" applyFill="1" applyBorder="1" applyAlignment="1">
      <alignment wrapText="1"/>
    </xf>
    <xf numFmtId="164" fontId="3" fillId="0" borderId="15" xfId="1" applyNumberFormat="1" applyFont="1" applyFill="1" applyBorder="1" applyAlignment="1">
      <alignment wrapText="1"/>
    </xf>
    <xf numFmtId="0" fontId="2" fillId="0" borderId="0" xfId="0" applyFont="1" applyFill="1"/>
    <xf numFmtId="0" fontId="3" fillId="0" borderId="15" xfId="0" applyFont="1" applyFill="1" applyBorder="1" applyAlignment="1">
      <alignment wrapText="1"/>
    </xf>
    <xf numFmtId="16" fontId="3" fillId="0" borderId="15" xfId="0" applyNumberFormat="1" applyFont="1" applyFill="1" applyBorder="1"/>
    <xf numFmtId="165" fontId="3" fillId="0" borderId="15" xfId="1" applyNumberFormat="1" applyFont="1" applyFill="1" applyBorder="1" applyAlignment="1">
      <alignment horizontal="right"/>
    </xf>
    <xf numFmtId="167" fontId="0" fillId="0" borderId="0" xfId="0" applyNumberFormat="1" applyFont="1"/>
    <xf numFmtId="165" fontId="0" fillId="0" borderId="13" xfId="1" applyNumberFormat="1" applyFont="1" applyFill="1" applyBorder="1"/>
    <xf numFmtId="165" fontId="3" fillId="0" borderId="0" xfId="0" applyNumberFormat="1" applyFont="1"/>
    <xf numFmtId="0" fontId="0" fillId="0" borderId="0" xfId="0" applyFill="1" applyBorder="1" applyAlignment="1"/>
    <xf numFmtId="0" fontId="0" fillId="0" borderId="0" xfId="0" applyFill="1"/>
    <xf numFmtId="0" fontId="0" fillId="0" borderId="2" xfId="0" applyFill="1" applyBorder="1"/>
    <xf numFmtId="165" fontId="0" fillId="0" borderId="4" xfId="0" applyNumberFormat="1" applyFill="1" applyBorder="1"/>
    <xf numFmtId="0" fontId="6" fillId="0" borderId="0" xfId="0" applyFont="1" applyFill="1" applyBorder="1" applyAlignment="1"/>
    <xf numFmtId="0" fontId="14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right" wrapText="1"/>
    </xf>
    <xf numFmtId="165" fontId="3" fillId="2" borderId="15" xfId="1" applyNumberFormat="1" applyFont="1" applyFill="1" applyBorder="1"/>
    <xf numFmtId="0" fontId="2" fillId="2" borderId="0" xfId="0" applyFont="1" applyFill="1"/>
    <xf numFmtId="0" fontId="0" fillId="2" borderId="0" xfId="0" applyFont="1" applyFill="1"/>
    <xf numFmtId="165" fontId="0" fillId="2" borderId="0" xfId="1" applyNumberFormat="1" applyFont="1" applyFill="1"/>
    <xf numFmtId="2" fontId="0" fillId="0" borderId="33" xfId="0" applyNumberFormat="1" applyFont="1" applyBorder="1"/>
    <xf numFmtId="3" fontId="0" fillId="0" borderId="33" xfId="0" applyNumberFormat="1" applyFont="1" applyBorder="1"/>
    <xf numFmtId="4" fontId="0" fillId="0" borderId="33" xfId="0" applyNumberFormat="1" applyFont="1" applyBorder="1"/>
    <xf numFmtId="3" fontId="0" fillId="0" borderId="33" xfId="1" applyNumberFormat="1" applyFont="1" applyBorder="1"/>
    <xf numFmtId="3" fontId="0" fillId="0" borderId="35" xfId="0" applyNumberFormat="1" applyFont="1" applyBorder="1"/>
    <xf numFmtId="3" fontId="0" fillId="0" borderId="36" xfId="0" applyNumberFormat="1" applyFont="1" applyBorder="1" applyAlignment="1">
      <alignment horizontal="right"/>
    </xf>
    <xf numFmtId="165" fontId="3" fillId="0" borderId="15" xfId="0" applyNumberFormat="1" applyFont="1" applyFill="1" applyBorder="1"/>
    <xf numFmtId="44" fontId="0" fillId="0" borderId="15" xfId="3" applyFont="1" applyFill="1" applyBorder="1"/>
    <xf numFmtId="44" fontId="0" fillId="0" borderId="16" xfId="3" applyFont="1" applyFill="1" applyBorder="1"/>
    <xf numFmtId="44" fontId="0" fillId="0" borderId="16" xfId="3" applyFont="1" applyFill="1" applyBorder="1" applyAlignment="1">
      <alignment horizontal="right"/>
    </xf>
    <xf numFmtId="44" fontId="0" fillId="0" borderId="15" xfId="3" applyFont="1" applyBorder="1"/>
    <xf numFmtId="44" fontId="0" fillId="0" borderId="33" xfId="3" applyFont="1" applyBorder="1"/>
    <xf numFmtId="0" fontId="0" fillId="0" borderId="0" xfId="0" applyFont="1" applyFill="1" applyBorder="1"/>
    <xf numFmtId="0" fontId="0" fillId="0" borderId="38" xfId="0" applyFont="1" applyFill="1" applyBorder="1"/>
    <xf numFmtId="0" fontId="0" fillId="0" borderId="37" xfId="0" applyFont="1" applyFill="1" applyBorder="1"/>
    <xf numFmtId="37" fontId="0" fillId="0" borderId="39" xfId="1" applyNumberFormat="1" applyFont="1" applyBorder="1"/>
    <xf numFmtId="37" fontId="0" fillId="0" borderId="39" xfId="0" applyNumberFormat="1" applyBorder="1"/>
    <xf numFmtId="37" fontId="0" fillId="0" borderId="39" xfId="1" applyNumberFormat="1" applyFont="1" applyBorder="1" applyAlignment="1">
      <alignment horizontal="right"/>
    </xf>
    <xf numFmtId="0" fontId="0" fillId="0" borderId="16" xfId="0" applyFill="1" applyBorder="1"/>
    <xf numFmtId="168" fontId="3" fillId="0" borderId="15" xfId="0" applyNumberFormat="1" applyFont="1" applyFill="1" applyBorder="1"/>
    <xf numFmtId="43" fontId="0" fillId="0" borderId="0" xfId="0" applyNumberFormat="1"/>
    <xf numFmtId="165" fontId="0" fillId="3" borderId="15" xfId="1" applyNumberFormat="1" applyFont="1" applyFill="1" applyBorder="1"/>
    <xf numFmtId="43" fontId="0" fillId="3" borderId="15" xfId="1" applyFont="1" applyFill="1" applyBorder="1"/>
    <xf numFmtId="165" fontId="0" fillId="3" borderId="15" xfId="0" applyNumberFormat="1" applyFill="1" applyBorder="1"/>
    <xf numFmtId="0" fontId="0" fillId="3" borderId="15" xfId="0" applyFill="1" applyBorder="1"/>
    <xf numFmtId="37" fontId="1" fillId="0" borderId="40" xfId="0" applyNumberFormat="1" applyFont="1" applyBorder="1"/>
    <xf numFmtId="37" fontId="1" fillId="0" borderId="41" xfId="0" applyNumberFormat="1" applyFont="1" applyBorder="1"/>
    <xf numFmtId="0" fontId="1" fillId="0" borderId="38" xfId="0" applyFont="1" applyBorder="1" applyAlignment="1">
      <alignment horizontal="left" indent="1"/>
    </xf>
    <xf numFmtId="37" fontId="1" fillId="0" borderId="33" xfId="0" applyNumberFormat="1" applyFont="1" applyBorder="1"/>
    <xf numFmtId="37" fontId="1" fillId="0" borderId="36" xfId="0" applyNumberFormat="1" applyFont="1" applyBorder="1"/>
    <xf numFmtId="37" fontId="1" fillId="0" borderId="15" xfId="0" applyNumberFormat="1" applyFont="1" applyBorder="1"/>
    <xf numFmtId="0" fontId="0" fillId="0" borderId="15" xfId="0" applyBorder="1" applyAlignment="1">
      <alignment horizontal="right"/>
    </xf>
    <xf numFmtId="0" fontId="0" fillId="0" borderId="15" xfId="0" applyBorder="1" applyAlignment="1">
      <alignment wrapText="1"/>
    </xf>
    <xf numFmtId="165" fontId="0" fillId="3" borderId="15" xfId="1" applyNumberFormat="1" applyFont="1" applyFill="1" applyBorder="1" applyAlignment="1">
      <alignment horizontal="right"/>
    </xf>
    <xf numFmtId="0" fontId="0" fillId="0" borderId="15" xfId="0" applyFill="1" applyBorder="1" applyAlignment="1">
      <alignment horizontal="right" wrapText="1"/>
    </xf>
    <xf numFmtId="0" fontId="0" fillId="0" borderId="15" xfId="0" applyBorder="1" applyAlignment="1">
      <alignment horizontal="right" wrapText="1"/>
    </xf>
    <xf numFmtId="43" fontId="0" fillId="3" borderId="15" xfId="0" applyNumberFormat="1" applyFill="1" applyBorder="1"/>
    <xf numFmtId="0" fontId="0" fillId="0" borderId="18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6" fillId="0" borderId="12" xfId="0" applyFont="1" applyBorder="1" applyAlignment="1">
      <alignment wrapText="1" shrinkToFit="1"/>
    </xf>
    <xf numFmtId="0" fontId="6" fillId="0" borderId="13" xfId="0" applyFont="1" applyBorder="1" applyAlignment="1">
      <alignment wrapText="1" shrinkToFit="1"/>
    </xf>
    <xf numFmtId="165" fontId="0" fillId="0" borderId="6" xfId="0" applyNumberFormat="1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0" fillId="0" borderId="26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5" xfId="0" applyFont="1" applyBorder="1" applyAlignment="1">
      <alignment horizontal="right" wrapText="1"/>
    </xf>
    <xf numFmtId="0" fontId="0" fillId="0" borderId="15" xfId="0" applyFont="1" applyFill="1" applyBorder="1" applyAlignment="1">
      <alignment horizontal="right" wrapText="1"/>
    </xf>
    <xf numFmtId="0" fontId="0" fillId="0" borderId="16" xfId="0" applyFont="1" applyFill="1" applyBorder="1" applyAlignment="1">
      <alignment horizontal="right" wrapText="1"/>
    </xf>
    <xf numFmtId="0" fontId="0" fillId="0" borderId="17" xfId="0" applyFont="1" applyFill="1" applyBorder="1" applyAlignment="1">
      <alignment horizontal="right" wrapText="1"/>
    </xf>
    <xf numFmtId="0" fontId="0" fillId="0" borderId="29" xfId="0" applyFont="1" applyBorder="1" applyAlignment="1">
      <alignment horizontal="right" wrapText="1"/>
    </xf>
    <xf numFmtId="0" fontId="0" fillId="0" borderId="30" xfId="0" applyFont="1" applyBorder="1" applyAlignment="1">
      <alignment horizontal="right"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166" fontId="0" fillId="0" borderId="5" xfId="2" applyNumberFormat="1" applyFont="1" applyFill="1" applyBorder="1" applyAlignment="1">
      <alignment wrapText="1"/>
    </xf>
    <xf numFmtId="166" fontId="0" fillId="0" borderId="0" xfId="2" applyNumberFormat="1" applyFont="1" applyFill="1" applyBorder="1" applyAlignment="1">
      <alignment wrapText="1"/>
    </xf>
    <xf numFmtId="166" fontId="0" fillId="0" borderId="6" xfId="2" applyNumberFormat="1" applyFont="1" applyFill="1" applyBorder="1" applyAlignment="1">
      <alignment wrapText="1"/>
    </xf>
    <xf numFmtId="166" fontId="0" fillId="0" borderId="7" xfId="2" applyNumberFormat="1" applyFont="1" applyFill="1" applyBorder="1" applyAlignment="1">
      <alignment wrapText="1"/>
    </xf>
    <xf numFmtId="166" fontId="0" fillId="0" borderId="8" xfId="2" applyNumberFormat="1" applyFont="1" applyFill="1" applyBorder="1" applyAlignment="1">
      <alignment wrapText="1"/>
    </xf>
    <xf numFmtId="166" fontId="0" fillId="0" borderId="9" xfId="2" applyNumberFormat="1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166" fontId="0" fillId="0" borderId="5" xfId="2" applyNumberFormat="1" applyFont="1" applyBorder="1" applyAlignment="1">
      <alignment wrapText="1"/>
    </xf>
    <xf numFmtId="166" fontId="0" fillId="0" borderId="0" xfId="2" applyNumberFormat="1" applyFont="1" applyBorder="1" applyAlignment="1">
      <alignment wrapText="1"/>
    </xf>
    <xf numFmtId="166" fontId="0" fillId="0" borderId="6" xfId="2" applyNumberFormat="1" applyFont="1" applyBorder="1" applyAlignment="1">
      <alignment wrapText="1"/>
    </xf>
    <xf numFmtId="166" fontId="0" fillId="0" borderId="7" xfId="2" applyNumberFormat="1" applyFont="1" applyBorder="1" applyAlignment="1">
      <alignment wrapText="1"/>
    </xf>
    <xf numFmtId="166" fontId="0" fillId="0" borderId="8" xfId="2" applyNumberFormat="1" applyFont="1" applyBorder="1" applyAlignment="1">
      <alignment wrapText="1"/>
    </xf>
    <xf numFmtId="166" fontId="0" fillId="0" borderId="9" xfId="2" applyNumberFormat="1" applyFont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8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11" fillId="0" borderId="8" xfId="0" applyFont="1" applyFill="1" applyBorder="1" applyAlignment="1">
      <alignment wrapText="1"/>
    </xf>
    <xf numFmtId="37" fontId="0" fillId="0" borderId="40" xfId="0" applyNumberFormat="1" applyBorder="1"/>
    <xf numFmtId="37" fontId="0" fillId="0" borderId="42" xfId="0" applyNumberFormat="1" applyBorder="1"/>
    <xf numFmtId="0" fontId="3" fillId="0" borderId="0" xfId="0" applyFont="1" applyFill="1" applyBorder="1"/>
    <xf numFmtId="165" fontId="3" fillId="0" borderId="0" xfId="1" applyNumberFormat="1" applyFont="1" applyBorder="1"/>
    <xf numFmtId="164" fontId="3" fillId="0" borderId="0" xfId="1" applyNumberFormat="1" applyFont="1" applyFill="1" applyBorder="1" applyAlignment="1">
      <alignment wrapText="1"/>
    </xf>
    <xf numFmtId="165" fontId="3" fillId="2" borderId="0" xfId="1" applyNumberFormat="1" applyFont="1" applyFill="1" applyBorder="1"/>
    <xf numFmtId="165" fontId="3" fillId="0" borderId="0" xfId="1" applyNumberFormat="1" applyFont="1" applyBorder="1" applyAlignment="1">
      <alignment wrapText="1"/>
    </xf>
    <xf numFmtId="4" fontId="0" fillId="0" borderId="33" xfId="0" applyNumberFormat="1" applyFont="1" applyFill="1" applyBorder="1"/>
    <xf numFmtId="44" fontId="0" fillId="0" borderId="33" xfId="3" applyFont="1" applyFill="1" applyBorder="1"/>
    <xf numFmtId="3" fontId="0" fillId="0" borderId="33" xfId="1" applyNumberFormat="1" applyFont="1" applyFill="1" applyBorder="1"/>
    <xf numFmtId="3" fontId="0" fillId="0" borderId="35" xfId="0" applyNumberFormat="1" applyFont="1" applyFill="1" applyBorder="1"/>
    <xf numFmtId="37" fontId="0" fillId="0" borderId="39" xfId="1" applyNumberFormat="1" applyFont="1" applyFill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6</xdr:row>
      <xdr:rowOff>0</xdr:rowOff>
    </xdr:from>
    <xdr:to>
      <xdr:col>4</xdr:col>
      <xdr:colOff>1504949</xdr:colOff>
      <xdr:row>10</xdr:row>
      <xdr:rowOff>571500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34074" y="1000125"/>
          <a:ext cx="1266825" cy="133350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i="1"/>
            <a:t>Note:                Levelized cost of eligible renewable resource should include integration costs, where applicable.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7"/>
  <sheetViews>
    <sheetView tabSelected="1" topLeftCell="A16" zoomScaleNormal="100" workbookViewId="0">
      <selection activeCell="H71" sqref="H71"/>
    </sheetView>
  </sheetViews>
  <sheetFormatPr defaultRowHeight="15" x14ac:dyDescent="0.25"/>
  <cols>
    <col min="1" max="1" width="38.42578125" style="28" customWidth="1"/>
    <col min="2" max="7" width="18.85546875" style="28" customWidth="1"/>
    <col min="8" max="8" width="18" style="28" customWidth="1"/>
    <col min="9" max="9" width="17.28515625" style="28" customWidth="1"/>
    <col min="10" max="10" width="10.5703125" style="28" bestFit="1" customWidth="1"/>
    <col min="11" max="11" width="9.28515625" style="28" bestFit="1" customWidth="1"/>
    <col min="12" max="16384" width="9.140625" style="28"/>
  </cols>
  <sheetData>
    <row r="1" spans="1:12" ht="33" customHeight="1" thickBot="1" x14ac:dyDescent="0.45">
      <c r="A1" s="40" t="s">
        <v>7</v>
      </c>
    </row>
    <row r="2" spans="1:12" ht="15" customHeight="1" x14ac:dyDescent="0.25">
      <c r="A2" s="170" t="s">
        <v>0</v>
      </c>
      <c r="B2" s="171"/>
      <c r="C2" s="171"/>
      <c r="D2" s="171"/>
      <c r="E2" s="171"/>
      <c r="F2" s="171"/>
      <c r="G2" s="171"/>
      <c r="H2" s="172"/>
    </row>
    <row r="3" spans="1:12" x14ac:dyDescent="0.25">
      <c r="A3" s="173"/>
      <c r="B3" s="174"/>
      <c r="C3" s="174"/>
      <c r="D3" s="174"/>
      <c r="E3" s="174"/>
      <c r="F3" s="174"/>
      <c r="G3" s="174"/>
      <c r="H3" s="175"/>
    </row>
    <row r="4" spans="1:12" ht="0.75" customHeight="1" thickBot="1" x14ac:dyDescent="0.3">
      <c r="A4" s="173"/>
      <c r="B4" s="174"/>
      <c r="C4" s="174"/>
      <c r="D4" s="174"/>
      <c r="E4" s="174"/>
      <c r="F4" s="174"/>
      <c r="G4" s="174"/>
      <c r="H4" s="175"/>
    </row>
    <row r="5" spans="1:12" ht="15.75" hidden="1" customHeight="1" thickBot="1" x14ac:dyDescent="0.3">
      <c r="A5" s="173"/>
      <c r="B5" s="174"/>
      <c r="C5" s="174"/>
      <c r="D5" s="174"/>
      <c r="E5" s="174"/>
      <c r="F5" s="174"/>
      <c r="G5" s="174"/>
      <c r="H5" s="175"/>
    </row>
    <row r="6" spans="1:12" ht="15" customHeight="1" x14ac:dyDescent="0.25">
      <c r="A6" s="176" t="s">
        <v>6</v>
      </c>
      <c r="B6" s="177"/>
      <c r="C6" s="177"/>
      <c r="D6" s="177"/>
      <c r="E6" s="177"/>
      <c r="F6" s="177"/>
      <c r="G6" s="177"/>
      <c r="H6" s="178"/>
    </row>
    <row r="7" spans="1:12" x14ac:dyDescent="0.25">
      <c r="A7" s="179"/>
      <c r="B7" s="180"/>
      <c r="C7" s="180"/>
      <c r="D7" s="180"/>
      <c r="E7" s="180"/>
      <c r="F7" s="180"/>
      <c r="G7" s="180"/>
      <c r="H7" s="181"/>
    </row>
    <row r="8" spans="1:12" x14ac:dyDescent="0.25">
      <c r="A8" s="179"/>
      <c r="B8" s="180"/>
      <c r="C8" s="180"/>
      <c r="D8" s="180"/>
      <c r="E8" s="180"/>
      <c r="F8" s="180"/>
      <c r="G8" s="180"/>
      <c r="H8" s="181"/>
    </row>
    <row r="9" spans="1:12" x14ac:dyDescent="0.25">
      <c r="A9" s="179"/>
      <c r="B9" s="180"/>
      <c r="C9" s="180"/>
      <c r="D9" s="180"/>
      <c r="E9" s="180"/>
      <c r="F9" s="180"/>
      <c r="G9" s="180"/>
      <c r="H9" s="181"/>
    </row>
    <row r="10" spans="1:12" x14ac:dyDescent="0.25">
      <c r="A10" s="179"/>
      <c r="B10" s="180"/>
      <c r="C10" s="180"/>
      <c r="D10" s="180"/>
      <c r="E10" s="180"/>
      <c r="F10" s="180"/>
      <c r="G10" s="180"/>
      <c r="H10" s="181"/>
    </row>
    <row r="11" spans="1:12" ht="86.25" customHeight="1" thickBot="1" x14ac:dyDescent="0.3">
      <c r="A11" s="182"/>
      <c r="B11" s="183"/>
      <c r="C11" s="183"/>
      <c r="D11" s="183"/>
      <c r="E11" s="183"/>
      <c r="F11" s="183"/>
      <c r="G11" s="183"/>
      <c r="H11" s="184"/>
    </row>
    <row r="12" spans="1:12" ht="15.75" thickBot="1" x14ac:dyDescent="0.3"/>
    <row r="13" spans="1:12" x14ac:dyDescent="0.25">
      <c r="A13" s="186" t="s">
        <v>2</v>
      </c>
      <c r="B13" s="29" t="s">
        <v>3</v>
      </c>
      <c r="C13" s="29" t="s">
        <v>40</v>
      </c>
      <c r="D13" s="29" t="s">
        <v>33</v>
      </c>
      <c r="E13" s="29" t="s">
        <v>34</v>
      </c>
      <c r="F13" s="29" t="s">
        <v>34</v>
      </c>
      <c r="G13" s="30" t="s">
        <v>40</v>
      </c>
      <c r="H13" s="31" t="s">
        <v>40</v>
      </c>
    </row>
    <row r="14" spans="1:12" ht="15" customHeight="1" x14ac:dyDescent="0.25">
      <c r="A14" s="187"/>
      <c r="B14" s="188" t="s">
        <v>35</v>
      </c>
      <c r="C14" s="189" t="s">
        <v>45</v>
      </c>
      <c r="D14" s="190" t="s">
        <v>31</v>
      </c>
      <c r="E14" s="190" t="s">
        <v>32</v>
      </c>
      <c r="F14" s="190" t="s">
        <v>36</v>
      </c>
      <c r="G14" s="192" t="s">
        <v>37</v>
      </c>
      <c r="H14" s="185" t="s">
        <v>44</v>
      </c>
    </row>
    <row r="15" spans="1:12" ht="32.25" customHeight="1" x14ac:dyDescent="0.25">
      <c r="A15" s="187"/>
      <c r="B15" s="188"/>
      <c r="C15" s="189"/>
      <c r="D15" s="191"/>
      <c r="E15" s="191"/>
      <c r="F15" s="191"/>
      <c r="G15" s="193"/>
      <c r="H15" s="185"/>
    </row>
    <row r="16" spans="1:12" x14ac:dyDescent="0.25">
      <c r="A16" s="32" t="s">
        <v>21</v>
      </c>
      <c r="B16" s="86">
        <v>45.145553912800914</v>
      </c>
      <c r="C16" s="89">
        <v>106904.67166551256</v>
      </c>
      <c r="D16" s="94">
        <v>24.886676209781058</v>
      </c>
      <c r="E16" s="133">
        <v>141.72989845153248</v>
      </c>
      <c r="F16" s="89">
        <v>262730.00040611764</v>
      </c>
      <c r="G16" s="99">
        <f>C16-F16</f>
        <v>-155825.32874060509</v>
      </c>
      <c r="H16" s="100">
        <f t="shared" ref="H16:H28" si="0">G16*$G$37</f>
        <v>-102127.92045659258</v>
      </c>
      <c r="J16" s="84"/>
      <c r="K16" s="84"/>
      <c r="L16" s="83"/>
    </row>
    <row r="17" spans="1:15" x14ac:dyDescent="0.25">
      <c r="A17" s="34" t="s">
        <v>22</v>
      </c>
      <c r="B17" s="86">
        <v>6.8908383908387671</v>
      </c>
      <c r="C17" s="89">
        <v>87920.207028711826</v>
      </c>
      <c r="D17" s="94">
        <v>30.470651307883529</v>
      </c>
      <c r="E17" s="133">
        <v>149.48024651906192</v>
      </c>
      <c r="F17" s="89">
        <v>1105265.9148640644</v>
      </c>
      <c r="G17" s="99">
        <f t="shared" ref="G17:G27" si="1">C17-F17</f>
        <v>-1017345.7078353526</v>
      </c>
      <c r="H17" s="100">
        <f t="shared" si="0"/>
        <v>-666768.37691529014</v>
      </c>
      <c r="J17" s="84"/>
      <c r="K17" s="84"/>
      <c r="L17" s="39"/>
    </row>
    <row r="18" spans="1:15" x14ac:dyDescent="0.25">
      <c r="A18" s="34" t="s">
        <v>23</v>
      </c>
      <c r="B18" s="86">
        <v>22.400328824188314</v>
      </c>
      <c r="C18" s="89">
        <v>635250.92512515641</v>
      </c>
      <c r="D18" s="94">
        <v>35.439629398556704</v>
      </c>
      <c r="E18" s="133">
        <v>125.58040328426377</v>
      </c>
      <c r="F18" s="89">
        <v>3162909.7122512734</v>
      </c>
      <c r="G18" s="99">
        <f t="shared" si="1"/>
        <v>-2527658.7871261169</v>
      </c>
      <c r="H18" s="100">
        <f t="shared" si="0"/>
        <v>-1656627.5690824569</v>
      </c>
      <c r="J18" s="84"/>
      <c r="K18" s="84"/>
      <c r="L18" s="39"/>
    </row>
    <row r="19" spans="1:15" x14ac:dyDescent="0.25">
      <c r="A19" s="34" t="s">
        <v>24</v>
      </c>
      <c r="B19" s="86">
        <v>33.450001840444919</v>
      </c>
      <c r="C19" s="89">
        <v>821398.2451939655</v>
      </c>
      <c r="D19" s="94">
        <v>24.886676209781058</v>
      </c>
      <c r="E19" s="133">
        <v>141.72989845153248</v>
      </c>
      <c r="F19" s="89">
        <v>3549405.1369718444</v>
      </c>
      <c r="G19" s="99">
        <f t="shared" si="1"/>
        <v>-2728006.8917778786</v>
      </c>
      <c r="H19" s="100">
        <f t="shared" si="0"/>
        <v>-1787935.7168712215</v>
      </c>
      <c r="J19" s="84"/>
      <c r="K19" s="84"/>
      <c r="L19" s="39"/>
    </row>
    <row r="20" spans="1:15" x14ac:dyDescent="0.25">
      <c r="A20" s="34" t="s">
        <v>25</v>
      </c>
      <c r="B20" s="86">
        <v>60.775718597277326</v>
      </c>
      <c r="C20" s="89">
        <v>465906.65876672795</v>
      </c>
      <c r="D20" s="94">
        <v>59.174526475501438</v>
      </c>
      <c r="E20" s="133">
        <v>127.97436322695806</v>
      </c>
      <c r="F20" s="89">
        <v>2365838.7611225881</v>
      </c>
      <c r="G20" s="99">
        <f t="shared" si="1"/>
        <v>-1899932.1023558602</v>
      </c>
      <c r="H20" s="100">
        <f t="shared" si="0"/>
        <v>-1245215.4998840308</v>
      </c>
      <c r="J20" s="84"/>
      <c r="K20" s="84"/>
      <c r="L20" s="39"/>
    </row>
    <row r="21" spans="1:15" x14ac:dyDescent="0.25">
      <c r="A21" s="34" t="s">
        <v>26</v>
      </c>
      <c r="B21" s="86">
        <v>59.965160496106236</v>
      </c>
      <c r="C21" s="89">
        <v>1678784.6332489904</v>
      </c>
      <c r="D21" s="94">
        <v>62.936688211664844</v>
      </c>
      <c r="E21" s="133">
        <v>133.30170384463446</v>
      </c>
      <c r="F21" s="89">
        <v>2282141.9085580474</v>
      </c>
      <c r="G21" s="99">
        <f t="shared" si="1"/>
        <v>-603357.27530905697</v>
      </c>
      <c r="H21" s="100">
        <f t="shared" si="0"/>
        <v>-395440.35823755595</v>
      </c>
      <c r="J21" s="84"/>
      <c r="K21" s="84"/>
      <c r="L21" s="39"/>
    </row>
    <row r="22" spans="1:15" x14ac:dyDescent="0.25">
      <c r="A22" s="34" t="s">
        <v>27</v>
      </c>
      <c r="B22" s="86">
        <v>83.88049732200993</v>
      </c>
      <c r="C22" s="89">
        <v>834610.94835399883</v>
      </c>
      <c r="D22" s="94">
        <v>68.65780585105162</v>
      </c>
      <c r="E22" s="133">
        <v>139.56138875325837</v>
      </c>
      <c r="F22" s="89">
        <v>1506235.6743565341</v>
      </c>
      <c r="G22" s="99">
        <f t="shared" si="1"/>
        <v>-671624.72600253532</v>
      </c>
      <c r="H22" s="100">
        <f t="shared" si="0"/>
        <v>-440182.84542206163</v>
      </c>
      <c r="J22" s="84"/>
      <c r="K22" s="84"/>
      <c r="L22" s="39"/>
    </row>
    <row r="23" spans="1:15" x14ac:dyDescent="0.25">
      <c r="A23" s="34" t="s">
        <v>28</v>
      </c>
      <c r="B23" s="86">
        <v>34.309444869073673</v>
      </c>
      <c r="C23" s="89">
        <v>818040.09401332366</v>
      </c>
      <c r="D23" s="94">
        <v>65.536449480721032</v>
      </c>
      <c r="E23" s="133">
        <v>136.25894839012483</v>
      </c>
      <c r="F23" s="89">
        <v>1905965.0361046726</v>
      </c>
      <c r="G23" s="99">
        <f t="shared" si="1"/>
        <v>-1087924.942091349</v>
      </c>
      <c r="H23" s="100">
        <f t="shared" si="0"/>
        <v>-713026.00704667019</v>
      </c>
      <c r="J23" s="84"/>
      <c r="K23" s="84"/>
      <c r="L23" s="39"/>
    </row>
    <row r="24" spans="1:15" x14ac:dyDescent="0.25">
      <c r="A24" s="34" t="s">
        <v>29</v>
      </c>
      <c r="B24" s="86">
        <v>49.852996019249609</v>
      </c>
      <c r="C24" s="89">
        <v>737375.66412072093</v>
      </c>
      <c r="D24" s="94">
        <v>72.251623994533105</v>
      </c>
      <c r="E24" s="133">
        <v>143.17128574843883</v>
      </c>
      <c r="F24" s="89">
        <v>1870946.7446860233</v>
      </c>
      <c r="G24" s="99">
        <f t="shared" si="1"/>
        <v>-1133571.0805653024</v>
      </c>
      <c r="H24" s="100">
        <f t="shared" si="0"/>
        <v>-742942.48620249913</v>
      </c>
      <c r="J24" s="84"/>
      <c r="K24" s="84"/>
      <c r="L24" s="39"/>
    </row>
    <row r="25" spans="1:15" x14ac:dyDescent="0.25">
      <c r="A25" s="35" t="s">
        <v>30</v>
      </c>
      <c r="B25" s="87">
        <v>64.443246961558401</v>
      </c>
      <c r="C25" s="90">
        <v>26891394</v>
      </c>
      <c r="D25" s="95">
        <v>57.257693640773439</v>
      </c>
      <c r="E25" s="134">
        <v>202.7250461898401</v>
      </c>
      <c r="F25" s="89">
        <v>20638879.218978632</v>
      </c>
      <c r="G25" s="99">
        <v>2998445.1741237156</v>
      </c>
      <c r="H25" s="100">
        <f t="shared" si="0"/>
        <v>1965180.9671206831</v>
      </c>
      <c r="J25" s="84"/>
      <c r="K25" s="84"/>
      <c r="L25" s="39"/>
      <c r="O25" s="111"/>
    </row>
    <row r="26" spans="1:15" x14ac:dyDescent="0.25">
      <c r="A26" s="35" t="s">
        <v>42</v>
      </c>
      <c r="B26" s="88">
        <v>264.68534703908637</v>
      </c>
      <c r="C26" s="91">
        <v>2330195.5036013974</v>
      </c>
      <c r="D26" s="96">
        <v>62.503855753996319</v>
      </c>
      <c r="E26" s="135">
        <v>205.97224819897124</v>
      </c>
      <c r="F26" s="89">
        <v>660841.04218187043</v>
      </c>
      <c r="G26" s="99">
        <f t="shared" si="1"/>
        <v>1669354.461419527</v>
      </c>
      <c r="H26" s="100">
        <f t="shared" si="0"/>
        <v>1094094.9140143578</v>
      </c>
      <c r="J26" s="84"/>
      <c r="K26" s="84"/>
      <c r="L26" s="39"/>
    </row>
    <row r="27" spans="1:15" x14ac:dyDescent="0.25">
      <c r="A27" s="35" t="s">
        <v>43</v>
      </c>
      <c r="B27" s="88">
        <v>264.68534703908637</v>
      </c>
      <c r="C27" s="91">
        <v>3479613.525692042</v>
      </c>
      <c r="D27" s="96">
        <v>62.503855753996319</v>
      </c>
      <c r="E27" s="135">
        <v>205.97224819897124</v>
      </c>
      <c r="F27" s="89">
        <v>932269.20795482607</v>
      </c>
      <c r="G27" s="99">
        <f t="shared" si="1"/>
        <v>2547344.3177372161</v>
      </c>
      <c r="H27" s="100">
        <f t="shared" si="0"/>
        <v>1669529.4658449714</v>
      </c>
      <c r="J27" s="84"/>
      <c r="K27" s="84"/>
      <c r="L27" s="39"/>
    </row>
    <row r="28" spans="1:15" x14ac:dyDescent="0.25">
      <c r="A28" s="34" t="s">
        <v>4</v>
      </c>
      <c r="B28" s="85">
        <v>0</v>
      </c>
      <c r="C28" s="92">
        <v>0</v>
      </c>
      <c r="D28" s="97">
        <v>0</v>
      </c>
      <c r="E28" s="133">
        <v>0</v>
      </c>
      <c r="F28" s="89">
        <v>0</v>
      </c>
      <c r="G28" s="101">
        <v>0</v>
      </c>
      <c r="H28" s="100">
        <f t="shared" si="0"/>
        <v>0</v>
      </c>
    </row>
    <row r="29" spans="1:15" x14ac:dyDescent="0.25">
      <c r="A29" s="76" t="s">
        <v>46</v>
      </c>
      <c r="B29" s="73">
        <f>C29/50000</f>
        <v>14.5</v>
      </c>
      <c r="C29" s="9">
        <v>725000</v>
      </c>
      <c r="D29" s="9">
        <v>0</v>
      </c>
      <c r="E29" s="136">
        <v>0</v>
      </c>
      <c r="F29" s="9">
        <v>0</v>
      </c>
      <c r="G29" s="27">
        <f t="shared" ref="G29" si="2">C29-F29</f>
        <v>725000</v>
      </c>
      <c r="H29" s="33">
        <f>G29</f>
        <v>725000</v>
      </c>
    </row>
    <row r="30" spans="1:15" x14ac:dyDescent="0.25">
      <c r="A30" s="76" t="s">
        <v>76</v>
      </c>
      <c r="B30" s="85">
        <v>32.697570655107128</v>
      </c>
      <c r="C30" s="92">
        <v>34577.680967775785</v>
      </c>
      <c r="D30" s="97">
        <v>42.424156288060182</v>
      </c>
      <c r="E30" s="133">
        <v>163.37431679865247</v>
      </c>
      <c r="F30" s="89">
        <v>0</v>
      </c>
      <c r="G30" s="101">
        <v>-11668.011026964456</v>
      </c>
      <c r="H30" s="100">
        <v>0</v>
      </c>
    </row>
    <row r="31" spans="1:15" x14ac:dyDescent="0.25">
      <c r="A31" s="76" t="s">
        <v>77</v>
      </c>
      <c r="B31" s="85">
        <v>0</v>
      </c>
      <c r="C31" s="93">
        <v>0</v>
      </c>
      <c r="D31" s="98">
        <v>0</v>
      </c>
      <c r="E31" s="136">
        <v>0</v>
      </c>
      <c r="F31" s="102">
        <v>0</v>
      </c>
      <c r="G31" s="101">
        <v>0</v>
      </c>
      <c r="H31" s="100">
        <v>0</v>
      </c>
    </row>
    <row r="32" spans="1:15" x14ac:dyDescent="0.25">
      <c r="A32" s="139" t="s">
        <v>78</v>
      </c>
      <c r="B32" s="85">
        <v>0</v>
      </c>
      <c r="C32" s="93">
        <v>0</v>
      </c>
      <c r="D32" s="98">
        <v>0</v>
      </c>
      <c r="E32" s="136">
        <v>0</v>
      </c>
      <c r="F32" s="102">
        <v>0</v>
      </c>
      <c r="G32" s="101">
        <v>0</v>
      </c>
      <c r="H32" s="100">
        <v>0</v>
      </c>
    </row>
    <row r="33" spans="1:8" ht="15.75" thickBot="1" x14ac:dyDescent="0.3">
      <c r="A33" s="140" t="s">
        <v>80</v>
      </c>
      <c r="B33" s="126">
        <v>32.073869623091724</v>
      </c>
      <c r="C33" s="127">
        <v>21510425.337742265</v>
      </c>
      <c r="D33" s="128">
        <v>38.644814678994116</v>
      </c>
      <c r="E33" s="137">
        <v>170.63502182611117</v>
      </c>
      <c r="F33" s="129">
        <v>32148038</v>
      </c>
      <c r="G33" s="130">
        <v>-1315852.6417208656</v>
      </c>
      <c r="H33" s="131">
        <f>G33*$G$37</f>
        <v>-862409.82138385531</v>
      </c>
    </row>
    <row r="34" spans="1:8" ht="15.75" thickBot="1" x14ac:dyDescent="0.3">
      <c r="A34" s="75" t="s">
        <v>94</v>
      </c>
      <c r="B34" s="126">
        <v>54.855756609455618</v>
      </c>
      <c r="C34" s="127">
        <v>20132830.656262744</v>
      </c>
      <c r="D34" s="246">
        <v>56.49</v>
      </c>
      <c r="E34" s="247">
        <v>132.5</v>
      </c>
      <c r="F34" s="248">
        <v>3710001</v>
      </c>
      <c r="G34" s="249">
        <v>-4309469</v>
      </c>
      <c r="H34" s="131">
        <f>G34*$G$37</f>
        <v>-2824425.9825999998</v>
      </c>
    </row>
    <row r="35" spans="1:8" ht="15.75" customHeight="1" thickBot="1" x14ac:dyDescent="0.3">
      <c r="A35" s="163" t="s">
        <v>38</v>
      </c>
      <c r="B35" s="164"/>
      <c r="C35" s="37">
        <f>SUM(C16:C34)</f>
        <v>81290228.751783326</v>
      </c>
      <c r="D35" s="38"/>
      <c r="E35" s="103"/>
      <c r="F35" s="103">
        <f>SUM(F16:F34)</f>
        <v>76101467.358436495</v>
      </c>
      <c r="G35" s="103">
        <f>SUM(G16:G34)</f>
        <v>-9522092.5412714295</v>
      </c>
      <c r="H35" s="104">
        <f>SUM(H16:H34)</f>
        <v>-5983297.2371222209</v>
      </c>
    </row>
    <row r="36" spans="1:8" ht="15.75" thickBot="1" x14ac:dyDescent="0.3"/>
    <row r="37" spans="1:8" ht="15.75" thickBot="1" x14ac:dyDescent="0.3">
      <c r="C37" s="39"/>
      <c r="D37" s="3"/>
      <c r="E37" s="3"/>
      <c r="F37" s="14" t="s">
        <v>39</v>
      </c>
      <c r="G37" s="41">
        <v>0.65539999999999998</v>
      </c>
    </row>
    <row r="38" spans="1:8" x14ac:dyDescent="0.25">
      <c r="F38" s="165" t="s">
        <v>5</v>
      </c>
      <c r="G38" s="167">
        <f>H35</f>
        <v>-5983297.2371222209</v>
      </c>
    </row>
    <row r="39" spans="1:8" x14ac:dyDescent="0.25">
      <c r="F39" s="165"/>
      <c r="G39" s="168"/>
    </row>
    <row r="40" spans="1:8" ht="15.75" thickBot="1" x14ac:dyDescent="0.3">
      <c r="F40" s="166"/>
      <c r="G40" s="169"/>
    </row>
    <row r="43" spans="1:8" x14ac:dyDescent="0.25">
      <c r="A43" s="28" t="s">
        <v>69</v>
      </c>
      <c r="B43" s="72" t="s">
        <v>13</v>
      </c>
      <c r="C43" s="28" t="s">
        <v>72</v>
      </c>
    </row>
    <row r="44" spans="1:8" x14ac:dyDescent="0.25">
      <c r="A44" s="124" t="s">
        <v>99</v>
      </c>
      <c r="B44" s="125">
        <f>315410-5453</f>
        <v>309957</v>
      </c>
    </row>
    <row r="45" spans="1:8" x14ac:dyDescent="0.25">
      <c r="A45" s="124" t="s">
        <v>100</v>
      </c>
      <c r="B45" s="125">
        <v>0</v>
      </c>
    </row>
    <row r="46" spans="1:8" x14ac:dyDescent="0.25">
      <c r="A46" s="124" t="s">
        <v>101</v>
      </c>
      <c r="B46" s="125">
        <f>B44*1.2</f>
        <v>371948.39999999997</v>
      </c>
      <c r="C46" s="28" t="s">
        <v>79</v>
      </c>
    </row>
    <row r="47" spans="1:8" x14ac:dyDescent="0.25">
      <c r="A47" s="124" t="s">
        <v>102</v>
      </c>
      <c r="B47" s="125">
        <f>(B44+B45)*1.2</f>
        <v>371948.39999999997</v>
      </c>
    </row>
    <row r="48" spans="1:8" x14ac:dyDescent="0.25">
      <c r="A48" s="124" t="s">
        <v>70</v>
      </c>
      <c r="B48" s="125">
        <v>349726.17979242501</v>
      </c>
    </row>
    <row r="49" spans="1:8" x14ac:dyDescent="0.25">
      <c r="A49" s="124" t="s">
        <v>71</v>
      </c>
      <c r="B49" s="125">
        <f>B48*1.2</f>
        <v>419671.41575091</v>
      </c>
      <c r="C49" s="28" t="s">
        <v>73</v>
      </c>
    </row>
    <row r="50" spans="1:8" x14ac:dyDescent="0.25">
      <c r="A50" s="124" t="s">
        <v>103</v>
      </c>
      <c r="B50" s="125">
        <v>322379</v>
      </c>
    </row>
    <row r="51" spans="1:8" x14ac:dyDescent="0.25">
      <c r="A51" s="124" t="s">
        <v>104</v>
      </c>
      <c r="B51" s="125">
        <f>B50*1.2</f>
        <v>386854.8</v>
      </c>
    </row>
    <row r="54" spans="1:8" x14ac:dyDescent="0.25">
      <c r="A54" s="74" t="s">
        <v>74</v>
      </c>
    </row>
    <row r="55" spans="1:8" x14ac:dyDescent="0.25">
      <c r="A55" s="36" t="s">
        <v>56</v>
      </c>
      <c r="B55" s="73">
        <f>B25</f>
        <v>64.443246961558401</v>
      </c>
      <c r="C55" s="9">
        <f>B55*B47</f>
        <v>23969562.598156508</v>
      </c>
      <c r="D55" s="73">
        <f>D25</f>
        <v>57.257693640773439</v>
      </c>
      <c r="E55" s="73">
        <f>E25</f>
        <v>202.7250461898401</v>
      </c>
      <c r="F55" s="81">
        <f>D55*B47</f>
        <v>21296907.537375852</v>
      </c>
      <c r="G55" s="9">
        <f t="shared" ref="G55" si="3">C55-F55</f>
        <v>2672655.0607806556</v>
      </c>
      <c r="H55" s="33">
        <f>G55*$G$37</f>
        <v>1751658.1268356417</v>
      </c>
    </row>
    <row r="56" spans="1:8" x14ac:dyDescent="0.25">
      <c r="A56" s="138" t="s">
        <v>111</v>
      </c>
    </row>
    <row r="59" spans="1:8" x14ac:dyDescent="0.25">
      <c r="A59" s="28" t="s">
        <v>84</v>
      </c>
      <c r="B59" s="72" t="s">
        <v>13</v>
      </c>
      <c r="C59" s="28" t="s">
        <v>72</v>
      </c>
    </row>
    <row r="60" spans="1:8" x14ac:dyDescent="0.25">
      <c r="A60" s="124" t="s">
        <v>99</v>
      </c>
      <c r="B60" s="125">
        <v>343410</v>
      </c>
    </row>
    <row r="61" spans="1:8" x14ac:dyDescent="0.25">
      <c r="A61" s="124" t="s">
        <v>100</v>
      </c>
      <c r="B61" s="125">
        <v>198.22399999999999</v>
      </c>
    </row>
    <row r="62" spans="1:8" x14ac:dyDescent="0.25">
      <c r="A62" s="124" t="s">
        <v>101</v>
      </c>
      <c r="B62" s="125">
        <f>B60*1.2</f>
        <v>412092</v>
      </c>
      <c r="C62" s="28" t="s">
        <v>86</v>
      </c>
    </row>
    <row r="63" spans="1:8" x14ac:dyDescent="0.25">
      <c r="A63" s="124" t="s">
        <v>102</v>
      </c>
      <c r="B63" s="125">
        <f>(B60+B61)*1.2</f>
        <v>412329.8688</v>
      </c>
    </row>
    <row r="64" spans="1:8" x14ac:dyDescent="0.25">
      <c r="A64" s="124" t="s">
        <v>70</v>
      </c>
      <c r="B64" s="125">
        <v>465731</v>
      </c>
    </row>
    <row r="65" spans="1:8" x14ac:dyDescent="0.25">
      <c r="A65" s="124" t="s">
        <v>71</v>
      </c>
      <c r="B65" s="125">
        <f>B64*1.2</f>
        <v>558877.19999999995</v>
      </c>
      <c r="C65" s="28" t="s">
        <v>85</v>
      </c>
    </row>
    <row r="66" spans="1:8" x14ac:dyDescent="0.25">
      <c r="A66" s="124" t="s">
        <v>103</v>
      </c>
      <c r="B66" s="125">
        <v>428963</v>
      </c>
    </row>
    <row r="67" spans="1:8" x14ac:dyDescent="0.25">
      <c r="A67" s="124" t="s">
        <v>104</v>
      </c>
      <c r="B67" s="125">
        <f>B66*1.2</f>
        <v>514755.6</v>
      </c>
    </row>
    <row r="70" spans="1:8" x14ac:dyDescent="0.25">
      <c r="A70" s="74" t="s">
        <v>74</v>
      </c>
    </row>
    <row r="71" spans="1:8" x14ac:dyDescent="0.25">
      <c r="A71" s="36" t="s">
        <v>82</v>
      </c>
      <c r="B71" s="73">
        <f>B33</f>
        <v>32.073869623091724</v>
      </c>
      <c r="C71" s="9">
        <f>B71*B63</f>
        <v>13225014.453597715</v>
      </c>
      <c r="D71" s="73">
        <f>D33</f>
        <v>38.644814678994116</v>
      </c>
      <c r="E71" s="73">
        <f>E33</f>
        <v>170.63502182611117</v>
      </c>
      <c r="F71" s="81">
        <f>D71*B63</f>
        <v>15934411.366389958</v>
      </c>
      <c r="G71" s="9">
        <f t="shared" ref="G71" si="4">C71-F71</f>
        <v>-2709396.9127922431</v>
      </c>
      <c r="H71" s="33">
        <f>G71*$G$37</f>
        <v>-1775738.7366440361</v>
      </c>
    </row>
    <row r="74" spans="1:8" x14ac:dyDescent="0.25">
      <c r="A74" s="28" t="s">
        <v>105</v>
      </c>
      <c r="B74" s="72" t="s">
        <v>13</v>
      </c>
      <c r="C74" s="28" t="s">
        <v>72</v>
      </c>
    </row>
    <row r="75" spans="1:8" x14ac:dyDescent="0.25">
      <c r="A75" s="124" t="s">
        <v>99</v>
      </c>
      <c r="B75" s="125">
        <v>0</v>
      </c>
    </row>
    <row r="76" spans="1:8" x14ac:dyDescent="0.25">
      <c r="A76" s="124" t="s">
        <v>100</v>
      </c>
      <c r="B76" s="125">
        <v>0</v>
      </c>
    </row>
    <row r="77" spans="1:8" x14ac:dyDescent="0.25">
      <c r="A77" s="124" t="s">
        <v>106</v>
      </c>
      <c r="B77" s="125">
        <f>B75*1.2</f>
        <v>0</v>
      </c>
      <c r="C77" s="28" t="s">
        <v>110</v>
      </c>
    </row>
    <row r="78" spans="1:8" x14ac:dyDescent="0.25">
      <c r="A78" s="124" t="s">
        <v>107</v>
      </c>
      <c r="B78" s="125">
        <f>(B75+B76)*1.2</f>
        <v>0</v>
      </c>
    </row>
    <row r="79" spans="1:8" x14ac:dyDescent="0.25">
      <c r="A79" s="124" t="s">
        <v>70</v>
      </c>
      <c r="B79" s="125">
        <v>147161</v>
      </c>
    </row>
    <row r="80" spans="1:8" x14ac:dyDescent="0.25">
      <c r="A80" s="124" t="s">
        <v>109</v>
      </c>
      <c r="B80" s="125">
        <f>B79</f>
        <v>147161</v>
      </c>
      <c r="C80" s="28" t="s">
        <v>108</v>
      </c>
    </row>
    <row r="81" spans="1:8" x14ac:dyDescent="0.25">
      <c r="A81" s="124" t="s">
        <v>103</v>
      </c>
      <c r="B81" s="125">
        <v>147212</v>
      </c>
    </row>
    <row r="82" spans="1:8" x14ac:dyDescent="0.25">
      <c r="A82" s="124" t="s">
        <v>104</v>
      </c>
      <c r="B82" s="125">
        <f>B81</f>
        <v>147212</v>
      </c>
    </row>
    <row r="85" spans="1:8" x14ac:dyDescent="0.25">
      <c r="A85" s="74" t="s">
        <v>74</v>
      </c>
    </row>
    <row r="86" spans="1:8" x14ac:dyDescent="0.25">
      <c r="A86" s="36" t="s">
        <v>94</v>
      </c>
      <c r="B86" s="73">
        <f>B56</f>
        <v>0</v>
      </c>
      <c r="C86" s="9">
        <f>B86*B78</f>
        <v>0</v>
      </c>
      <c r="D86" s="73">
        <f>D56</f>
        <v>0</v>
      </c>
      <c r="E86" s="73">
        <f>E56</f>
        <v>0</v>
      </c>
      <c r="F86" s="81">
        <f>D86*B78</f>
        <v>0</v>
      </c>
      <c r="G86" s="9">
        <f t="shared" ref="G86" si="5">C86-F86</f>
        <v>0</v>
      </c>
      <c r="H86" s="33">
        <f>G86*$G$37</f>
        <v>0</v>
      </c>
    </row>
    <row r="87" spans="1:8" x14ac:dyDescent="0.25">
      <c r="A87" s="138" t="s">
        <v>112</v>
      </c>
    </row>
  </sheetData>
  <mergeCells count="13">
    <mergeCell ref="A35:B35"/>
    <mergeCell ref="F38:F40"/>
    <mergeCell ref="G38:G40"/>
    <mergeCell ref="A2:H5"/>
    <mergeCell ref="A6:H11"/>
    <mergeCell ref="H14:H15"/>
    <mergeCell ref="A13:A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topLeftCell="A20" workbookViewId="0">
      <selection activeCell="B33" sqref="B33"/>
    </sheetView>
  </sheetViews>
  <sheetFormatPr defaultRowHeight="15" x14ac:dyDescent="0.25"/>
  <cols>
    <col min="1" max="1" width="38.140625" style="10" customWidth="1"/>
    <col min="2" max="2" width="24" style="10" customWidth="1"/>
    <col min="3" max="3" width="23.42578125" style="10" customWidth="1"/>
    <col min="4" max="4" width="22.85546875" style="10" customWidth="1"/>
    <col min="5" max="5" width="24.28515625" style="10" customWidth="1"/>
    <col min="6" max="6" width="19.42578125" style="10" customWidth="1"/>
    <col min="7" max="7" width="31.140625" style="10" customWidth="1"/>
    <col min="8" max="8" width="18" style="10" customWidth="1"/>
    <col min="9" max="16384" width="9.140625" style="10"/>
  </cols>
  <sheetData>
    <row r="1" spans="1:7" ht="32.25" customHeight="1" thickBot="1" x14ac:dyDescent="0.4">
      <c r="A1" s="203" t="s">
        <v>97</v>
      </c>
      <c r="B1" s="204"/>
      <c r="C1" s="204"/>
      <c r="D1" s="204"/>
      <c r="E1" s="204"/>
      <c r="F1" s="204"/>
      <c r="G1" s="204"/>
    </row>
    <row r="2" spans="1:7" x14ac:dyDescent="0.25">
      <c r="A2" s="205" t="s">
        <v>8</v>
      </c>
      <c r="B2" s="171"/>
      <c r="C2" s="171"/>
      <c r="D2" s="171"/>
      <c r="E2" s="171"/>
      <c r="F2" s="171"/>
      <c r="G2" s="172"/>
    </row>
    <row r="3" spans="1:7" x14ac:dyDescent="0.25">
      <c r="A3" s="173"/>
      <c r="B3" s="174"/>
      <c r="C3" s="174"/>
      <c r="D3" s="174"/>
      <c r="E3" s="174"/>
      <c r="F3" s="174"/>
      <c r="G3" s="175"/>
    </row>
    <row r="4" spans="1:7" ht="0.75" customHeight="1" thickBot="1" x14ac:dyDescent="0.3">
      <c r="A4" s="173"/>
      <c r="B4" s="174"/>
      <c r="C4" s="174"/>
      <c r="D4" s="174"/>
      <c r="E4" s="174"/>
      <c r="F4" s="174"/>
      <c r="G4" s="175"/>
    </row>
    <row r="5" spans="1:7" ht="15.75" hidden="1" thickBot="1" x14ac:dyDescent="0.3">
      <c r="A5" s="206"/>
      <c r="B5" s="207"/>
      <c r="C5" s="207"/>
      <c r="D5" s="207"/>
      <c r="E5" s="207"/>
      <c r="F5" s="207"/>
      <c r="G5" s="208"/>
    </row>
    <row r="6" spans="1:7" x14ac:dyDescent="0.25">
      <c r="A6" s="209" t="s">
        <v>9</v>
      </c>
      <c r="B6" s="210"/>
      <c r="C6" s="210"/>
      <c r="D6" s="210"/>
      <c r="E6" s="210"/>
      <c r="F6" s="210"/>
      <c r="G6" s="211"/>
    </row>
    <row r="7" spans="1:7" x14ac:dyDescent="0.25">
      <c r="A7" s="212"/>
      <c r="B7" s="213"/>
      <c r="C7" s="213"/>
      <c r="D7" s="213"/>
      <c r="E7" s="213"/>
      <c r="F7" s="213"/>
      <c r="G7" s="214"/>
    </row>
    <row r="8" spans="1:7" x14ac:dyDescent="0.25">
      <c r="A8" s="212"/>
      <c r="B8" s="213"/>
      <c r="C8" s="213"/>
      <c r="D8" s="213"/>
      <c r="E8" s="213"/>
      <c r="F8" s="213"/>
      <c r="G8" s="214"/>
    </row>
    <row r="9" spans="1:7" x14ac:dyDescent="0.25">
      <c r="A9" s="212"/>
      <c r="B9" s="213"/>
      <c r="C9" s="213"/>
      <c r="D9" s="213"/>
      <c r="E9" s="213"/>
      <c r="F9" s="213"/>
      <c r="G9" s="214"/>
    </row>
    <row r="10" spans="1:7" x14ac:dyDescent="0.25">
      <c r="A10" s="212"/>
      <c r="B10" s="213"/>
      <c r="C10" s="213"/>
      <c r="D10" s="213"/>
      <c r="E10" s="213"/>
      <c r="F10" s="213"/>
      <c r="G10" s="214"/>
    </row>
    <row r="11" spans="1:7" ht="86.25" customHeight="1" thickBot="1" x14ac:dyDescent="0.3">
      <c r="A11" s="215"/>
      <c r="B11" s="204"/>
      <c r="C11" s="204"/>
      <c r="D11" s="204"/>
      <c r="E11" s="204"/>
      <c r="F11" s="204"/>
      <c r="G11" s="216"/>
    </row>
    <row r="12" spans="1:7" ht="15.75" thickBot="1" x14ac:dyDescent="0.3"/>
    <row r="13" spans="1:7" ht="15.75" thickBot="1" x14ac:dyDescent="0.3">
      <c r="A13" s="217" t="s">
        <v>2</v>
      </c>
      <c r="B13" s="218" t="s">
        <v>64</v>
      </c>
      <c r="C13" s="218"/>
      <c r="D13" s="218"/>
      <c r="E13" s="218" t="s">
        <v>63</v>
      </c>
      <c r="F13" s="218"/>
      <c r="G13" s="218"/>
    </row>
    <row r="14" spans="1:7" ht="15" customHeight="1" thickBot="1" x14ac:dyDescent="0.3">
      <c r="A14" s="217"/>
      <c r="B14" s="219" t="s">
        <v>10</v>
      </c>
      <c r="C14" s="219" t="s">
        <v>18</v>
      </c>
      <c r="D14" s="219" t="s">
        <v>53</v>
      </c>
      <c r="E14" s="219" t="s">
        <v>10</v>
      </c>
      <c r="F14" s="219" t="s">
        <v>18</v>
      </c>
      <c r="G14" s="219" t="s">
        <v>19</v>
      </c>
    </row>
    <row r="15" spans="1:7" ht="15.75" thickBot="1" x14ac:dyDescent="0.3">
      <c r="A15" s="217"/>
      <c r="B15" s="219"/>
      <c r="C15" s="219"/>
      <c r="D15" s="219"/>
      <c r="E15" s="219"/>
      <c r="F15" s="219"/>
      <c r="G15" s="219"/>
    </row>
    <row r="16" spans="1:7" x14ac:dyDescent="0.25">
      <c r="A16" s="49" t="s">
        <v>21</v>
      </c>
      <c r="B16" s="50">
        <f>'(2)(a)(i) One Time (all)'!G16</f>
        <v>-155825.32874060509</v>
      </c>
      <c r="C16" s="51"/>
      <c r="D16" s="51"/>
      <c r="E16" s="50">
        <f>'(2)(a)(i) One Time (all)'!G16</f>
        <v>-155825.32874060509</v>
      </c>
      <c r="F16" s="51"/>
      <c r="G16" s="51"/>
    </row>
    <row r="17" spans="1:7" x14ac:dyDescent="0.25">
      <c r="A17" s="12" t="s">
        <v>22</v>
      </c>
      <c r="B17" s="52">
        <f>'(2)(a)(i) One Time (all)'!G17</f>
        <v>-1017345.7078353526</v>
      </c>
      <c r="C17" s="53"/>
      <c r="D17" s="53"/>
      <c r="E17" s="52">
        <f>'(2)(a)(i) One Time (all)'!G17</f>
        <v>-1017345.7078353526</v>
      </c>
      <c r="F17" s="53"/>
      <c r="G17" s="53"/>
    </row>
    <row r="18" spans="1:7" x14ac:dyDescent="0.25">
      <c r="A18" s="12" t="s">
        <v>23</v>
      </c>
      <c r="B18" s="52">
        <f>'(2)(a)(i) One Time (all)'!G18</f>
        <v>-2527658.7871261169</v>
      </c>
      <c r="C18" s="53"/>
      <c r="D18" s="53"/>
      <c r="E18" s="52">
        <f>'(2)(a)(i) One Time (all)'!G18</f>
        <v>-2527658.7871261169</v>
      </c>
      <c r="F18" s="53"/>
      <c r="G18" s="53"/>
    </row>
    <row r="19" spans="1:7" x14ac:dyDescent="0.25">
      <c r="A19" s="12" t="s">
        <v>24</v>
      </c>
      <c r="B19" s="52">
        <f>'(2)(a)(i) One Time (all)'!G19</f>
        <v>-2728006.8917778786</v>
      </c>
      <c r="C19" s="53"/>
      <c r="D19" s="53"/>
      <c r="E19" s="52">
        <f>'(2)(a)(i) One Time (all)'!G19</f>
        <v>-2728006.8917778786</v>
      </c>
      <c r="F19" s="53"/>
      <c r="G19" s="53"/>
    </row>
    <row r="20" spans="1:7" x14ac:dyDescent="0.25">
      <c r="A20" s="12" t="s">
        <v>25</v>
      </c>
      <c r="B20" s="52">
        <f>'(2)(a)(i) One Time (all)'!G20</f>
        <v>-1899932.1023558602</v>
      </c>
      <c r="C20" s="53"/>
      <c r="D20" s="53"/>
      <c r="E20" s="52">
        <f>'(2)(a)(i) One Time (all)'!G20</f>
        <v>-1899932.1023558602</v>
      </c>
      <c r="F20" s="53"/>
      <c r="G20" s="53"/>
    </row>
    <row r="21" spans="1:7" x14ac:dyDescent="0.25">
      <c r="A21" s="12" t="s">
        <v>26</v>
      </c>
      <c r="B21" s="52">
        <f>'(2)(a)(i) One Time (all)'!G21</f>
        <v>-603357.27530905697</v>
      </c>
      <c r="C21" s="53"/>
      <c r="D21" s="53"/>
      <c r="E21" s="52">
        <f>'(2)(a)(i) One Time (all)'!G21</f>
        <v>-603357.27530905697</v>
      </c>
      <c r="F21" s="53"/>
      <c r="G21" s="53"/>
    </row>
    <row r="22" spans="1:7" x14ac:dyDescent="0.25">
      <c r="A22" s="12" t="s">
        <v>27</v>
      </c>
      <c r="B22" s="52">
        <f>'(2)(a)(i) One Time (all)'!G22</f>
        <v>-671624.72600253532</v>
      </c>
      <c r="C22" s="53"/>
      <c r="D22" s="53"/>
      <c r="E22" s="52">
        <f>'(2)(a)(i) One Time (all)'!G22</f>
        <v>-671624.72600253532</v>
      </c>
      <c r="F22" s="53"/>
      <c r="G22" s="53"/>
    </row>
    <row r="23" spans="1:7" x14ac:dyDescent="0.25">
      <c r="A23" s="12" t="s">
        <v>28</v>
      </c>
      <c r="B23" s="52">
        <f>'(2)(a)(i) One Time (all)'!G23</f>
        <v>-1087924.942091349</v>
      </c>
      <c r="C23" s="53"/>
      <c r="D23" s="53"/>
      <c r="E23" s="52">
        <f>'(2)(a)(i) One Time (all)'!G23</f>
        <v>-1087924.942091349</v>
      </c>
      <c r="F23" s="53"/>
      <c r="G23" s="53"/>
    </row>
    <row r="24" spans="1:7" x14ac:dyDescent="0.25">
      <c r="A24" s="12" t="s">
        <v>29</v>
      </c>
      <c r="B24" s="52">
        <f>'(2)(a)(i) One Time (all)'!G24</f>
        <v>-1133571.0805653024</v>
      </c>
      <c r="C24" s="53"/>
      <c r="D24" s="53"/>
      <c r="E24" s="52">
        <f>'(2)(a)(i) One Time (all)'!G24</f>
        <v>-1133571.0805653024</v>
      </c>
      <c r="F24" s="53"/>
      <c r="G24" s="53"/>
    </row>
    <row r="25" spans="1:7" x14ac:dyDescent="0.25">
      <c r="A25" s="12" t="s">
        <v>30</v>
      </c>
      <c r="B25" s="52">
        <f>'(2)(a)(i) One Time (all)'!G25*(C57/F57)</f>
        <v>2763978.8287012489</v>
      </c>
      <c r="C25" s="53"/>
      <c r="D25" s="52">
        <f>D57*E57</f>
        <v>0</v>
      </c>
      <c r="E25" s="53">
        <f>'(2)(a)(i) One Time (all)'!G25</f>
        <v>2998445.1741237156</v>
      </c>
      <c r="F25" s="53"/>
      <c r="G25" s="53">
        <f>D25</f>
        <v>0</v>
      </c>
    </row>
    <row r="26" spans="1:7" x14ac:dyDescent="0.25">
      <c r="A26" s="35" t="s">
        <v>42</v>
      </c>
      <c r="B26" s="61">
        <f>'(2)(a)(i) One Time (all)'!G26</f>
        <v>1669354.461419527</v>
      </c>
      <c r="C26" s="54"/>
      <c r="D26" s="59"/>
      <c r="E26" s="61">
        <f>'(2)(a)(i) One Time (all)'!G26</f>
        <v>1669354.461419527</v>
      </c>
      <c r="F26" s="54"/>
      <c r="G26" s="54"/>
    </row>
    <row r="27" spans="1:7" x14ac:dyDescent="0.25">
      <c r="A27" s="35" t="s">
        <v>43</v>
      </c>
      <c r="B27" s="61">
        <f>'(2)(a)(i) One Time (all)'!G27</f>
        <v>2547344.3177372161</v>
      </c>
      <c r="C27" s="54"/>
      <c r="D27" s="59"/>
      <c r="E27" s="61">
        <f>'(2)(a)(i) One Time (all)'!G27</f>
        <v>2547344.3177372161</v>
      </c>
      <c r="F27" s="54"/>
      <c r="G27" s="54"/>
    </row>
    <row r="28" spans="1:7" x14ac:dyDescent="0.25">
      <c r="A28" s="13" t="s">
        <v>4</v>
      </c>
      <c r="B28" s="59">
        <f>'(2)(a)(i) One Time (all)'!G28</f>
        <v>0</v>
      </c>
      <c r="C28" s="54"/>
      <c r="D28" s="54">
        <f>D56*E56</f>
        <v>0</v>
      </c>
      <c r="E28" s="80">
        <f>'(2)(a)(i) One Time (all)'!G28</f>
        <v>0</v>
      </c>
      <c r="F28" s="54"/>
      <c r="G28" s="54">
        <f>D28</f>
        <v>0</v>
      </c>
    </row>
    <row r="29" spans="1:7" x14ac:dyDescent="0.25">
      <c r="A29" s="76" t="s">
        <v>76</v>
      </c>
      <c r="B29" s="52">
        <f>'(2)(a)(i) One Time (all)'!G30</f>
        <v>-11668.011026964456</v>
      </c>
      <c r="C29" s="53"/>
      <c r="D29" s="53"/>
      <c r="E29" s="61">
        <f>'(2)(a)(i) One Time (all)'!G30</f>
        <v>-11668.011026964456</v>
      </c>
      <c r="F29" s="53"/>
      <c r="G29" s="53"/>
    </row>
    <row r="30" spans="1:7" x14ac:dyDescent="0.25">
      <c r="A30" s="76" t="s">
        <v>77</v>
      </c>
      <c r="B30" s="52"/>
      <c r="C30" s="53"/>
      <c r="D30" s="53"/>
      <c r="E30" s="61"/>
      <c r="F30" s="53"/>
      <c r="G30" s="53"/>
    </row>
    <row r="31" spans="1:7" x14ac:dyDescent="0.25">
      <c r="A31" s="42" t="s">
        <v>78</v>
      </c>
      <c r="B31" s="59"/>
      <c r="C31" s="78"/>
      <c r="D31" s="78"/>
      <c r="E31" s="79"/>
      <c r="F31" s="78"/>
      <c r="G31" s="78"/>
    </row>
    <row r="32" spans="1:7" ht="15.75" thickBot="1" x14ac:dyDescent="0.3">
      <c r="A32" s="75" t="s">
        <v>80</v>
      </c>
      <c r="B32" s="141">
        <f>'(2)(a)(i) One Time (all)'!G33*(C58/F58)</f>
        <v>-1454364.2491064782</v>
      </c>
      <c r="C32" s="142"/>
      <c r="D32" s="142">
        <f>D58*E58</f>
        <v>0</v>
      </c>
      <c r="E32" s="143">
        <f>'(2)(a)(i) One Time (all)'!G33*(C58/F58)</f>
        <v>-1454364.2491064782</v>
      </c>
      <c r="F32" s="142"/>
      <c r="G32" s="142">
        <v>0</v>
      </c>
    </row>
    <row r="33" spans="1:7" ht="15.75" thickBot="1" x14ac:dyDescent="0.3">
      <c r="A33" s="75" t="s">
        <v>94</v>
      </c>
      <c r="B33" s="250" t="s">
        <v>98</v>
      </c>
      <c r="C33" s="239"/>
      <c r="D33" s="142">
        <f>D59*E59</f>
        <v>0</v>
      </c>
      <c r="E33" s="143">
        <f>'(2)(a)(i) One Time (all)'!G34*(C59/F59)</f>
        <v>-4309469</v>
      </c>
      <c r="F33" s="239"/>
      <c r="G33" s="240"/>
    </row>
    <row r="34" spans="1:7" ht="15.75" thickBot="1" x14ac:dyDescent="0.3">
      <c r="A34" s="16" t="s">
        <v>41</v>
      </c>
      <c r="B34" s="55">
        <f>SUM(B16:B33)</f>
        <v>-6310601.4940795088</v>
      </c>
      <c r="C34" s="55">
        <f>SUM(C16:C33)</f>
        <v>0</v>
      </c>
      <c r="D34" s="55">
        <f>SUM(D16:D33)</f>
        <v>0</v>
      </c>
      <c r="E34" s="55">
        <f>SUM(E16:E33)</f>
        <v>-10385604.148657043</v>
      </c>
      <c r="F34" s="55">
        <f>SUM(F16:F33)</f>
        <v>0</v>
      </c>
      <c r="G34" s="56">
        <f>SUM(G16:G33)</f>
        <v>0</v>
      </c>
    </row>
    <row r="35" spans="1:7" ht="15.75" thickBot="1" x14ac:dyDescent="0.3">
      <c r="A35" s="43" t="s">
        <v>49</v>
      </c>
      <c r="B35" s="57">
        <f>B34*'(2)(a)(i) One Time (all)'!$G$37</f>
        <v>-4135968.2192197097</v>
      </c>
      <c r="C35" s="57">
        <f>C34*'(2)(a)(i) One Time (all)'!$G$37</f>
        <v>0</v>
      </c>
      <c r="D35" s="57">
        <f>D34*'(2)(a)(i) One Time (all)'!$G$37</f>
        <v>0</v>
      </c>
      <c r="E35" s="57">
        <f>E34*'(2)(a)(i) One Time (all)'!$G$37</f>
        <v>-6806724.9590298254</v>
      </c>
      <c r="F35" s="57">
        <f>F34*'(2)(a)(i) One Time (all)'!$G$37</f>
        <v>0</v>
      </c>
      <c r="G35" s="58">
        <f>G34*'(2)(a)(i) One Time (all)'!$G$37</f>
        <v>0</v>
      </c>
    </row>
    <row r="36" spans="1:7" x14ac:dyDescent="0.25">
      <c r="A36" s="66"/>
      <c r="B36" s="67"/>
      <c r="C36" s="67"/>
      <c r="D36" s="67"/>
      <c r="E36" s="67"/>
      <c r="F36" s="67"/>
      <c r="G36" s="65"/>
    </row>
    <row r="37" spans="1:7" x14ac:dyDescent="0.25">
      <c r="A37" s="68" t="s">
        <v>50</v>
      </c>
      <c r="B37" s="69"/>
      <c r="C37" s="69"/>
      <c r="D37" s="69"/>
      <c r="E37" s="69"/>
      <c r="F37" s="69"/>
      <c r="G37" s="65"/>
    </row>
    <row r="38" spans="1:7" x14ac:dyDescent="0.25">
      <c r="A38" s="42" t="s">
        <v>46</v>
      </c>
      <c r="B38" s="52"/>
      <c r="C38" s="52">
        <v>0</v>
      </c>
      <c r="D38" s="52"/>
      <c r="E38" s="53"/>
      <c r="F38" s="53">
        <f>C38</f>
        <v>0</v>
      </c>
      <c r="G38" s="53"/>
    </row>
    <row r="39" spans="1:7" x14ac:dyDescent="0.25">
      <c r="A39" s="26" t="s">
        <v>57</v>
      </c>
      <c r="B39" s="59"/>
      <c r="C39" s="59">
        <f>(C60*(1-'(2)(a)(i) One Time (all)'!G37)*E60)</f>
        <v>51450.158400000008</v>
      </c>
      <c r="D39" s="59"/>
      <c r="E39" s="54"/>
      <c r="F39" s="54">
        <f>B60/C60*C39</f>
        <v>51450.158400000008</v>
      </c>
      <c r="G39" s="54"/>
    </row>
    <row r="40" spans="1:7" x14ac:dyDescent="0.25">
      <c r="A40" s="26" t="s">
        <v>59</v>
      </c>
      <c r="B40" s="59"/>
      <c r="C40" s="59">
        <f>(C56*(1-'(2)(a)(i) One Time (all)'!$G$37))*E56</f>
        <v>871612.28700000001</v>
      </c>
      <c r="D40" s="59"/>
      <c r="E40" s="54"/>
      <c r="F40" s="54">
        <f>B56/C56*C40</f>
        <v>984517.37559999991</v>
      </c>
      <c r="G40" s="54"/>
    </row>
    <row r="41" spans="1:7" x14ac:dyDescent="0.25">
      <c r="A41" s="26" t="s">
        <v>58</v>
      </c>
      <c r="B41" s="53"/>
      <c r="C41" s="59">
        <f>(C57*(1-'(2)(a)(i) One Time (all)'!$G$37))*E57</f>
        <v>1133136.3946800001</v>
      </c>
      <c r="D41" s="53"/>
      <c r="E41" s="52"/>
      <c r="F41" s="54">
        <f>B57/C57*C41</f>
        <v>1084704.3120000002</v>
      </c>
      <c r="G41" s="54"/>
    </row>
    <row r="42" spans="1:7" x14ac:dyDescent="0.25">
      <c r="A42" s="26" t="s">
        <v>87</v>
      </c>
      <c r="B42" s="53"/>
      <c r="C42" s="59">
        <f>(C58*(1-'(2)(a)(i) One Time (all)'!$G$37))*E58</f>
        <v>1507770.62796</v>
      </c>
      <c r="D42" s="53"/>
      <c r="E42" s="52"/>
      <c r="F42" s="54">
        <f>B58/C58*C42</f>
        <v>50550.407800000008</v>
      </c>
      <c r="G42" s="53"/>
    </row>
    <row r="43" spans="1:7" ht="15.75" thickBot="1" x14ac:dyDescent="0.3">
      <c r="A43" s="26" t="s">
        <v>88</v>
      </c>
      <c r="B43" s="78"/>
      <c r="C43" s="59">
        <v>0</v>
      </c>
      <c r="D43" s="53"/>
      <c r="E43" s="52"/>
      <c r="F43" s="54">
        <v>0</v>
      </c>
      <c r="G43" s="53"/>
    </row>
    <row r="44" spans="1:7" ht="15.75" thickBot="1" x14ac:dyDescent="0.3">
      <c r="A44" s="44" t="s">
        <v>51</v>
      </c>
      <c r="B44" s="57">
        <f>SUM(B38:B41)</f>
        <v>0</v>
      </c>
      <c r="C44" s="57">
        <f>SUM(C38:C41)</f>
        <v>2056198.84008</v>
      </c>
      <c r="D44" s="151">
        <f t="shared" ref="D44:G44" si="0">SUM(D38:D41)</f>
        <v>0</v>
      </c>
      <c r="E44" s="151">
        <f t="shared" si="0"/>
        <v>0</v>
      </c>
      <c r="F44" s="57">
        <f>SUM(F38:F41)</f>
        <v>2120671.8459999999</v>
      </c>
      <c r="G44" s="152">
        <f t="shared" si="0"/>
        <v>0</v>
      </c>
    </row>
    <row r="45" spans="1:7" ht="15.75" thickBot="1" x14ac:dyDescent="0.3">
      <c r="A45" s="17"/>
      <c r="B45" s="60"/>
      <c r="C45" s="60"/>
      <c r="D45" s="60"/>
      <c r="E45" s="60"/>
      <c r="F45" s="60"/>
      <c r="G45" s="55"/>
    </row>
    <row r="46" spans="1:7" ht="15.75" thickBot="1" x14ac:dyDescent="0.3">
      <c r="A46" s="48" t="s">
        <v>52</v>
      </c>
      <c r="B46" s="57">
        <f t="shared" ref="B46:G46" si="1">B35+B44</f>
        <v>-4135968.2192197097</v>
      </c>
      <c r="C46" s="57">
        <f t="shared" si="1"/>
        <v>2056198.84008</v>
      </c>
      <c r="D46" s="57">
        <f t="shared" si="1"/>
        <v>0</v>
      </c>
      <c r="E46" s="57">
        <f t="shared" si="1"/>
        <v>-6806724.9590298254</v>
      </c>
      <c r="F46" s="57">
        <f t="shared" si="1"/>
        <v>2120671.8459999999</v>
      </c>
      <c r="G46" s="58">
        <f t="shared" si="1"/>
        <v>0</v>
      </c>
    </row>
    <row r="47" spans="1:7" ht="15.75" thickBot="1" x14ac:dyDescent="0.3">
      <c r="A47" s="45"/>
      <c r="B47" s="46"/>
      <c r="C47" s="46"/>
      <c r="D47" s="46"/>
      <c r="E47" s="47"/>
      <c r="F47" s="47"/>
      <c r="G47" s="46"/>
    </row>
    <row r="48" spans="1:7" ht="15.75" thickBot="1" x14ac:dyDescent="0.3">
      <c r="A48" s="194" t="s">
        <v>11</v>
      </c>
      <c r="B48" s="195"/>
      <c r="C48" s="196"/>
      <c r="D48" s="112">
        <v>6011000000</v>
      </c>
      <c r="E48" s="114"/>
      <c r="F48" s="114"/>
      <c r="G48" s="112">
        <f>D48</f>
        <v>6011000000</v>
      </c>
    </row>
    <row r="49" spans="1:7" x14ac:dyDescent="0.25">
      <c r="A49" s="115"/>
      <c r="B49" s="116" t="s">
        <v>54</v>
      </c>
      <c r="C49" s="66"/>
      <c r="D49" s="117">
        <f>SUM(B46:D46)*1.029768</f>
        <v>-2141679.9540179404</v>
      </c>
      <c r="E49" s="116" t="s">
        <v>55</v>
      </c>
      <c r="F49" s="66"/>
      <c r="G49" s="117">
        <f>SUM(E46:G46)*1.029768</f>
        <v>-4825547.542098497</v>
      </c>
    </row>
    <row r="50" spans="1:7" ht="15" customHeight="1" x14ac:dyDescent="0.25">
      <c r="A50" s="115"/>
      <c r="B50" s="197">
        <f>D49/D48</f>
        <v>-3.562934543367061E-4</v>
      </c>
      <c r="C50" s="198"/>
      <c r="D50" s="199"/>
      <c r="E50" s="197">
        <f>G49/G48</f>
        <v>-8.027861490764427E-4</v>
      </c>
      <c r="F50" s="198"/>
      <c r="G50" s="199"/>
    </row>
    <row r="51" spans="1:7" ht="15.75" thickBot="1" x14ac:dyDescent="0.3">
      <c r="A51" s="115"/>
      <c r="B51" s="200"/>
      <c r="C51" s="201"/>
      <c r="D51" s="202"/>
      <c r="E51" s="200"/>
      <c r="F51" s="201"/>
      <c r="G51" s="202"/>
    </row>
    <row r="52" spans="1:7" x14ac:dyDescent="0.25">
      <c r="A52" s="115"/>
      <c r="B52" s="115"/>
      <c r="C52" s="115"/>
      <c r="D52" s="115"/>
      <c r="E52" s="115"/>
      <c r="F52" s="118"/>
      <c r="G52" s="114"/>
    </row>
    <row r="53" spans="1:7" x14ac:dyDescent="0.25">
      <c r="A53" s="115"/>
      <c r="B53" s="115"/>
      <c r="C53" s="115"/>
      <c r="D53" s="115"/>
      <c r="E53" s="115"/>
      <c r="F53" s="118"/>
      <c r="G53" s="114"/>
    </row>
    <row r="54" spans="1:7" x14ac:dyDescent="0.25">
      <c r="A54" s="119" t="s">
        <v>60</v>
      </c>
      <c r="B54" s="115"/>
      <c r="C54" s="115"/>
      <c r="D54" s="115"/>
      <c r="E54" s="115"/>
      <c r="F54" s="118"/>
      <c r="G54" s="114"/>
    </row>
    <row r="55" spans="1:7" s="64" customFormat="1" ht="30" x14ac:dyDescent="0.25">
      <c r="A55" s="120" t="s">
        <v>65</v>
      </c>
      <c r="B55" s="121" t="s">
        <v>96</v>
      </c>
      <c r="C55" s="121" t="s">
        <v>75</v>
      </c>
      <c r="D55" s="121" t="s">
        <v>61</v>
      </c>
      <c r="E55" s="121" t="s">
        <v>62</v>
      </c>
      <c r="F55" s="120" t="s">
        <v>68</v>
      </c>
      <c r="G55" s="120"/>
    </row>
    <row r="56" spans="1:7" x14ac:dyDescent="0.25">
      <c r="A56" s="115" t="s">
        <v>4</v>
      </c>
      <c r="B56" s="147">
        <f>'(2)(a)(iii)(A) and (B)'!E40</f>
        <v>336116</v>
      </c>
      <c r="C56" s="147">
        <v>297570</v>
      </c>
      <c r="D56" s="147">
        <v>0</v>
      </c>
      <c r="E56" s="148">
        <v>8.5</v>
      </c>
      <c r="F56" s="149">
        <f>'(2)(a)(i) One Time (all)'!B65</f>
        <v>558877.19999999995</v>
      </c>
      <c r="G56" s="115"/>
    </row>
    <row r="57" spans="1:7" x14ac:dyDescent="0.25">
      <c r="A57" s="115" t="s">
        <v>56</v>
      </c>
      <c r="B57" s="147">
        <f>'(2)(a)(iii)(A) and (B)'!E37</f>
        <v>370320</v>
      </c>
      <c r="C57" s="147">
        <f>'(2)(a)(i) One Time (all)'!B51</f>
        <v>386854.8</v>
      </c>
      <c r="D57" s="147">
        <v>0</v>
      </c>
      <c r="E57" s="148">
        <v>8.5</v>
      </c>
      <c r="F57" s="147">
        <f>'(2)(a)(i) One Time (all)'!B49</f>
        <v>419671.41575091</v>
      </c>
      <c r="G57" s="115"/>
    </row>
    <row r="58" spans="1:7" x14ac:dyDescent="0.25">
      <c r="A58" s="115" t="s">
        <v>81</v>
      </c>
      <c r="B58" s="147">
        <f>'(2)(a)(iii)(A) and (B)'!E45</f>
        <v>17258</v>
      </c>
      <c r="C58" s="147">
        <f>'(2)(a)(i) One Time (all)'!B67</f>
        <v>514755.6</v>
      </c>
      <c r="D58" s="147">
        <v>0</v>
      </c>
      <c r="E58" s="148">
        <v>8.5</v>
      </c>
      <c r="F58" s="147">
        <v>465731</v>
      </c>
      <c r="G58" s="115"/>
    </row>
    <row r="59" spans="1:7" x14ac:dyDescent="0.25">
      <c r="A59" s="70" t="s">
        <v>95</v>
      </c>
      <c r="B59" s="147">
        <v>0</v>
      </c>
      <c r="C59" s="147">
        <v>147161</v>
      </c>
      <c r="D59" s="147">
        <v>0</v>
      </c>
      <c r="E59" s="148">
        <v>8.5</v>
      </c>
      <c r="F59" s="147">
        <v>147161</v>
      </c>
      <c r="G59" s="115"/>
    </row>
    <row r="60" spans="1:7" x14ac:dyDescent="0.25">
      <c r="A60" s="115" t="s">
        <v>89</v>
      </c>
      <c r="B60" s="149">
        <f>SUM('(2)(a)(iii)(A) and (B)'!E5:E13)+SUM('(2)(a)(iii)(A) and (B)'!E15:E16)</f>
        <v>124420</v>
      </c>
      <c r="C60" s="149">
        <f>B60</f>
        <v>124420</v>
      </c>
      <c r="D60" s="150">
        <v>0</v>
      </c>
      <c r="E60" s="148">
        <v>1.2</v>
      </c>
      <c r="F60" s="150"/>
    </row>
  </sheetData>
  <mergeCells count="15">
    <mergeCell ref="A48:C48"/>
    <mergeCell ref="B50:D51"/>
    <mergeCell ref="E50:G51"/>
    <mergeCell ref="A1:G1"/>
    <mergeCell ref="A2:G5"/>
    <mergeCell ref="A6:G11"/>
    <mergeCell ref="A13:A15"/>
    <mergeCell ref="B13:D13"/>
    <mergeCell ref="E13:G13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4"/>
  <sheetViews>
    <sheetView topLeftCell="A44" workbookViewId="0">
      <selection activeCell="B55" sqref="B55"/>
    </sheetView>
  </sheetViews>
  <sheetFormatPr defaultRowHeight="15" x14ac:dyDescent="0.25"/>
  <cols>
    <col min="1" max="1" width="37.140625" bestFit="1" customWidth="1"/>
    <col min="2" max="2" width="24" customWidth="1"/>
    <col min="3" max="3" width="23.42578125" customWidth="1"/>
    <col min="4" max="4" width="22.85546875" customWidth="1"/>
    <col min="5" max="5" width="24.28515625" customWidth="1"/>
    <col min="6" max="6" width="19.42578125" customWidth="1"/>
    <col min="7" max="7" width="31.140625" customWidth="1"/>
    <col min="8" max="8" width="18" customWidth="1"/>
    <col min="9" max="9" width="11.5703125" bestFit="1" customWidth="1"/>
  </cols>
  <sheetData>
    <row r="1" spans="1:7" ht="32.25" customHeight="1" thickBot="1" x14ac:dyDescent="0.4">
      <c r="A1" s="220" t="s">
        <v>92</v>
      </c>
      <c r="B1" s="221"/>
      <c r="C1" s="221"/>
      <c r="D1" s="221"/>
      <c r="E1" s="221"/>
      <c r="F1" s="221"/>
      <c r="G1" s="221"/>
    </row>
    <row r="2" spans="1:7" x14ac:dyDescent="0.25">
      <c r="A2" s="205" t="s">
        <v>8</v>
      </c>
      <c r="B2" s="171"/>
      <c r="C2" s="171"/>
      <c r="D2" s="171"/>
      <c r="E2" s="171"/>
      <c r="F2" s="171"/>
      <c r="G2" s="172"/>
    </row>
    <row r="3" spans="1:7" x14ac:dyDescent="0.25">
      <c r="A3" s="173"/>
      <c r="B3" s="174"/>
      <c r="C3" s="174"/>
      <c r="D3" s="174"/>
      <c r="E3" s="174"/>
      <c r="F3" s="174"/>
      <c r="G3" s="175"/>
    </row>
    <row r="4" spans="1:7" ht="0.75" customHeight="1" thickBot="1" x14ac:dyDescent="0.3">
      <c r="A4" s="173"/>
      <c r="B4" s="174"/>
      <c r="C4" s="174"/>
      <c r="D4" s="174"/>
      <c r="E4" s="174"/>
      <c r="F4" s="174"/>
      <c r="G4" s="175"/>
    </row>
    <row r="5" spans="1:7" ht="15.75" hidden="1" thickBot="1" x14ac:dyDescent="0.3">
      <c r="A5" s="206"/>
      <c r="B5" s="207"/>
      <c r="C5" s="207"/>
      <c r="D5" s="207"/>
      <c r="E5" s="207"/>
      <c r="F5" s="207"/>
      <c r="G5" s="208"/>
    </row>
    <row r="6" spans="1:7" x14ac:dyDescent="0.25">
      <c r="A6" s="209" t="s">
        <v>9</v>
      </c>
      <c r="B6" s="210"/>
      <c r="C6" s="210"/>
      <c r="D6" s="210"/>
      <c r="E6" s="210"/>
      <c r="F6" s="210"/>
      <c r="G6" s="211"/>
    </row>
    <row r="7" spans="1:7" x14ac:dyDescent="0.25">
      <c r="A7" s="212"/>
      <c r="B7" s="213"/>
      <c r="C7" s="213"/>
      <c r="D7" s="213"/>
      <c r="E7" s="213"/>
      <c r="F7" s="213"/>
      <c r="G7" s="214"/>
    </row>
    <row r="8" spans="1:7" x14ac:dyDescent="0.25">
      <c r="A8" s="212"/>
      <c r="B8" s="213"/>
      <c r="C8" s="213"/>
      <c r="D8" s="213"/>
      <c r="E8" s="213"/>
      <c r="F8" s="213"/>
      <c r="G8" s="214"/>
    </row>
    <row r="9" spans="1:7" x14ac:dyDescent="0.25">
      <c r="A9" s="212"/>
      <c r="B9" s="213"/>
      <c r="C9" s="213"/>
      <c r="D9" s="213"/>
      <c r="E9" s="213"/>
      <c r="F9" s="213"/>
      <c r="G9" s="214"/>
    </row>
    <row r="10" spans="1:7" x14ac:dyDescent="0.25">
      <c r="A10" s="212"/>
      <c r="B10" s="213"/>
      <c r="C10" s="213"/>
      <c r="D10" s="213"/>
      <c r="E10" s="213"/>
      <c r="F10" s="213"/>
      <c r="G10" s="214"/>
    </row>
    <row r="11" spans="1:7" ht="86.25" customHeight="1" thickBot="1" x14ac:dyDescent="0.3">
      <c r="A11" s="215"/>
      <c r="B11" s="204"/>
      <c r="C11" s="204"/>
      <c r="D11" s="204"/>
      <c r="E11" s="204"/>
      <c r="F11" s="204"/>
      <c r="G11" s="216"/>
    </row>
    <row r="12" spans="1:7" ht="15.75" thickBot="1" x14ac:dyDescent="0.3"/>
    <row r="13" spans="1:7" ht="15.75" thickBot="1" x14ac:dyDescent="0.3">
      <c r="A13" s="217" t="s">
        <v>2</v>
      </c>
      <c r="B13" s="218" t="s">
        <v>47</v>
      </c>
      <c r="C13" s="218"/>
      <c r="D13" s="218"/>
      <c r="E13" s="218" t="s">
        <v>48</v>
      </c>
      <c r="F13" s="218"/>
      <c r="G13" s="218"/>
    </row>
    <row r="14" spans="1:7" ht="15" customHeight="1" thickBot="1" x14ac:dyDescent="0.3">
      <c r="A14" s="217"/>
      <c r="B14" s="219" t="s">
        <v>10</v>
      </c>
      <c r="C14" s="219" t="s">
        <v>18</v>
      </c>
      <c r="D14" s="219" t="s">
        <v>53</v>
      </c>
      <c r="E14" s="219" t="s">
        <v>10</v>
      </c>
      <c r="F14" s="219" t="s">
        <v>18</v>
      </c>
      <c r="G14" s="219" t="s">
        <v>19</v>
      </c>
    </row>
    <row r="15" spans="1:7" ht="15.75" thickBot="1" x14ac:dyDescent="0.3">
      <c r="A15" s="217"/>
      <c r="B15" s="219"/>
      <c r="C15" s="219"/>
      <c r="D15" s="219"/>
      <c r="E15" s="219"/>
      <c r="F15" s="219"/>
      <c r="G15" s="219"/>
    </row>
    <row r="16" spans="1:7" x14ac:dyDescent="0.25">
      <c r="A16" s="49" t="s">
        <v>21</v>
      </c>
      <c r="B16" s="50">
        <f>'(2)(a)(i) One Time (all)'!G16</f>
        <v>-155825.32874060509</v>
      </c>
      <c r="C16" s="51"/>
      <c r="D16" s="51"/>
      <c r="E16" s="50">
        <v>-155825.32874060509</v>
      </c>
      <c r="F16" s="51"/>
      <c r="G16" s="51"/>
    </row>
    <row r="17" spans="1:9" x14ac:dyDescent="0.25">
      <c r="A17" s="4" t="s">
        <v>22</v>
      </c>
      <c r="B17" s="52">
        <f>'(2)(a)(i) One Time (all)'!G17</f>
        <v>-1017345.7078353526</v>
      </c>
      <c r="C17" s="53"/>
      <c r="D17" s="53"/>
      <c r="E17" s="52">
        <v>-1017345.7078353526</v>
      </c>
      <c r="F17" s="53"/>
      <c r="G17" s="53"/>
      <c r="H17" s="10"/>
    </row>
    <row r="18" spans="1:9" x14ac:dyDescent="0.25">
      <c r="A18" s="4" t="s">
        <v>23</v>
      </c>
      <c r="B18" s="52">
        <f>'(2)(a)(i) One Time (all)'!G18</f>
        <v>-2527658.7871261169</v>
      </c>
      <c r="C18" s="53"/>
      <c r="D18" s="53"/>
      <c r="E18" s="52">
        <v>-2527658.7871261169</v>
      </c>
      <c r="F18" s="53"/>
      <c r="G18" s="53"/>
      <c r="H18" s="10"/>
    </row>
    <row r="19" spans="1:9" x14ac:dyDescent="0.25">
      <c r="A19" s="4" t="s">
        <v>24</v>
      </c>
      <c r="B19" s="52">
        <f>'(2)(a)(i) One Time (all)'!G19</f>
        <v>-2728006.8917778786</v>
      </c>
      <c r="C19" s="53"/>
      <c r="D19" s="53"/>
      <c r="E19" s="52">
        <v>-2728006.8917778786</v>
      </c>
      <c r="F19" s="53"/>
      <c r="G19" s="53"/>
      <c r="H19" s="10"/>
    </row>
    <row r="20" spans="1:9" x14ac:dyDescent="0.25">
      <c r="A20" s="4" t="s">
        <v>25</v>
      </c>
      <c r="B20" s="52">
        <f>'(2)(a)(i) One Time (all)'!G20</f>
        <v>-1899932.1023558602</v>
      </c>
      <c r="C20" s="53"/>
      <c r="D20" s="53"/>
      <c r="E20" s="52">
        <v>-1899932.1023558602</v>
      </c>
      <c r="F20" s="53"/>
      <c r="G20" s="53"/>
      <c r="H20" s="10"/>
    </row>
    <row r="21" spans="1:9" x14ac:dyDescent="0.25">
      <c r="A21" s="4" t="s">
        <v>26</v>
      </c>
      <c r="B21" s="52">
        <f>'(2)(a)(i) One Time (all)'!G21</f>
        <v>-603357.27530905697</v>
      </c>
      <c r="C21" s="53"/>
      <c r="D21" s="53"/>
      <c r="E21" s="52">
        <v>-603357.27530905697</v>
      </c>
      <c r="F21" s="53"/>
      <c r="G21" s="53"/>
      <c r="H21" s="10"/>
    </row>
    <row r="22" spans="1:9" x14ac:dyDescent="0.25">
      <c r="A22" s="4" t="s">
        <v>27</v>
      </c>
      <c r="B22" s="52">
        <f>'(2)(a)(i) One Time (all)'!G22</f>
        <v>-671624.72600253532</v>
      </c>
      <c r="C22" s="53"/>
      <c r="D22" s="53"/>
      <c r="E22" s="52">
        <v>-671624.72600253532</v>
      </c>
      <c r="F22" s="53"/>
      <c r="G22" s="53"/>
      <c r="H22" s="10"/>
    </row>
    <row r="23" spans="1:9" x14ac:dyDescent="0.25">
      <c r="A23" s="4" t="s">
        <v>28</v>
      </c>
      <c r="B23" s="52">
        <f>'(2)(a)(i) One Time (all)'!G23</f>
        <v>-1087924.942091349</v>
      </c>
      <c r="C23" s="53"/>
      <c r="D23" s="53"/>
      <c r="E23" s="52">
        <v>-1087924.942091349</v>
      </c>
      <c r="F23" s="53"/>
      <c r="G23" s="53"/>
      <c r="H23" s="10"/>
    </row>
    <row r="24" spans="1:9" x14ac:dyDescent="0.25">
      <c r="A24" s="4" t="s">
        <v>29</v>
      </c>
      <c r="B24" s="52">
        <f>'(2)(a)(i) One Time (all)'!G24</f>
        <v>-1133571.0805653024</v>
      </c>
      <c r="C24" s="53"/>
      <c r="D24" s="53"/>
      <c r="E24" s="52">
        <v>-1133571.0805653024</v>
      </c>
      <c r="F24" s="53"/>
      <c r="G24" s="53"/>
      <c r="H24" s="10"/>
    </row>
    <row r="25" spans="1:9" x14ac:dyDescent="0.25">
      <c r="A25" s="4" t="s">
        <v>30</v>
      </c>
      <c r="B25" s="52">
        <f>'(2)(a)(i) One Time (all)'!G25*($B$62/$D$62)</f>
        <v>2657473.5466065621</v>
      </c>
      <c r="C25" s="53"/>
      <c r="D25" s="52">
        <v>0</v>
      </c>
      <c r="E25" s="52">
        <f>'(2)(a)(i) One Time (all)'!G25</f>
        <v>2998445.1741237156</v>
      </c>
      <c r="F25" s="53"/>
      <c r="G25" s="53">
        <f>D25</f>
        <v>0</v>
      </c>
      <c r="H25" s="10"/>
      <c r="I25" s="82"/>
    </row>
    <row r="26" spans="1:9" s="10" customFormat="1" x14ac:dyDescent="0.25">
      <c r="A26" s="35" t="s">
        <v>42</v>
      </c>
      <c r="B26" s="52">
        <f>'(2)(a)(i) One Time (all)'!G26</f>
        <v>1669354.461419527</v>
      </c>
      <c r="C26" s="54"/>
      <c r="D26" s="52"/>
      <c r="E26" s="52">
        <v>1669354.461419527</v>
      </c>
      <c r="F26" s="54"/>
      <c r="G26" s="53"/>
    </row>
    <row r="27" spans="1:9" s="10" customFormat="1" x14ac:dyDescent="0.25">
      <c r="A27" s="35" t="s">
        <v>43</v>
      </c>
      <c r="B27" s="52">
        <f>'(2)(a)(i) One Time (all)'!G27</f>
        <v>2547344.3177372161</v>
      </c>
      <c r="C27" s="54"/>
      <c r="D27" s="52"/>
      <c r="E27" s="52">
        <v>2547344.3177372161</v>
      </c>
      <c r="F27" s="54"/>
      <c r="G27" s="53"/>
      <c r="I27" s="82"/>
    </row>
    <row r="28" spans="1:9" x14ac:dyDescent="0.25">
      <c r="A28" s="5" t="s">
        <v>4</v>
      </c>
      <c r="B28" s="52">
        <f>'(2)(a)(i) One Time (all)'!G28</f>
        <v>0</v>
      </c>
      <c r="C28" s="54"/>
      <c r="D28" s="52">
        <f>-D55*E55</f>
        <v>-794639.39</v>
      </c>
      <c r="E28" s="52">
        <v>0</v>
      </c>
      <c r="F28" s="54"/>
      <c r="G28" s="53">
        <f>D28</f>
        <v>-794639.39</v>
      </c>
      <c r="H28" s="10"/>
      <c r="I28" s="62"/>
    </row>
    <row r="29" spans="1:9" s="10" customFormat="1" x14ac:dyDescent="0.25">
      <c r="A29" s="76" t="s">
        <v>76</v>
      </c>
      <c r="B29" s="52"/>
      <c r="C29" s="53"/>
      <c r="D29" s="53"/>
      <c r="E29" s="61"/>
      <c r="F29" s="53"/>
      <c r="G29" s="53"/>
      <c r="I29" s="62"/>
    </row>
    <row r="30" spans="1:9" s="10" customFormat="1" x14ac:dyDescent="0.25">
      <c r="A30" s="76" t="s">
        <v>77</v>
      </c>
      <c r="B30" s="52"/>
      <c r="C30" s="53"/>
      <c r="D30" s="53"/>
      <c r="E30" s="61"/>
      <c r="F30" s="53"/>
      <c r="G30" s="53"/>
      <c r="I30" s="62"/>
    </row>
    <row r="31" spans="1:9" s="10" customFormat="1" x14ac:dyDescent="0.25">
      <c r="A31" s="76" t="s">
        <v>78</v>
      </c>
      <c r="B31" s="52"/>
      <c r="C31" s="53"/>
      <c r="D31" s="53"/>
      <c r="E31" s="61"/>
      <c r="F31" s="53"/>
      <c r="G31" s="53"/>
      <c r="I31" s="62"/>
    </row>
    <row r="32" spans="1:9" s="10" customFormat="1" ht="15.75" thickBot="1" x14ac:dyDescent="0.3">
      <c r="A32" s="75" t="s">
        <v>80</v>
      </c>
      <c r="B32" s="77">
        <f>'(2)(a)(i) One Time (all)'!G33</f>
        <v>-1315852.6417208656</v>
      </c>
      <c r="C32" s="78"/>
      <c r="D32" s="78"/>
      <c r="E32" s="79">
        <v>0</v>
      </c>
      <c r="F32" s="78"/>
      <c r="G32" s="142"/>
      <c r="I32" s="62"/>
    </row>
    <row r="33" spans="1:9" s="10" customFormat="1" ht="15.75" thickBot="1" x14ac:dyDescent="0.3">
      <c r="A33" s="16" t="s">
        <v>41</v>
      </c>
      <c r="B33" s="55">
        <f>SUM(B16:B32)</f>
        <v>-6266927.1577616176</v>
      </c>
      <c r="C33" s="55">
        <f t="shared" ref="C33:F33" si="0">SUM(C16:C31)</f>
        <v>0</v>
      </c>
      <c r="D33" s="55">
        <f>SUM(D16:D32)</f>
        <v>-794639.39</v>
      </c>
      <c r="E33" s="55">
        <f>SUM(E16:E32)</f>
        <v>-4610102.8885235991</v>
      </c>
      <c r="F33" s="55">
        <f t="shared" si="0"/>
        <v>0</v>
      </c>
      <c r="G33" s="55">
        <f>SUM(G16:G32)</f>
        <v>-794639.39</v>
      </c>
      <c r="I33" s="62"/>
    </row>
    <row r="34" spans="1:9" s="10" customFormat="1" ht="15.75" thickBot="1" x14ac:dyDescent="0.3">
      <c r="A34" s="43" t="s">
        <v>49</v>
      </c>
      <c r="B34" s="57">
        <f>B33*'(2)(a)(i) One Time (all)'!$G$37</f>
        <v>-4107344.0591969639</v>
      </c>
      <c r="C34" s="57">
        <f>C33*'(2)(a)(i) One Time (all)'!$G$37</f>
        <v>0</v>
      </c>
      <c r="D34" s="57">
        <f>D33*'(2)(a)(i) One Time (all)'!$G$37</f>
        <v>-520806.65620600001</v>
      </c>
      <c r="E34" s="57">
        <v>-769620.81985370815</v>
      </c>
      <c r="F34" s="57">
        <v>0</v>
      </c>
      <c r="G34" s="58">
        <v>-1441310.0149770002</v>
      </c>
    </row>
    <row r="35" spans="1:9" s="10" customFormat="1" x14ac:dyDescent="0.25">
      <c r="A35" s="70"/>
      <c r="B35" s="67"/>
      <c r="C35" s="67"/>
      <c r="D35" s="67"/>
      <c r="E35" s="67"/>
      <c r="F35" s="67"/>
      <c r="G35" s="65"/>
    </row>
    <row r="36" spans="1:9" s="10" customFormat="1" x14ac:dyDescent="0.25">
      <c r="A36" s="71" t="s">
        <v>50</v>
      </c>
      <c r="B36" s="69"/>
      <c r="C36" s="69"/>
      <c r="D36" s="69"/>
      <c r="E36" s="69"/>
      <c r="F36" s="69"/>
      <c r="G36" s="65"/>
    </row>
    <row r="37" spans="1:9" s="10" customFormat="1" x14ac:dyDescent="0.25">
      <c r="A37" s="42" t="s">
        <v>46</v>
      </c>
      <c r="B37" s="52"/>
      <c r="C37" s="52">
        <v>0</v>
      </c>
      <c r="D37" s="52"/>
      <c r="E37" s="53"/>
      <c r="F37" s="54">
        <v>0</v>
      </c>
      <c r="G37" s="53"/>
    </row>
    <row r="38" spans="1:9" s="10" customFormat="1" x14ac:dyDescent="0.25">
      <c r="A38" s="26" t="s">
        <v>57</v>
      </c>
      <c r="B38" s="59"/>
      <c r="C38" s="59">
        <f>B64*(1-'(2)(a)(i) One Time (all)'!G37)*E58</f>
        <v>107115.53292</v>
      </c>
      <c r="D38" s="59"/>
      <c r="E38" s="54"/>
      <c r="F38" s="53">
        <f>B58/C58*C38</f>
        <v>107115.53292</v>
      </c>
      <c r="G38" s="54"/>
    </row>
    <row r="39" spans="1:9" s="10" customFormat="1" x14ac:dyDescent="0.25">
      <c r="A39" s="26" t="s">
        <v>59</v>
      </c>
      <c r="B39" s="59"/>
      <c r="C39" s="59">
        <f>B61*E55*(1-'(2)(a)(i) One Time (all)'!$G$37)</f>
        <v>313216.79211400007</v>
      </c>
      <c r="D39" s="59"/>
      <c r="E39" s="54"/>
      <c r="F39" s="53">
        <f t="shared" ref="F39:F40" si="1">B55/C55*C39</f>
        <v>317170.76402108913</v>
      </c>
      <c r="G39" s="54"/>
      <c r="I39" s="10">
        <v>760974.22319999989</v>
      </c>
    </row>
    <row r="40" spans="1:9" x14ac:dyDescent="0.25">
      <c r="A40" s="12" t="s">
        <v>58</v>
      </c>
      <c r="B40" s="53"/>
      <c r="C40" s="59">
        <f>B62*E56*(1-'(2)(a)(i) One Time (all)'!$G$37)</f>
        <v>961299.60600000003</v>
      </c>
      <c r="D40" s="53"/>
      <c r="E40" s="52"/>
      <c r="F40" s="53">
        <f t="shared" si="1"/>
        <v>914561.50800000003</v>
      </c>
      <c r="G40" s="53"/>
      <c r="I40">
        <v>1053309.3293875677</v>
      </c>
    </row>
    <row r="41" spans="1:9" s="10" customFormat="1" x14ac:dyDescent="0.25">
      <c r="A41" s="12" t="s">
        <v>87</v>
      </c>
      <c r="B41" s="53"/>
      <c r="C41" s="59">
        <f>B63*E57*(1-'(2)(a)(i) One Time (all)'!$G$37)</f>
        <v>1100190.6359999999</v>
      </c>
      <c r="D41" s="53"/>
      <c r="E41" s="52"/>
      <c r="F41" s="53">
        <f>B57/C57*C41</f>
        <v>269012.85149999999</v>
      </c>
      <c r="G41" s="53"/>
    </row>
    <row r="42" spans="1:9" s="10" customFormat="1" x14ac:dyDescent="0.25">
      <c r="A42" s="12" t="s">
        <v>88</v>
      </c>
      <c r="B42" s="53"/>
      <c r="C42" s="52">
        <f>B64*E59*(1-'(2)(a)(i) One Time (all)'!$G$37)</f>
        <v>0</v>
      </c>
      <c r="D42" s="53"/>
      <c r="E42" s="52"/>
      <c r="F42" s="53"/>
      <c r="G42" s="53"/>
    </row>
    <row r="43" spans="1:9" s="10" customFormat="1" x14ac:dyDescent="0.25">
      <c r="A43" s="153" t="s">
        <v>51</v>
      </c>
      <c r="B43" s="154">
        <f>SUM(B37:B40)</f>
        <v>0</v>
      </c>
      <c r="C43" s="156">
        <f>SUM(C37:C42)</f>
        <v>2481822.5670340001</v>
      </c>
      <c r="D43" s="154">
        <f t="shared" ref="D43:G43" si="2">SUM(D37:D40)</f>
        <v>0</v>
      </c>
      <c r="E43" s="154">
        <f t="shared" si="2"/>
        <v>0</v>
      </c>
      <c r="F43" s="154">
        <f t="shared" si="2"/>
        <v>1338847.8049410891</v>
      </c>
      <c r="G43" s="155">
        <f t="shared" si="2"/>
        <v>0</v>
      </c>
    </row>
    <row r="44" spans="1:9" s="10" customFormat="1" ht="15.75" thickBot="1" x14ac:dyDescent="0.3">
      <c r="A44" s="144"/>
      <c r="B44" s="54"/>
      <c r="C44" s="54"/>
      <c r="D44" s="54"/>
      <c r="E44" s="54"/>
      <c r="F44" s="54"/>
      <c r="G44" s="54"/>
    </row>
    <row r="45" spans="1:9" s="10" customFormat="1" ht="15.75" thickBot="1" x14ac:dyDescent="0.3">
      <c r="A45" s="48" t="s">
        <v>52</v>
      </c>
      <c r="B45" s="57">
        <f t="shared" ref="B45:G45" si="3">B34+B43</f>
        <v>-4107344.0591969639</v>
      </c>
      <c r="C45" s="57">
        <f>C34+C43</f>
        <v>2481822.5670340001</v>
      </c>
      <c r="D45" s="57">
        <f>D34+D43</f>
        <v>-520806.65620600001</v>
      </c>
      <c r="E45" s="57">
        <f>E34+E43</f>
        <v>-769620.81985370815</v>
      </c>
      <c r="F45" s="57">
        <f t="shared" si="3"/>
        <v>1338847.8049410891</v>
      </c>
      <c r="G45" s="58">
        <f t="shared" si="3"/>
        <v>-1441310.0149770002</v>
      </c>
    </row>
    <row r="46" spans="1:9" s="10" customFormat="1" ht="15.75" thickBot="1" x14ac:dyDescent="0.3">
      <c r="A46" s="45"/>
      <c r="B46" s="46"/>
      <c r="C46" s="46"/>
      <c r="D46" s="46"/>
      <c r="E46" s="47"/>
      <c r="F46" s="47"/>
      <c r="G46" s="46"/>
    </row>
    <row r="47" spans="1:9" ht="15.75" thickBot="1" x14ac:dyDescent="0.3">
      <c r="A47" s="215" t="s">
        <v>11</v>
      </c>
      <c r="B47" s="204"/>
      <c r="C47" s="216"/>
      <c r="D47" s="112">
        <v>560000000</v>
      </c>
      <c r="E47" s="114"/>
      <c r="F47" s="114"/>
      <c r="G47" s="112">
        <v>560000000</v>
      </c>
    </row>
    <row r="48" spans="1:9" x14ac:dyDescent="0.25">
      <c r="B48" s="1" t="s">
        <v>54</v>
      </c>
      <c r="C48" s="2"/>
      <c r="D48" s="15">
        <f>SUM(B45:D45)*1.029768</f>
        <v>-2210220.0446896115</v>
      </c>
      <c r="E48" s="1" t="s">
        <v>55</v>
      </c>
      <c r="F48" s="2"/>
      <c r="G48" s="15">
        <f>SUM(E45:G45)*1.029768</f>
        <v>-898043.19752337341</v>
      </c>
    </row>
    <row r="49" spans="1:7" ht="15" customHeight="1" x14ac:dyDescent="0.25">
      <c r="B49" s="222">
        <f>D48/D47</f>
        <v>-3.9468215083743067E-3</v>
      </c>
      <c r="C49" s="223"/>
      <c r="D49" s="224"/>
      <c r="E49" s="222">
        <f>G48/G47</f>
        <v>-1.603648567006024E-3</v>
      </c>
      <c r="F49" s="223"/>
      <c r="G49" s="224"/>
    </row>
    <row r="50" spans="1:7" ht="15.75" thickBot="1" x14ac:dyDescent="0.3">
      <c r="B50" s="225"/>
      <c r="C50" s="226"/>
      <c r="D50" s="227"/>
      <c r="E50" s="225"/>
      <c r="F50" s="226"/>
      <c r="G50" s="227"/>
    </row>
    <row r="51" spans="1:7" x14ac:dyDescent="0.25">
      <c r="F51" s="6"/>
      <c r="G51" s="7"/>
    </row>
    <row r="52" spans="1:7" x14ac:dyDescent="0.25">
      <c r="F52" s="6"/>
      <c r="G52" s="7"/>
    </row>
    <row r="53" spans="1:7" x14ac:dyDescent="0.25">
      <c r="A53" s="63" t="s">
        <v>60</v>
      </c>
      <c r="B53" s="10"/>
      <c r="C53" s="10"/>
      <c r="D53" s="10"/>
      <c r="E53" s="10"/>
    </row>
    <row r="54" spans="1:7" ht="30" x14ac:dyDescent="0.25">
      <c r="A54" s="158" t="s">
        <v>65</v>
      </c>
      <c r="B54" s="160" t="s">
        <v>83</v>
      </c>
      <c r="C54" s="160" t="s">
        <v>75</v>
      </c>
      <c r="D54" s="161" t="s">
        <v>61</v>
      </c>
      <c r="E54" s="161" t="s">
        <v>67</v>
      </c>
    </row>
    <row r="55" spans="1:7" x14ac:dyDescent="0.25">
      <c r="A55" s="12" t="s">
        <v>4</v>
      </c>
      <c r="B55" s="147">
        <f>'(2)(a)(iii)(A) and (B)'!E17</f>
        <v>288536</v>
      </c>
      <c r="C55" s="147">
        <v>284939</v>
      </c>
      <c r="D55" s="147">
        <v>132661</v>
      </c>
      <c r="E55" s="162">
        <v>5.99</v>
      </c>
      <c r="G55" s="146"/>
    </row>
    <row r="56" spans="1:7" x14ac:dyDescent="0.25">
      <c r="A56" s="12" t="s">
        <v>56</v>
      </c>
      <c r="B56" s="147">
        <f>'(2)(a)(iii)(A) and (B)'!E14</f>
        <v>353864</v>
      </c>
      <c r="C56" s="147">
        <v>371948</v>
      </c>
      <c r="D56" s="147">
        <v>0</v>
      </c>
      <c r="E56" s="162">
        <v>7.5</v>
      </c>
      <c r="G56" s="146"/>
    </row>
    <row r="57" spans="1:7" x14ac:dyDescent="0.25">
      <c r="A57" s="12" t="s">
        <v>82</v>
      </c>
      <c r="B57" s="147">
        <f>'(2)(a)(iii)(A) and (B)'!E22</f>
        <v>104087</v>
      </c>
      <c r="C57" s="147">
        <v>425688</v>
      </c>
      <c r="D57" s="147">
        <v>0</v>
      </c>
      <c r="E57" s="162">
        <v>7.5</v>
      </c>
    </row>
    <row r="58" spans="1:7" s="10" customFormat="1" x14ac:dyDescent="0.25">
      <c r="A58" s="12" t="s">
        <v>90</v>
      </c>
      <c r="B58" s="147">
        <v>188388</v>
      </c>
      <c r="C58" s="147">
        <v>188388</v>
      </c>
      <c r="D58" s="147"/>
      <c r="E58" s="162">
        <v>1.65</v>
      </c>
    </row>
    <row r="59" spans="1:7" s="10" customFormat="1" x14ac:dyDescent="0.25"/>
    <row r="60" spans="1:7" s="10" customFormat="1" ht="30" x14ac:dyDescent="0.25">
      <c r="A60" s="12"/>
      <c r="B60" s="157" t="s">
        <v>91</v>
      </c>
      <c r="C60" s="157"/>
      <c r="D60" s="158" t="s">
        <v>68</v>
      </c>
    </row>
    <row r="61" spans="1:7" x14ac:dyDescent="0.25">
      <c r="A61" s="12" t="s">
        <v>4</v>
      </c>
      <c r="B61" s="147">
        <v>151741</v>
      </c>
      <c r="C61" s="147"/>
      <c r="D61" s="147">
        <v>288953</v>
      </c>
    </row>
    <row r="62" spans="1:7" x14ac:dyDescent="0.25">
      <c r="A62" s="12" t="s">
        <v>66</v>
      </c>
      <c r="B62" s="159">
        <v>371948</v>
      </c>
      <c r="C62" s="159"/>
      <c r="D62" s="147">
        <f>'(2)(a)(i) One Time (all)'!B49</f>
        <v>419671.41575091</v>
      </c>
    </row>
    <row r="63" spans="1:7" x14ac:dyDescent="0.25">
      <c r="A63" s="12" t="s">
        <v>82</v>
      </c>
      <c r="B63" s="147">
        <v>425688</v>
      </c>
      <c r="C63" s="147"/>
      <c r="D63" s="147">
        <f>'(2)(a)(i) One Time (all)'!B65</f>
        <v>558877.19999999995</v>
      </c>
    </row>
    <row r="64" spans="1:7" x14ac:dyDescent="0.25">
      <c r="A64" s="12" t="s">
        <v>90</v>
      </c>
      <c r="B64" s="147">
        <v>188388</v>
      </c>
      <c r="C64" s="147"/>
      <c r="D64" s="147">
        <v>188388</v>
      </c>
    </row>
  </sheetData>
  <mergeCells count="15">
    <mergeCell ref="A1:G1"/>
    <mergeCell ref="G14:G15"/>
    <mergeCell ref="A47:C47"/>
    <mergeCell ref="B49:D50"/>
    <mergeCell ref="E49:G50"/>
    <mergeCell ref="A2:G5"/>
    <mergeCell ref="A6:G11"/>
    <mergeCell ref="A13:A15"/>
    <mergeCell ref="B13:D13"/>
    <mergeCell ref="E13:G13"/>
    <mergeCell ref="B14:B15"/>
    <mergeCell ref="C14:C15"/>
    <mergeCell ref="D14:D15"/>
    <mergeCell ref="E14:E15"/>
    <mergeCell ref="F14:F15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8"/>
  <sheetViews>
    <sheetView topLeftCell="A25" workbookViewId="0">
      <selection activeCell="B46" sqref="B46"/>
    </sheetView>
  </sheetViews>
  <sheetFormatPr defaultRowHeight="15" x14ac:dyDescent="0.25"/>
  <cols>
    <col min="1" max="1" width="24.28515625" style="8" bestFit="1" customWidth="1"/>
    <col min="2" max="2" width="21.28515625" style="8" customWidth="1"/>
    <col min="3" max="3" width="18.28515625" style="8" customWidth="1"/>
    <col min="4" max="4" width="23.42578125" style="8" customWidth="1"/>
    <col min="5" max="5" width="32.28515625" style="8" customWidth="1"/>
    <col min="6" max="6" width="49.85546875" style="8" customWidth="1"/>
    <col min="7" max="16384" width="9.140625" style="8"/>
  </cols>
  <sheetData>
    <row r="1" spans="1:6" ht="31.5" customHeight="1" thickBot="1" x14ac:dyDescent="0.4">
      <c r="A1" s="220" t="s">
        <v>93</v>
      </c>
      <c r="B1" s="228"/>
      <c r="C1" s="228"/>
      <c r="D1" s="228"/>
      <c r="E1" s="228"/>
      <c r="F1" s="228"/>
    </row>
    <row r="2" spans="1:6" ht="50.25" customHeight="1" thickBot="1" x14ac:dyDescent="0.4">
      <c r="A2" s="107">
        <v>2023</v>
      </c>
      <c r="B2" s="235" t="s">
        <v>17</v>
      </c>
      <c r="C2" s="236"/>
      <c r="D2" s="236"/>
      <c r="E2" s="236"/>
      <c r="F2" s="236"/>
    </row>
    <row r="3" spans="1:6" ht="15.75" customHeight="1" thickBot="1" x14ac:dyDescent="0.4">
      <c r="A3" s="11"/>
      <c r="B3" s="229" t="s">
        <v>1</v>
      </c>
      <c r="C3" s="230"/>
      <c r="D3" s="231"/>
      <c r="E3" s="229" t="s">
        <v>15</v>
      </c>
      <c r="F3" s="231"/>
    </row>
    <row r="4" spans="1:6" ht="45" x14ac:dyDescent="0.25">
      <c r="A4" s="20" t="s">
        <v>2</v>
      </c>
      <c r="B4" s="21" t="s">
        <v>12</v>
      </c>
      <c r="C4" s="21" t="s">
        <v>13</v>
      </c>
      <c r="D4" s="21" t="s">
        <v>16</v>
      </c>
      <c r="E4" s="21" t="s">
        <v>14</v>
      </c>
      <c r="F4" s="21" t="s">
        <v>20</v>
      </c>
    </row>
    <row r="5" spans="1:6" x14ac:dyDescent="0.25">
      <c r="A5" s="22" t="s">
        <v>21</v>
      </c>
      <c r="B5" s="105">
        <f>'(2)(a)(i) One Time (all)'!G16</f>
        <v>-155825.32874060509</v>
      </c>
      <c r="C5" s="19">
        <v>2015</v>
      </c>
      <c r="D5" s="106">
        <f>B5/C5</f>
        <v>-77.332669350176232</v>
      </c>
      <c r="E5" s="122">
        <v>1875</v>
      </c>
      <c r="F5" s="23">
        <f>E5*D5</f>
        <v>-144998.75503158043</v>
      </c>
    </row>
    <row r="6" spans="1:6" x14ac:dyDescent="0.25">
      <c r="A6" s="24" t="s">
        <v>22</v>
      </c>
      <c r="B6" s="105">
        <f>'(2)(a)(i) One Time (all)'!G17</f>
        <v>-1017345.7078353526</v>
      </c>
      <c r="C6" s="19">
        <v>12319</v>
      </c>
      <c r="D6" s="106">
        <f t="shared" ref="D6:D12" si="0">B6/C6</f>
        <v>-82.583465202967176</v>
      </c>
      <c r="E6" s="122">
        <v>9621</v>
      </c>
      <c r="F6" s="23">
        <f t="shared" ref="F6:F15" si="1">E6*D6</f>
        <v>-794535.51871774718</v>
      </c>
    </row>
    <row r="7" spans="1:6" x14ac:dyDescent="0.25">
      <c r="A7" s="24" t="s">
        <v>23</v>
      </c>
      <c r="B7" s="105">
        <f>'(2)(a)(i) One Time (all)'!G18</f>
        <v>-2527658.7871261169</v>
      </c>
      <c r="C7" s="19">
        <v>23465</v>
      </c>
      <c r="D7" s="106">
        <f t="shared" si="0"/>
        <v>-107.7203830013261</v>
      </c>
      <c r="E7" s="122">
        <v>1332</v>
      </c>
      <c r="F7" s="23">
        <f t="shared" si="1"/>
        <v>-143483.55015776635</v>
      </c>
    </row>
    <row r="8" spans="1:6" x14ac:dyDescent="0.25">
      <c r="A8" s="24" t="s">
        <v>24</v>
      </c>
      <c r="B8" s="105">
        <f>'(2)(a)(i) One Time (all)'!G19</f>
        <v>-2728006.8917778786</v>
      </c>
      <c r="C8" s="19">
        <v>20379</v>
      </c>
      <c r="D8" s="106">
        <f t="shared" si="0"/>
        <v>-133.8636288227037</v>
      </c>
      <c r="E8" s="122">
        <v>9500</v>
      </c>
      <c r="F8" s="23">
        <f t="shared" si="1"/>
        <v>-1271704.4738156851</v>
      </c>
    </row>
    <row r="9" spans="1:6" x14ac:dyDescent="0.25">
      <c r="A9" s="24" t="s">
        <v>25</v>
      </c>
      <c r="B9" s="105">
        <f>'(2)(a)(i) One Time (all)'!G20</f>
        <v>-1899932.1023558602</v>
      </c>
      <c r="C9" s="19">
        <v>13662</v>
      </c>
      <c r="D9" s="106">
        <f t="shared" si="0"/>
        <v>-139.06690838499929</v>
      </c>
      <c r="E9" s="122">
        <v>13442</v>
      </c>
      <c r="F9" s="23">
        <f t="shared" si="1"/>
        <v>-1869337.3825111606</v>
      </c>
    </row>
    <row r="10" spans="1:6" x14ac:dyDescent="0.25">
      <c r="A10" s="24" t="s">
        <v>26</v>
      </c>
      <c r="B10" s="105">
        <f>'(2)(a)(i) One Time (all)'!G21</f>
        <v>-603357.27530905697</v>
      </c>
      <c r="C10" s="19">
        <v>26788</v>
      </c>
      <c r="D10" s="106">
        <f t="shared" si="0"/>
        <v>-22.523416280015567</v>
      </c>
      <c r="E10" s="122">
        <v>19549</v>
      </c>
      <c r="F10" s="23">
        <f t="shared" si="1"/>
        <v>-440310.26485802431</v>
      </c>
    </row>
    <row r="11" spans="1:6" x14ac:dyDescent="0.25">
      <c r="A11" s="24" t="s">
        <v>27</v>
      </c>
      <c r="B11" s="105">
        <f>'(2)(a)(i) One Time (all)'!G22</f>
        <v>-671624.72600253532</v>
      </c>
      <c r="C11" s="19">
        <v>8412</v>
      </c>
      <c r="D11" s="106">
        <f t="shared" si="0"/>
        <v>-79.841265573292361</v>
      </c>
      <c r="E11" s="122">
        <v>6417</v>
      </c>
      <c r="F11" s="23">
        <f t="shared" si="1"/>
        <v>-512341.40118381707</v>
      </c>
    </row>
    <row r="12" spans="1:6" x14ac:dyDescent="0.25">
      <c r="A12" s="24" t="s">
        <v>28</v>
      </c>
      <c r="B12" s="105">
        <f>'(2)(a)(i) One Time (all)'!G23</f>
        <v>-1087924.942091349</v>
      </c>
      <c r="C12" s="19">
        <v>32039</v>
      </c>
      <c r="D12" s="106">
        <f t="shared" si="0"/>
        <v>-33.956270236004528</v>
      </c>
      <c r="E12" s="122">
        <v>21245</v>
      </c>
      <c r="F12" s="23">
        <f t="shared" si="1"/>
        <v>-721400.96116391616</v>
      </c>
    </row>
    <row r="13" spans="1:6" x14ac:dyDescent="0.25">
      <c r="A13" s="24" t="s">
        <v>29</v>
      </c>
      <c r="B13" s="105">
        <f>'(2)(a)(i) One Time (all)'!G24</f>
        <v>-1133571.0805653024</v>
      </c>
      <c r="C13" s="19">
        <v>11742</v>
      </c>
      <c r="D13" s="106">
        <f>B13/C13</f>
        <v>-96.539863785156058</v>
      </c>
      <c r="E13" s="122">
        <v>11778</v>
      </c>
      <c r="F13" s="23">
        <f>E13*D13</f>
        <v>-1137046.5156615681</v>
      </c>
    </row>
    <row r="14" spans="1:6" x14ac:dyDescent="0.25">
      <c r="A14" s="24" t="s">
        <v>30</v>
      </c>
      <c r="B14" s="105">
        <f>'(2)(a)(ii)Annual-2023 actual'!B25</f>
        <v>2657473.5466065621</v>
      </c>
      <c r="C14" s="19">
        <f>'(2)(a)(ii)Annual-2023 actual'!B62</f>
        <v>371948</v>
      </c>
      <c r="D14" s="106">
        <f>B14/C14</f>
        <v>7.1447448207990423</v>
      </c>
      <c r="E14" s="122">
        <v>353864</v>
      </c>
      <c r="F14" s="23">
        <f>E14*D14</f>
        <v>2528267.9812672324</v>
      </c>
    </row>
    <row r="15" spans="1:6" x14ac:dyDescent="0.25">
      <c r="A15" s="24" t="s">
        <v>42</v>
      </c>
      <c r="B15" s="105">
        <f>'(2)(a)(i) One Time (all)'!G26</f>
        <v>1669354.461419527</v>
      </c>
      <c r="C15" s="19">
        <v>18099</v>
      </c>
      <c r="D15" s="106">
        <f>B15/C15</f>
        <v>92.234624090807614</v>
      </c>
      <c r="E15" s="122">
        <v>14469</v>
      </c>
      <c r="F15" s="23">
        <f t="shared" si="1"/>
        <v>1334542.7759698953</v>
      </c>
    </row>
    <row r="16" spans="1:6" x14ac:dyDescent="0.25">
      <c r="A16" s="24" t="s">
        <v>43</v>
      </c>
      <c r="B16" s="105">
        <f>'(2)(a)(i) One Time (all)'!G27</f>
        <v>2547344.3177372161</v>
      </c>
      <c r="C16" s="19">
        <v>18274</v>
      </c>
      <c r="D16" s="106">
        <f t="shared" ref="D16:D22" si="2">B16/C16</f>
        <v>139.39719370347029</v>
      </c>
      <c r="E16" s="122">
        <v>15192</v>
      </c>
      <c r="F16" s="23">
        <f>E16*D16</f>
        <v>2117722.1667431206</v>
      </c>
    </row>
    <row r="17" spans="1:12" x14ac:dyDescent="0.25">
      <c r="A17" s="24" t="s">
        <v>4</v>
      </c>
      <c r="B17" s="105">
        <v>0</v>
      </c>
      <c r="C17" s="19">
        <f>'(2)(a)(ii)Annual-2023 actual'!B61</f>
        <v>151741</v>
      </c>
      <c r="D17" s="106">
        <f t="shared" si="2"/>
        <v>0</v>
      </c>
      <c r="E17" s="122">
        <v>288536</v>
      </c>
      <c r="F17" s="23">
        <f t="shared" ref="F17:F21" si="3">E17*D17</f>
        <v>0</v>
      </c>
    </row>
    <row r="18" spans="1:12" x14ac:dyDescent="0.25">
      <c r="A18" s="25" t="s">
        <v>46</v>
      </c>
      <c r="B18" s="18">
        <v>0</v>
      </c>
      <c r="C18" s="18">
        <v>0</v>
      </c>
      <c r="D18" s="106"/>
      <c r="E18" s="122">
        <v>0</v>
      </c>
      <c r="F18" s="23">
        <f t="shared" si="3"/>
        <v>0</v>
      </c>
      <c r="K18" s="113"/>
      <c r="L18" s="113"/>
    </row>
    <row r="19" spans="1:12" x14ac:dyDescent="0.25">
      <c r="A19" s="25" t="s">
        <v>76</v>
      </c>
      <c r="B19" s="18">
        <v>0</v>
      </c>
      <c r="C19" s="18">
        <v>0</v>
      </c>
      <c r="D19" s="106"/>
      <c r="E19" s="122">
        <v>0</v>
      </c>
      <c r="F19" s="23">
        <f t="shared" si="3"/>
        <v>0</v>
      </c>
    </row>
    <row r="20" spans="1:12" x14ac:dyDescent="0.25">
      <c r="A20" s="25" t="s">
        <v>77</v>
      </c>
      <c r="B20" s="18">
        <v>0</v>
      </c>
      <c r="C20" s="18">
        <v>0</v>
      </c>
      <c r="D20" s="106"/>
      <c r="E20" s="122">
        <v>1010</v>
      </c>
      <c r="F20" s="23">
        <f t="shared" si="3"/>
        <v>0</v>
      </c>
    </row>
    <row r="21" spans="1:12" x14ac:dyDescent="0.25">
      <c r="A21" s="25" t="s">
        <v>78</v>
      </c>
      <c r="B21" s="18">
        <v>0</v>
      </c>
      <c r="C21" s="18">
        <v>0</v>
      </c>
      <c r="D21" s="106"/>
      <c r="E21" s="122">
        <v>0</v>
      </c>
      <c r="F21" s="23">
        <f t="shared" si="3"/>
        <v>0</v>
      </c>
    </row>
    <row r="22" spans="1:12" x14ac:dyDescent="0.25">
      <c r="A22" s="25" t="s">
        <v>80</v>
      </c>
      <c r="B22" s="18">
        <v>0</v>
      </c>
      <c r="C22" s="18">
        <f>'(2)(a)(ii)Annual-2023 actual'!B63</f>
        <v>425688</v>
      </c>
      <c r="D22" s="106">
        <f t="shared" si="2"/>
        <v>0</v>
      </c>
      <c r="E22" s="122">
        <v>104087</v>
      </c>
      <c r="F22" s="23">
        <f>E22*D22</f>
        <v>0</v>
      </c>
    </row>
    <row r="23" spans="1:12" x14ac:dyDescent="0.25">
      <c r="A23" s="241" t="s">
        <v>94</v>
      </c>
      <c r="B23" s="242"/>
      <c r="C23" s="242"/>
      <c r="D23" s="243"/>
      <c r="E23" s="244"/>
      <c r="F23" s="245"/>
    </row>
    <row r="25" spans="1:12" ht="52.5" customHeight="1" thickBot="1" x14ac:dyDescent="0.4">
      <c r="A25" s="123">
        <v>2024</v>
      </c>
      <c r="B25" s="237" t="s">
        <v>17</v>
      </c>
      <c r="C25" s="238"/>
      <c r="D25" s="238"/>
      <c r="E25" s="238"/>
      <c r="F25" s="238"/>
    </row>
    <row r="26" spans="1:12" ht="18" customHeight="1" x14ac:dyDescent="0.35">
      <c r="A26" s="107"/>
      <c r="B26" s="232" t="s">
        <v>1</v>
      </c>
      <c r="C26" s="233"/>
      <c r="D26" s="234"/>
      <c r="E26" s="232" t="s">
        <v>15</v>
      </c>
      <c r="F26" s="234"/>
    </row>
    <row r="27" spans="1:12" ht="45" x14ac:dyDescent="0.25">
      <c r="A27" s="108" t="s">
        <v>2</v>
      </c>
      <c r="B27" s="108" t="s">
        <v>12</v>
      </c>
      <c r="C27" s="108" t="s">
        <v>13</v>
      </c>
      <c r="D27" s="108" t="s">
        <v>16</v>
      </c>
      <c r="E27" s="108" t="s">
        <v>14</v>
      </c>
      <c r="F27" s="108" t="s">
        <v>20</v>
      </c>
    </row>
    <row r="28" spans="1:12" x14ac:dyDescent="0.25">
      <c r="A28" s="109" t="s">
        <v>21</v>
      </c>
      <c r="B28" s="19">
        <f>'(2)(a)(i) One Time (all)'!G16</f>
        <v>-155825.32874060509</v>
      </c>
      <c r="C28" s="19">
        <v>1784</v>
      </c>
      <c r="D28" s="105">
        <f>B28/C28</f>
        <v>-87.346036289576844</v>
      </c>
      <c r="E28" s="122">
        <v>2063</v>
      </c>
      <c r="F28" s="105">
        <f>E28*D28</f>
        <v>-180194.87286539702</v>
      </c>
    </row>
    <row r="29" spans="1:12" x14ac:dyDescent="0.25">
      <c r="A29" s="25" t="s">
        <v>22</v>
      </c>
      <c r="B29" s="19">
        <f>'(2)(a)(i) One Time (all)'!G17</f>
        <v>-1017345.7078353526</v>
      </c>
      <c r="C29" s="19">
        <v>9927</v>
      </c>
      <c r="D29" s="105">
        <f t="shared" ref="D29:D39" si="4">B29/C29</f>
        <v>-102.48269445304247</v>
      </c>
      <c r="E29" s="122">
        <v>13206</v>
      </c>
      <c r="F29" s="105">
        <f t="shared" ref="F29:F40" si="5">E29*D29</f>
        <v>-1353386.4629468787</v>
      </c>
    </row>
    <row r="30" spans="1:12" x14ac:dyDescent="0.25">
      <c r="A30" s="25" t="s">
        <v>23</v>
      </c>
      <c r="B30" s="19">
        <f>'(2)(a)(i) One Time (all)'!G18</f>
        <v>-2527658.7871261169</v>
      </c>
      <c r="C30" s="19">
        <v>17685</v>
      </c>
      <c r="D30" s="105">
        <f t="shared" si="4"/>
        <v>-142.92670552027803</v>
      </c>
      <c r="E30" s="122">
        <v>14870</v>
      </c>
      <c r="F30" s="105">
        <f>E30*D30</f>
        <v>-2125320.1110865343</v>
      </c>
    </row>
    <row r="31" spans="1:12" x14ac:dyDescent="0.25">
      <c r="A31" s="25" t="s">
        <v>24</v>
      </c>
      <c r="B31" s="19">
        <f>'(2)(a)(i) One Time (all)'!G19</f>
        <v>-2728006.8917778786</v>
      </c>
      <c r="C31" s="19">
        <v>15973</v>
      </c>
      <c r="D31" s="105">
        <f t="shared" si="4"/>
        <v>-170.78863656031294</v>
      </c>
      <c r="E31" s="122">
        <v>10733</v>
      </c>
      <c r="F31" s="105">
        <f t="shared" si="5"/>
        <v>-1833074.4362018388</v>
      </c>
    </row>
    <row r="32" spans="1:12" x14ac:dyDescent="0.25">
      <c r="A32" s="25" t="s">
        <v>25</v>
      </c>
      <c r="B32" s="19">
        <f>'(2)(a)(i) One Time (all)'!G20</f>
        <v>-1899932.1023558602</v>
      </c>
      <c r="C32" s="19">
        <v>16433</v>
      </c>
      <c r="D32" s="105">
        <f t="shared" si="4"/>
        <v>-115.61687472499605</v>
      </c>
      <c r="E32" s="122">
        <v>14310</v>
      </c>
      <c r="F32" s="105">
        <f t="shared" si="5"/>
        <v>-1654477.4773146934</v>
      </c>
    </row>
    <row r="33" spans="1:11" x14ac:dyDescent="0.25">
      <c r="A33" s="25" t="s">
        <v>26</v>
      </c>
      <c r="B33" s="19">
        <f>'(2)(a)(i) One Time (all)'!G21</f>
        <v>-603357.27530905697</v>
      </c>
      <c r="C33" s="19">
        <v>24585</v>
      </c>
      <c r="D33" s="105">
        <f t="shared" si="4"/>
        <v>-24.541682949321007</v>
      </c>
      <c r="E33" s="122">
        <v>21315</v>
      </c>
      <c r="F33" s="105">
        <f t="shared" si="5"/>
        <v>-523105.97206477728</v>
      </c>
    </row>
    <row r="34" spans="1:11" x14ac:dyDescent="0.25">
      <c r="A34" s="25" t="s">
        <v>27</v>
      </c>
      <c r="B34" s="19">
        <f>'(2)(a)(i) One Time (all)'!G22</f>
        <v>-671624.72600253532</v>
      </c>
      <c r="C34" s="19">
        <v>7427</v>
      </c>
      <c r="D34" s="105">
        <f t="shared" si="4"/>
        <v>-90.430150262896902</v>
      </c>
      <c r="E34" s="122">
        <v>6345</v>
      </c>
      <c r="F34" s="105">
        <f t="shared" si="5"/>
        <v>-573779.30341808079</v>
      </c>
    </row>
    <row r="35" spans="1:11" x14ac:dyDescent="0.25">
      <c r="A35" s="25" t="s">
        <v>28</v>
      </c>
      <c r="B35" s="19">
        <f>'(2)(a)(i) One Time (all)'!G23</f>
        <v>-1087924.942091349</v>
      </c>
      <c r="C35" s="19">
        <v>31666</v>
      </c>
      <c r="D35" s="105">
        <f t="shared" si="4"/>
        <v>-34.35624777652211</v>
      </c>
      <c r="E35" s="122">
        <v>20875</v>
      </c>
      <c r="F35" s="105">
        <f t="shared" si="5"/>
        <v>-717186.67233489908</v>
      </c>
    </row>
    <row r="36" spans="1:11" x14ac:dyDescent="0.25">
      <c r="A36" s="25" t="s">
        <v>29</v>
      </c>
      <c r="B36" s="19">
        <f>'(2)(a)(i) One Time (all)'!G24</f>
        <v>-1133571.0805653024</v>
      </c>
      <c r="C36" s="19">
        <v>104742</v>
      </c>
      <c r="D36" s="105">
        <f t="shared" si="4"/>
        <v>-10.822507500002887</v>
      </c>
      <c r="E36" s="122">
        <v>13202</v>
      </c>
      <c r="F36" s="105">
        <f t="shared" si="5"/>
        <v>-142878.7440150381</v>
      </c>
    </row>
    <row r="37" spans="1:11" x14ac:dyDescent="0.25">
      <c r="A37" s="25" t="s">
        <v>30</v>
      </c>
      <c r="B37" s="19">
        <f>'(2)(a)(ii)Annual-2024, estimate'!B25</f>
        <v>2763978.8287012489</v>
      </c>
      <c r="C37" s="19">
        <v>384719</v>
      </c>
      <c r="D37" s="106">
        <f>B37/C37</f>
        <v>7.1844094747107601</v>
      </c>
      <c r="E37" s="122">
        <v>370320</v>
      </c>
      <c r="F37" s="105">
        <f>E37*D37</f>
        <v>2660530.5166748888</v>
      </c>
      <c r="J37" s="113"/>
      <c r="K37" s="113"/>
    </row>
    <row r="38" spans="1:11" x14ac:dyDescent="0.25">
      <c r="A38" s="25" t="s">
        <v>42</v>
      </c>
      <c r="B38" s="110">
        <f>'(2)(a)(i) One Time (all)'!G26</f>
        <v>1669354.461419527</v>
      </c>
      <c r="C38" s="19">
        <v>18099</v>
      </c>
      <c r="D38" s="105">
        <f t="shared" si="4"/>
        <v>92.234624090807614</v>
      </c>
      <c r="E38" s="122">
        <v>15048</v>
      </c>
      <c r="F38" s="105">
        <f t="shared" ref="F38:F39" si="6">E38*D38</f>
        <v>1387946.6233184729</v>
      </c>
    </row>
    <row r="39" spans="1:11" x14ac:dyDescent="0.25">
      <c r="A39" s="25" t="s">
        <v>43</v>
      </c>
      <c r="B39" s="110">
        <f>'(2)(a)(i) One Time (all)'!G27</f>
        <v>2547344.3177372161</v>
      </c>
      <c r="C39" s="19">
        <v>17143</v>
      </c>
      <c r="D39" s="105">
        <f t="shared" si="4"/>
        <v>148.59384691927994</v>
      </c>
      <c r="E39" s="122">
        <v>15900</v>
      </c>
      <c r="F39" s="105">
        <f t="shared" si="6"/>
        <v>2362642.1660165512</v>
      </c>
    </row>
    <row r="40" spans="1:11" x14ac:dyDescent="0.25">
      <c r="A40" s="25" t="s">
        <v>4</v>
      </c>
      <c r="B40" s="19">
        <f>'(2)(a)(i) One Time (all)'!G28</f>
        <v>0</v>
      </c>
      <c r="C40" s="19">
        <v>297570</v>
      </c>
      <c r="D40" s="105">
        <v>0</v>
      </c>
      <c r="E40" s="122">
        <v>336116</v>
      </c>
      <c r="F40" s="105">
        <f t="shared" si="5"/>
        <v>0</v>
      </c>
    </row>
    <row r="41" spans="1:11" x14ac:dyDescent="0.25">
      <c r="A41" s="25" t="s">
        <v>46</v>
      </c>
      <c r="B41" s="19">
        <v>0</v>
      </c>
      <c r="C41" s="19">
        <v>0</v>
      </c>
      <c r="D41" s="19">
        <v>0</v>
      </c>
      <c r="E41" s="122">
        <v>0</v>
      </c>
      <c r="F41" s="19">
        <v>0</v>
      </c>
    </row>
    <row r="42" spans="1:11" x14ac:dyDescent="0.25">
      <c r="A42" s="25" t="s">
        <v>76</v>
      </c>
      <c r="B42" s="19">
        <f>'(2)(a)(i) One Time (all)'!G30</f>
        <v>-11668.011026964456</v>
      </c>
      <c r="C42" s="19">
        <v>1090</v>
      </c>
      <c r="D42" s="19">
        <v>0</v>
      </c>
      <c r="E42" s="122">
        <v>1010</v>
      </c>
      <c r="F42" s="19">
        <v>0</v>
      </c>
    </row>
    <row r="43" spans="1:11" x14ac:dyDescent="0.25">
      <c r="A43" s="25" t="s">
        <v>77</v>
      </c>
      <c r="B43" s="19">
        <f>'(2)(a)(i) One Time (all)'!G31</f>
        <v>0</v>
      </c>
      <c r="C43" s="19">
        <f>'(2)(a)(ii)Annual-2024, estimate'!C60</f>
        <v>124420</v>
      </c>
      <c r="D43" s="19">
        <v>0</v>
      </c>
      <c r="E43" s="122">
        <v>0</v>
      </c>
      <c r="F43" s="19">
        <v>0</v>
      </c>
    </row>
    <row r="44" spans="1:11" x14ac:dyDescent="0.25">
      <c r="A44" s="25" t="s">
        <v>78</v>
      </c>
      <c r="B44" s="19">
        <f>'(2)(a)(i) One Time (all)'!G32</f>
        <v>0</v>
      </c>
      <c r="C44" s="19">
        <f>'(2)(a)(ii)Annual-2024, estimate'!C61</f>
        <v>0</v>
      </c>
      <c r="D44" s="19">
        <v>0</v>
      </c>
      <c r="E44" s="122">
        <v>0</v>
      </c>
      <c r="F44" s="19">
        <v>0</v>
      </c>
    </row>
    <row r="45" spans="1:11" x14ac:dyDescent="0.25">
      <c r="A45" s="25" t="s">
        <v>80</v>
      </c>
      <c r="B45" s="19">
        <f>'(2)(a)(ii)Annual-2024, estimate'!B32</f>
        <v>-1454364.2491064782</v>
      </c>
      <c r="C45" s="19">
        <v>514746</v>
      </c>
      <c r="D45" s="145">
        <f>B45/C45</f>
        <v>-2.8254017498076296</v>
      </c>
      <c r="E45" s="122">
        <v>17258</v>
      </c>
      <c r="F45" s="132">
        <f>E45*D45</f>
        <v>-48760.783398180072</v>
      </c>
    </row>
    <row r="46" spans="1:11" x14ac:dyDescent="0.25">
      <c r="A46" s="25" t="s">
        <v>94</v>
      </c>
      <c r="B46" s="19" t="str">
        <f>'(2)(a)(ii)Annual-2024, estimate'!B33</f>
        <v xml:space="preserve">  </v>
      </c>
      <c r="C46" s="19">
        <v>514747</v>
      </c>
      <c r="D46" s="145" t="e">
        <f>B46/C46</f>
        <v>#VALUE!</v>
      </c>
      <c r="E46" s="122">
        <v>0</v>
      </c>
      <c r="F46" s="132" t="e">
        <f>E46*D46</f>
        <v>#VALUE!</v>
      </c>
    </row>
    <row r="48" spans="1:11" x14ac:dyDescent="0.25">
      <c r="E48" s="113"/>
    </row>
  </sheetData>
  <mergeCells count="7">
    <mergeCell ref="A1:F1"/>
    <mergeCell ref="B3:D3"/>
    <mergeCell ref="E3:F3"/>
    <mergeCell ref="B26:D26"/>
    <mergeCell ref="E26:F26"/>
    <mergeCell ref="B2:F2"/>
    <mergeCell ref="B25:F2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19A2AAE6E71604E8339489AA3DBC626" ma:contentTypeVersion="16" ma:contentTypeDescription="" ma:contentTypeScope="" ma:versionID="2f8063401bf4bd4b9cc046c9fbacf13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2024-05-31T07:00:00+00:00</OpenedDate>
    <SignificantOrder xmlns="dc463f71-b30c-4ab2-9473-d307f9d35888">false</SignificantOrder>
    <Date1 xmlns="dc463f71-b30c-4ab2-9473-d307f9d35888">2024-05-31T07:00:00+00:00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240421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F3F01CF-BAF8-4AD9-9F8F-57D60CF4A64F}"/>
</file>

<file path=customXml/itemProps2.xml><?xml version="1.0" encoding="utf-8"?>
<ds:datastoreItem xmlns:ds="http://schemas.openxmlformats.org/officeDocument/2006/customXml" ds:itemID="{2C4A8D97-C6D3-4470-A80C-798E1D9F7597}"/>
</file>

<file path=customXml/itemProps3.xml><?xml version="1.0" encoding="utf-8"?>
<ds:datastoreItem xmlns:ds="http://schemas.openxmlformats.org/officeDocument/2006/customXml" ds:itemID="{CB86E585-57C6-4A78-A1B7-0692B984A150}"/>
</file>

<file path=customXml/itemProps4.xml><?xml version="1.0" encoding="utf-8"?>
<ds:datastoreItem xmlns:ds="http://schemas.openxmlformats.org/officeDocument/2006/customXml" ds:itemID="{7943009F-FBB1-4407-A42F-39406271C0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(2)(a)(i) One Time (all)</vt:lpstr>
      <vt:lpstr>(2)(a)(ii)Annual-2024, estimate</vt:lpstr>
      <vt:lpstr>(2)(a)(ii)Annual-2023 actual</vt:lpstr>
      <vt:lpstr>(2)(a)(iii)(A) and (B)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Scanlan, Kathi (UTC)</dc:creator>
  <cp:lastModifiedBy>Lyons, John</cp:lastModifiedBy>
  <dcterms:created xsi:type="dcterms:W3CDTF">2016-07-07T17:22:29Z</dcterms:created>
  <dcterms:modified xsi:type="dcterms:W3CDTF">2024-05-30T19:42:23Z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{3AE1FDE3-8B20-4889-983C-824E00BFC41A}</vt:lpwstr>
  </property>
  <property fmtid="{D5CDD505-2E9C-101B-9397-08002B2CF9AE}" pid="3" name="ContentTypeId">
    <vt:lpwstr>0x0101006E56B4D1795A2E4DB2F0B01679ED314A00919A2AAE6E71604E8339489AA3DBC626</vt:lpwstr>
  </property>
  <property fmtid="{D5CDD505-2E9C-101B-9397-08002B2CF9AE}" pid="4" name="_docset_NoMedatataSyncRequired">
    <vt:lpwstr>False</vt:lpwstr>
  </property>
</Properties>
</file>