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439DDE8-0697-4987-AF2B-624CEC458549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4 10 24 Forecast Usage by Sched" sheetId="13" r:id="rId1"/>
    <sheet name="Nat Gas 2024 Rate Calc" sheetId="7" r:id="rId2"/>
    <sheet name="Prior Year Amortization" sheetId="14" r:id="rId3"/>
    <sheet name="Earnings Test and 3% Test" sheetId="6" r:id="rId4"/>
    <sheet name="Conversion Factors" sheetId="2" r:id="rId5"/>
    <sheet name="Bill Impact" sheetId="15" r:id="rId6"/>
  </sheets>
  <definedNames>
    <definedName name="_xlnm.Print_Area" localSheetId="5">'Bill Impact'!$A$1:$N$37</definedName>
    <definedName name="_xlnm.Print_Area" localSheetId="4">'Conversion Factors'!$A$1:$F$116</definedName>
    <definedName name="_xlnm.Print_Area" localSheetId="3">'Earnings Test and 3% Test'!$A$1:$G$71</definedName>
    <definedName name="_xlnm.Print_Area" localSheetId="1">'Nat Gas 2024 Rate Calc'!$A$1:$L$88</definedName>
    <definedName name="_xlnm.Print_Area" localSheetId="2">'Prior Year Amortization'!$A$1:$H$37</definedName>
    <definedName name="_xlnm.Print_Titles" localSheetId="3">'Earnings Test and 3% Test'!$1:$4</definedName>
    <definedName name="Z_5C6B1FA1_B621_4699_B8F7_5011E8FF1BCD_.wvu.PrintArea" localSheetId="4" hidden="1">'Conversion Factors'!$A$1:$F$114</definedName>
    <definedName name="Z_5C6B1FA1_B621_4699_B8F7_5011E8FF1BCD_.wvu.PrintArea" localSheetId="3" hidden="1">'Earnings Test and 3% Test'!$B$1:$G$69</definedName>
    <definedName name="Z_5C6B1FA1_B621_4699_B8F7_5011E8FF1BCD_.wvu.PrintArea" localSheetId="1" hidden="1">'Nat Gas 2024 Rate Calc'!$B$1:$K$68</definedName>
    <definedName name="Z_5C6B1FA1_B621_4699_B8F7_5011E8FF1BCD_.wvu.PrintTitles" localSheetId="3" hidden="1">'Earnings Test and 3% Test'!$1:$4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Factors'!$A$1:$F$114</definedName>
    <definedName name="Z_6A207E9B_31ED_4215_AD4F_ABB2957B65E4_.wvu.PrintArea" localSheetId="3" hidden="1">'Earnings Test and 3% Test'!$I$6:$S$52</definedName>
    <definedName name="Z_6A207E9B_31ED_4215_AD4F_ABB2957B65E4_.wvu.PrintArea" localSheetId="1" hidden="1">'Nat Gas 2024 Rate Calc'!$B$1:$K$68</definedName>
    <definedName name="Z_6A207E9B_31ED_4215_AD4F_ABB2957B65E4_.wvu.PrintTitles" localSheetId="3" hidden="1">'Earnings Test and 3% Test'!$1:$4</definedName>
    <definedName name="Z_6A207E9B_31ED_4215_AD4F_ABB2957B65E4_.wvu.Rows" localSheetId="4" hidden="1">'Conversion Factors'!$1:$88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6" l="1"/>
  <c r="E14" i="6"/>
  <c r="H73" i="7"/>
  <c r="R25" i="15"/>
  <c r="E13" i="6" l="1"/>
  <c r="N5" i="13" l="1"/>
  <c r="M5" i="13"/>
  <c r="C26" i="14" l="1"/>
  <c r="C9" i="14"/>
  <c r="S26" i="15" l="1"/>
  <c r="J26" i="15"/>
  <c r="D13" i="15" l="1"/>
  <c r="L20" i="15"/>
  <c r="H34" i="14"/>
  <c r="D26" i="14"/>
  <c r="F26" i="14" s="1"/>
  <c r="C27" i="14" s="1"/>
  <c r="D27" i="14" s="1"/>
  <c r="F27" i="14" s="1"/>
  <c r="C28" i="14" s="1"/>
  <c r="D28" i="14" s="1"/>
  <c r="F28" i="14" s="1"/>
  <c r="C29" i="14" s="1"/>
  <c r="D9" i="14"/>
  <c r="F9" i="14" s="1"/>
  <c r="C10" i="14" s="1"/>
  <c r="D10" i="14" s="1"/>
  <c r="F10" i="14" s="1"/>
  <c r="C11" i="14" s="1"/>
  <c r="D11" i="14" s="1"/>
  <c r="F11" i="14" s="1"/>
  <c r="C12" i="14" s="1"/>
  <c r="E34" i="14" l="1"/>
  <c r="E17" i="14"/>
  <c r="H17" i="14"/>
  <c r="M6" i="13" l="1"/>
  <c r="G18" i="14" l="1"/>
  <c r="N9" i="13" l="1"/>
  <c r="N8" i="13"/>
  <c r="N7" i="13"/>
  <c r="N6" i="13"/>
  <c r="H35" i="14" s="1"/>
  <c r="E35" i="14" s="1"/>
  <c r="M8" i="13"/>
  <c r="C7" i="14"/>
  <c r="R29" i="15" l="1"/>
  <c r="R17" i="15"/>
  <c r="R16" i="15"/>
  <c r="Q17" i="15"/>
  <c r="R27" i="15"/>
  <c r="R26" i="15"/>
  <c r="J27" i="15" l="1"/>
  <c r="E26" i="6" l="1"/>
  <c r="H37" i="14" l="1"/>
  <c r="H36" i="14"/>
  <c r="H20" i="14"/>
  <c r="Q16" i="15" l="1"/>
  <c r="Q13" i="15"/>
  <c r="Q11" i="15"/>
  <c r="S29" i="15" l="1"/>
  <c r="S27" i="15"/>
  <c r="S25" i="15"/>
  <c r="S28" i="15" l="1"/>
  <c r="E15" i="6"/>
  <c r="E15" i="15" l="1"/>
  <c r="E13" i="15"/>
  <c r="E11" i="15"/>
  <c r="C24" i="14" l="1"/>
  <c r="E28" i="6"/>
  <c r="L22" i="15" l="1"/>
  <c r="G15" i="14" l="1"/>
  <c r="G16" i="14" s="1"/>
  <c r="H18" i="14" l="1"/>
  <c r="M7" i="13"/>
  <c r="H19" i="14" s="1"/>
  <c r="M9" i="13"/>
  <c r="M10" i="13"/>
  <c r="N10" i="13"/>
  <c r="M11" i="13"/>
  <c r="N11" i="13"/>
  <c r="M12" i="13"/>
  <c r="N12" i="13"/>
  <c r="H24" i="14" l="1"/>
  <c r="G34" i="14"/>
  <c r="G33" i="14"/>
  <c r="G32" i="14"/>
  <c r="D22" i="15" l="1"/>
  <c r="D11" i="15"/>
  <c r="H3" i="7" l="1"/>
  <c r="E106" i="2" l="1"/>
  <c r="K9" i="7" l="1"/>
  <c r="K10" i="7"/>
  <c r="K11" i="7"/>
  <c r="K12" i="7"/>
  <c r="N13" i="13"/>
  <c r="K13" i="7" s="1"/>
  <c r="N14" i="13"/>
  <c r="K14" i="7" s="1"/>
  <c r="N15" i="13"/>
  <c r="K15" i="7" s="1"/>
  <c r="N16" i="13"/>
  <c r="K16" i="7" s="1"/>
  <c r="N17" i="13"/>
  <c r="K17" i="7" s="1"/>
  <c r="N18" i="13"/>
  <c r="K18" i="7" s="1"/>
  <c r="N19" i="13"/>
  <c r="K19" i="7" s="1"/>
  <c r="N20" i="13"/>
  <c r="K20" i="7" s="1"/>
  <c r="K22" i="7" l="1"/>
  <c r="G28" i="14" l="1"/>
  <c r="G31" i="14"/>
  <c r="G26" i="14"/>
  <c r="B26" i="14"/>
  <c r="B10" i="14"/>
  <c r="B27" i="14" s="1"/>
  <c r="B49" i="7"/>
  <c r="B50" i="7" s="1"/>
  <c r="B51" i="7" s="1"/>
  <c r="B52" i="7" s="1"/>
  <c r="B53" i="7" s="1"/>
  <c r="B54" i="7" s="1"/>
  <c r="B55" i="7" s="1"/>
  <c r="F53" i="7"/>
  <c r="L53" i="7" s="1"/>
  <c r="L52" i="7"/>
  <c r="L49" i="7"/>
  <c r="F50" i="7"/>
  <c r="L50" i="7" s="1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57" i="7" l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F54" i="7"/>
  <c r="F51" i="7"/>
  <c r="L51" i="7" s="1"/>
  <c r="B11" i="14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L54" i="7" l="1"/>
  <c r="B12" i="14"/>
  <c r="B28" i="14"/>
  <c r="J25" i="15"/>
  <c r="M17" i="15"/>
  <c r="M16" i="15"/>
  <c r="F15" i="15"/>
  <c r="F13" i="15"/>
  <c r="F11" i="15"/>
  <c r="J28" i="15" l="1"/>
  <c r="F22" i="15"/>
  <c r="F57" i="7"/>
  <c r="D7" i="7" s="1"/>
  <c r="J7" i="7" s="1"/>
  <c r="L55" i="7"/>
  <c r="D20" i="15"/>
  <c r="B13" i="14"/>
  <c r="B29" i="14"/>
  <c r="F20" i="15"/>
  <c r="L57" i="7" l="1"/>
  <c r="F58" i="7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B14" i="14"/>
  <c r="B30" i="14"/>
  <c r="B15" i="14" l="1"/>
  <c r="L58" i="7"/>
  <c r="B31" i="14"/>
  <c r="B32" i="14" l="1"/>
  <c r="B16" i="14"/>
  <c r="L59" i="7"/>
  <c r="L60" i="7" l="1"/>
  <c r="B33" i="14"/>
  <c r="B17" i="14"/>
  <c r="L61" i="7"/>
  <c r="B34" i="14" l="1"/>
  <c r="B18" i="14"/>
  <c r="B19" i="14" s="1"/>
  <c r="B20" i="14" s="1"/>
  <c r="L62" i="7"/>
  <c r="H47" i="7"/>
  <c r="H48" i="7"/>
  <c r="H49" i="7"/>
  <c r="H50" i="7"/>
  <c r="H51" i="7"/>
  <c r="H52" i="7"/>
  <c r="H53" i="7"/>
  <c r="H54" i="7"/>
  <c r="H55" i="7"/>
  <c r="H57" i="7"/>
  <c r="H58" i="7"/>
  <c r="H59" i="7"/>
  <c r="H60" i="7"/>
  <c r="H61" i="7"/>
  <c r="H62" i="7"/>
  <c r="H63" i="7"/>
  <c r="H64" i="7"/>
  <c r="H65" i="7"/>
  <c r="H66" i="7"/>
  <c r="H67" i="7"/>
  <c r="H68" i="7"/>
  <c r="H46" i="7"/>
  <c r="B35" i="14" l="1"/>
  <c r="L63" i="7"/>
  <c r="H43" i="7"/>
  <c r="B37" i="14" l="1"/>
  <c r="B36" i="14"/>
  <c r="L64" i="7"/>
  <c r="G35" i="14"/>
  <c r="G12" i="14"/>
  <c r="G10" i="14"/>
  <c r="G27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E12" i="7"/>
  <c r="G13" i="14" l="1"/>
  <c r="G30" i="14" s="1"/>
  <c r="G29" i="14"/>
  <c r="G19" i="14"/>
  <c r="L65" i="7"/>
  <c r="G20" i="14" l="1"/>
  <c r="G37" i="14" s="1"/>
  <c r="G36" i="14"/>
  <c r="L66" i="7"/>
  <c r="D29" i="14" l="1"/>
  <c r="F29" i="14" s="1"/>
  <c r="D12" i="14"/>
  <c r="F12" i="14" s="1"/>
  <c r="C13" i="14" s="1"/>
  <c r="C30" i="14" l="1"/>
  <c r="D30" i="14" s="1"/>
  <c r="F30" i="14" s="1"/>
  <c r="D13" i="14"/>
  <c r="F13" i="14" s="1"/>
  <c r="C14" i="14" s="1"/>
  <c r="C31" i="14" l="1"/>
  <c r="D31" i="14" s="1"/>
  <c r="F31" i="14" s="1"/>
  <c r="D14" i="14"/>
  <c r="F14" i="14" s="1"/>
  <c r="C32" i="14" l="1"/>
  <c r="D32" i="14" s="1"/>
  <c r="F32" i="14" s="1"/>
  <c r="C33" i="14" s="1"/>
  <c r="D33" i="14" s="1"/>
  <c r="F33" i="14" s="1"/>
  <c r="C34" i="14" s="1"/>
  <c r="D34" i="14" s="1"/>
  <c r="F34" i="14" s="1"/>
  <c r="C35" i="14" s="1"/>
  <c r="C15" i="14"/>
  <c r="D15" i="14" s="1"/>
  <c r="F15" i="14" s="1"/>
  <c r="C16" i="14" s="1"/>
  <c r="D16" i="14" s="1"/>
  <c r="F16" i="14" s="1"/>
  <c r="C17" i="14" s="1"/>
  <c r="D17" i="14" s="1"/>
  <c r="F17" i="14" s="1"/>
  <c r="C18" i="14" s="1"/>
  <c r="L67" i="7"/>
  <c r="L68" i="7" l="1"/>
  <c r="F44" i="6" l="1"/>
  <c r="I73" i="7" l="1"/>
  <c r="C73" i="7"/>
  <c r="M20" i="13" l="1"/>
  <c r="E20" i="7" s="1"/>
  <c r="M19" i="13"/>
  <c r="E19" i="7" s="1"/>
  <c r="M18" i="13"/>
  <c r="E18" i="7" s="1"/>
  <c r="M17" i="13"/>
  <c r="E17" i="7" s="1"/>
  <c r="M16" i="13"/>
  <c r="E16" i="7" s="1"/>
  <c r="M15" i="13"/>
  <c r="E15" i="7" s="1"/>
  <c r="M14" i="13"/>
  <c r="E14" i="7" s="1"/>
  <c r="M13" i="13"/>
  <c r="E13" i="7" s="1"/>
  <c r="E11" i="7"/>
  <c r="E10" i="7"/>
  <c r="E9" i="7"/>
  <c r="E22" i="7" l="1"/>
  <c r="E46" i="6" s="1"/>
  <c r="H42" i="7"/>
  <c r="B42" i="7"/>
  <c r="E30" i="6"/>
  <c r="F46" i="6" l="1"/>
  <c r="F28" i="6"/>
  <c r="F26" i="6"/>
  <c r="F30" i="6" l="1"/>
  <c r="E17" i="6" l="1"/>
  <c r="E108" i="2" l="1"/>
  <c r="E110" i="2" l="1"/>
  <c r="E114" i="2"/>
  <c r="E112" i="2"/>
  <c r="E18" i="6" s="1"/>
  <c r="E20" i="14" l="1"/>
  <c r="E18" i="14"/>
  <c r="D18" i="14" s="1"/>
  <c r="F18" i="14" s="1"/>
  <c r="C19" i="14" s="1"/>
  <c r="D35" i="14"/>
  <c r="F35" i="14" s="1"/>
  <c r="C36" i="14" s="1"/>
  <c r="E19" i="14"/>
  <c r="E19" i="6"/>
  <c r="E21" i="6" s="1"/>
  <c r="E37" i="14"/>
  <c r="E36" i="14"/>
  <c r="D27" i="7"/>
  <c r="J27" i="7" s="1"/>
  <c r="D19" i="14" l="1"/>
  <c r="F19" i="14" s="1"/>
  <c r="C20" i="14" s="1"/>
  <c r="D20" i="14" s="1"/>
  <c r="F20" i="14" s="1"/>
  <c r="E35" i="6"/>
  <c r="F35" i="6" s="1"/>
  <c r="I47" i="7" s="1"/>
  <c r="E34" i="6"/>
  <c r="D36" i="14"/>
  <c r="F36" i="14" s="1"/>
  <c r="C37" i="14" s="1"/>
  <c r="C56" i="7" l="1"/>
  <c r="C75" i="7" s="1"/>
  <c r="F7" i="14"/>
  <c r="F34" i="6"/>
  <c r="E36" i="6"/>
  <c r="D37" i="14"/>
  <c r="F37" i="14" s="1"/>
  <c r="I74" i="7"/>
  <c r="I48" i="7"/>
  <c r="J49" i="7" s="1"/>
  <c r="I49" i="7" s="1"/>
  <c r="J50" i="7" s="1"/>
  <c r="C47" i="7" l="1"/>
  <c r="C48" i="7" s="1"/>
  <c r="D49" i="7" s="1"/>
  <c r="F36" i="6"/>
  <c r="I56" i="7"/>
  <c r="I75" i="7" s="1"/>
  <c r="F24" i="14"/>
  <c r="I50" i="7"/>
  <c r="J51" i="7" s="1"/>
  <c r="C74" i="7" l="1"/>
  <c r="I51" i="7"/>
  <c r="J52" i="7" s="1"/>
  <c r="C49" i="7"/>
  <c r="D50" i="7" s="1"/>
  <c r="I52" i="7" l="1"/>
  <c r="J53" i="7" s="1"/>
  <c r="C50" i="7"/>
  <c r="D51" i="7" l="1"/>
  <c r="I53" i="7"/>
  <c r="J54" i="7" s="1"/>
  <c r="C51" i="7" l="1"/>
  <c r="D52" i="7" s="1"/>
  <c r="I54" i="7"/>
  <c r="J55" i="7" s="1"/>
  <c r="C52" i="7" l="1"/>
  <c r="D53" i="7" s="1"/>
  <c r="C53" i="7" s="1"/>
  <c r="I55" i="7"/>
  <c r="I8" i="7" s="1"/>
  <c r="D54" i="7" l="1"/>
  <c r="C54" i="7" s="1"/>
  <c r="D55" i="7" l="1"/>
  <c r="C55" i="7" s="1"/>
  <c r="C8" i="7" l="1"/>
  <c r="C7" i="7" s="1"/>
  <c r="E77" i="2"/>
  <c r="E79" i="2" s="1"/>
  <c r="E87" i="2" s="1"/>
  <c r="E81" i="2" l="1"/>
  <c r="E83" i="2" s="1"/>
  <c r="E49" i="2" l="1"/>
  <c r="E51" i="2" s="1"/>
  <c r="E59" i="2" s="1"/>
  <c r="E53" i="2" l="1"/>
  <c r="E55" i="2" s="1"/>
  <c r="E18" i="2" l="1"/>
  <c r="E20" i="2" s="1"/>
  <c r="E28" i="2" s="1"/>
  <c r="E22" i="2" l="1"/>
  <c r="E24" i="2" s="1"/>
  <c r="D25" i="7"/>
  <c r="B35" i="7" s="1"/>
  <c r="D9" i="7" l="1"/>
  <c r="C9" i="7" l="1"/>
  <c r="D10" i="7" l="1"/>
  <c r="C10" i="7" l="1"/>
  <c r="D11" i="7" l="1"/>
  <c r="C11" i="7" l="1"/>
  <c r="D12" i="7" s="1"/>
  <c r="C12" i="7" s="1"/>
  <c r="D13" i="7" s="1"/>
  <c r="C13" i="7" l="1"/>
  <c r="D14" i="7" s="1"/>
  <c r="C14" i="7" l="1"/>
  <c r="D15" i="7" s="1"/>
  <c r="C15" i="7" s="1"/>
  <c r="D16" i="7" l="1"/>
  <c r="C16" i="7" s="1"/>
  <c r="D17" i="7" l="1"/>
  <c r="C17" i="7" s="1"/>
  <c r="D18" i="7" l="1"/>
  <c r="C18" i="7" s="1"/>
  <c r="D19" i="7" l="1"/>
  <c r="C19" i="7" s="1"/>
  <c r="D20" i="7" l="1"/>
  <c r="D22" i="7" l="1"/>
  <c r="D24" i="7" s="1"/>
  <c r="D26" i="7" s="1"/>
  <c r="D28" i="7" s="1"/>
  <c r="E48" i="6" s="1"/>
  <c r="C20" i="7"/>
  <c r="E52" i="6" l="1"/>
  <c r="E54" i="6" s="1"/>
  <c r="E56" i="6" s="1"/>
  <c r="E58" i="6" s="1"/>
  <c r="E60" i="6" s="1"/>
  <c r="E62" i="6" s="1"/>
  <c r="E64" i="6" s="1"/>
  <c r="E66" i="6" s="1"/>
  <c r="D29" i="7" l="1"/>
  <c r="D30" i="7" s="1"/>
  <c r="I11" i="15" l="1"/>
  <c r="C79" i="7"/>
  <c r="D31" i="7"/>
  <c r="E57" i="7" s="1"/>
  <c r="E30" i="7"/>
  <c r="H11" i="15"/>
  <c r="G11" i="15" s="1"/>
  <c r="R11" i="15" s="1"/>
  <c r="J11" i="15"/>
  <c r="I29" i="15" s="1"/>
  <c r="J29" i="15" s="1"/>
  <c r="M11" i="15" l="1"/>
  <c r="E62" i="7"/>
  <c r="E66" i="7"/>
  <c r="E60" i="7"/>
  <c r="E68" i="7"/>
  <c r="E61" i="7"/>
  <c r="E65" i="7"/>
  <c r="D57" i="7"/>
  <c r="C57" i="7" s="1"/>
  <c r="E58" i="7"/>
  <c r="E67" i="7"/>
  <c r="E59" i="7"/>
  <c r="E63" i="7"/>
  <c r="E64" i="7"/>
  <c r="R30" i="15"/>
  <c r="S30" i="15" s="1"/>
  <c r="R37" i="15" l="1"/>
  <c r="R36" i="15"/>
  <c r="D58" i="7"/>
  <c r="C58" i="7" s="1"/>
  <c r="D59" i="7" s="1"/>
  <c r="C59" i="7" s="1"/>
  <c r="D60" i="7" s="1"/>
  <c r="C60" i="7" s="1"/>
  <c r="D61" i="7" s="1"/>
  <c r="C61" i="7" s="1"/>
  <c r="D62" i="7" s="1"/>
  <c r="C62" i="7" s="1"/>
  <c r="D63" i="7" s="1"/>
  <c r="C63" i="7" s="1"/>
  <c r="D64" i="7" s="1"/>
  <c r="C64" i="7" s="1"/>
  <c r="D65" i="7" s="1"/>
  <c r="C65" i="7" s="1"/>
  <c r="D66" i="7" s="1"/>
  <c r="C66" i="7" s="1"/>
  <c r="D67" i="7" s="1"/>
  <c r="C67" i="7" s="1"/>
  <c r="D68" i="7" s="1"/>
  <c r="E70" i="7"/>
  <c r="S31" i="15"/>
  <c r="S32" i="15" s="1"/>
  <c r="J30" i="15"/>
  <c r="J31" i="15"/>
  <c r="I7" i="7"/>
  <c r="J9" i="7" s="1"/>
  <c r="D70" i="7" l="1"/>
  <c r="C76" i="7" s="1"/>
  <c r="C68" i="7"/>
  <c r="C77" i="7" s="1"/>
  <c r="I9" i="7"/>
  <c r="J25" i="7"/>
  <c r="H35" i="7" s="1"/>
  <c r="D32" i="7" l="1"/>
  <c r="C78" i="7"/>
  <c r="C80" i="7" s="1"/>
  <c r="J10" i="7"/>
  <c r="I10" i="7" l="1"/>
  <c r="J11" i="7" s="1"/>
  <c r="I11" i="7" s="1"/>
  <c r="J12" i="7" l="1"/>
  <c r="I12" i="7" s="1"/>
  <c r="J13" i="7" l="1"/>
  <c r="I13" i="7" s="1"/>
  <c r="J14" i="7" l="1"/>
  <c r="I14" i="7" s="1"/>
  <c r="J15" i="7" l="1"/>
  <c r="I15" i="7" s="1"/>
  <c r="J16" i="7" l="1"/>
  <c r="I16" i="7" s="1"/>
  <c r="J17" i="7" l="1"/>
  <c r="I17" i="7" s="1"/>
  <c r="J18" i="7" l="1"/>
  <c r="I18" i="7" s="1"/>
  <c r="J19" i="7" l="1"/>
  <c r="I19" i="7" s="1"/>
  <c r="J20" i="7" l="1"/>
  <c r="I20" i="7" l="1"/>
  <c r="J22" i="7"/>
  <c r="J24" i="7" s="1"/>
  <c r="J26" i="7" s="1"/>
  <c r="J28" i="7" s="1"/>
  <c r="F48" i="6" l="1"/>
  <c r="F52" i="6" l="1"/>
  <c r="F54" i="6" s="1"/>
  <c r="F56" i="6" s="1"/>
  <c r="F58" i="6" s="1"/>
  <c r="F60" i="6" s="1"/>
  <c r="J29" i="7" s="1"/>
  <c r="F62" i="6" l="1"/>
  <c r="F64" i="6" s="1"/>
  <c r="F66" i="6" s="1"/>
  <c r="J30" i="7"/>
  <c r="I79" i="7" l="1"/>
  <c r="J31" i="7"/>
  <c r="K30" i="7"/>
  <c r="I13" i="15"/>
  <c r="K59" i="7" l="1"/>
  <c r="K67" i="7"/>
  <c r="K61" i="7"/>
  <c r="K62" i="7"/>
  <c r="K63" i="7"/>
  <c r="K64" i="7"/>
  <c r="K65" i="7"/>
  <c r="K66" i="7"/>
  <c r="K60" i="7"/>
  <c r="K68" i="7"/>
  <c r="K58" i="7"/>
  <c r="K57" i="7"/>
  <c r="J57" i="7" s="1"/>
  <c r="I57" i="7" s="1"/>
  <c r="H13" i="15"/>
  <c r="I15" i="15"/>
  <c r="J13" i="15"/>
  <c r="K70" i="7" l="1"/>
  <c r="J58" i="7"/>
  <c r="I58" i="7" s="1"/>
  <c r="J59" i="7" s="1"/>
  <c r="I59" i="7" s="1"/>
  <c r="J60" i="7" s="1"/>
  <c r="I60" i="7" s="1"/>
  <c r="J61" i="7" s="1"/>
  <c r="I61" i="7" s="1"/>
  <c r="J62" i="7" s="1"/>
  <c r="I62" i="7" s="1"/>
  <c r="J15" i="15"/>
  <c r="H15" i="15"/>
  <c r="G15" i="15" s="1"/>
  <c r="G13" i="15"/>
  <c r="R13" i="15" s="1"/>
  <c r="M13" i="15" l="1"/>
  <c r="G22" i="15"/>
  <c r="M22" i="15" s="1"/>
  <c r="H22" i="15"/>
  <c r="J63" i="7"/>
  <c r="I63" i="7" s="1"/>
  <c r="J64" i="7" s="1"/>
  <c r="H20" i="15"/>
  <c r="G20" i="15"/>
  <c r="M20" i="15" s="1"/>
  <c r="I64" i="7" l="1"/>
  <c r="J65" i="7" s="1"/>
  <c r="I65" i="7" s="1"/>
  <c r="J66" i="7" s="1"/>
  <c r="I66" i="7" s="1"/>
  <c r="J67" i="7" s="1"/>
  <c r="I67" i="7" s="1"/>
  <c r="J68" i="7" s="1"/>
  <c r="I68" i="7" s="1"/>
  <c r="I77" i="7" s="1"/>
  <c r="J32" i="7" l="1"/>
  <c r="J70" i="7"/>
  <c r="I76" i="7" s="1"/>
  <c r="I78" i="7" s="1"/>
  <c r="I8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77" authorId="0" shapeId="0" xr:uid="{DF39CFAD-69BB-4291-BEAB-85E8E2AA215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Leave note that this formala changes in years when there is a carryover balance.
I updated this so that it isn't reducing the calculated amount by the ending Jul 2023 balance which I think is the carryover deffered revenue from 2021(same on non-res)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2B898018-C5DB-4C9C-B409-652A27FA5EA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Acct 495329</t>
        </r>
      </text>
    </comment>
    <comment ref="E26" authorId="0" shapeId="0" xr:uid="{DD54DD38-C9D3-4BDF-9A7E-D03212E6D1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Acct 495339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2022 normalized billing determinants at present billing rates effective 5/1/2023 (Adj Sch 155 to annual rate rather than seasonal rate that took effect 5/1/23)</t>
        </r>
      </text>
    </comment>
    <comment ref="I25" authorId="0" shapeId="0" xr:uid="{1207D4B3-C723-4C8E-9A7B-4D6C10C382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Basic charge less annualized Sch 162 (CCA) credit for pre 7/25/2021 customer</t>
        </r>
      </text>
    </comment>
  </commentList>
</comments>
</file>

<file path=xl/sharedStrings.xml><?xml version="1.0" encoding="utf-8"?>
<sst xmlns="http://schemas.openxmlformats.org/spreadsheetml/2006/main" count="337" uniqueCount="201">
  <si>
    <t>Avista Utilities</t>
  </si>
  <si>
    <t>Calculation of Decoupling Mechanism Surcharge or Rebate Amortization Rates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</si>
  <si>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</si>
  <si>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</si>
  <si>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</si>
  <si>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</si>
  <si>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</si>
  <si>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</si>
  <si>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</si>
  <si>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</si>
  <si>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</si>
  <si>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</si>
  <si>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</si>
  <si>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</si>
  <si>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</si>
  <si>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</si>
  <si>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</si>
  <si>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</si>
  <si>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</si>
  <si>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</si>
  <si>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</si>
  <si>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</si>
  <si>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</si>
  <si>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</si>
  <si>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</si>
  <si>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</si>
  <si>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</si>
  <si>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</si>
  <si>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</si>
  <si>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</si>
  <si>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</si>
  <si>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</si>
  <si>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</si>
  <si>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</si>
  <si>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</si>
  <si>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</si>
  <si>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</si>
  <si>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</si>
  <si>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</si>
  <si>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</si>
  <si>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</si>
  <si>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</si>
  <si>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</si>
  <si>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</si>
  <si>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</si>
  <si>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</si>
  <si>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</si>
  <si>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</si>
  <si>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</si>
  <si>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</si>
  <si>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</si>
  <si>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</si>
  <si>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</si>
  <si>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</si>
  <si>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</si>
  <si>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</si>
  <si>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</si>
  <si>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</si>
  <si>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</si>
  <si>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</si>
  <si>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</si>
  <si>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</si>
  <si>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</si>
  <si>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</si>
  <si>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</si>
  <si>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</si>
  <si>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</si>
  <si>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</si>
  <si>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</si>
  <si>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</si>
  <si>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</si>
  <si>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</si>
  <si>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</si>
  <si>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</si>
  <si>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</si>
  <si>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</si>
  <si>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</si>
  <si>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</si>
  <si>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</si>
  <si>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</si>
  <si>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Adjusted December Balance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</si>
  <si>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</si>
  <si>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</si>
  <si>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</si>
  <si>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</si>
  <si>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</si>
  <si>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</si>
  <si>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</si>
  <si>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</si>
  <si>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</si>
  <si>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</si>
  <si>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</si>
  <si>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Washington Natural Gas</t>
  </si>
  <si>
    <t>Line No.</t>
  </si>
  <si>
    <t xml:space="preserve">Total </t>
  </si>
  <si>
    <t>Customer Surcharge Revenue</t>
  </si>
  <si>
    <t>Carryover Deferred Revenue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</si>
  <si>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</si>
  <si>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</si>
  <si>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</si>
  <si>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</si>
  <si>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</si>
  <si>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</si>
  <si>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</si>
  <si>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</si>
  <si>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</si>
  <si>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</si>
  <si>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</si>
  <si>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</si>
  <si>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</si>
  <si>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</si>
  <si>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</si>
  <si>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</si>
  <si>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See pages 6 and 7 of Attachment A for earnings test and 3% test adjustment calculations.</t>
  </si>
  <si>
    <t>Decoupling Mechanism Prior Surcharge or Rebate Amortization</t>
  </si>
  <si>
    <t>Interest Rate</t>
  </si>
  <si>
    <t>Non-Residential Natural Gas Surcharge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</si>
  <si>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</si>
  <si>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</si>
  <si>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</si>
  <si>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</si>
  <si>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</si>
  <si>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</si>
  <si>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</si>
  <si>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</si>
  <si>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</si>
  <si>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</si>
  <si>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</si>
  <si>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</si>
  <si>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</si>
  <si>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</si>
  <si>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</si>
  <si>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</si>
  <si>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</si>
  <si>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</si>
  <si>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</si>
  <si>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</si>
  <si>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</si>
  <si>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</si>
  <si>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</si>
  <si>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</si>
  <si>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</si>
  <si>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</si>
  <si>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</si>
  <si>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</si>
  <si>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</si>
  <si>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</si>
  <si>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</si>
  <si>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</si>
  <si>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</si>
  <si>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</si>
  <si>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</si>
  <si>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>Basic Charge</t>
  </si>
  <si>
    <t>First 70 therms</t>
  </si>
  <si>
    <t>Next 70 therms</t>
  </si>
  <si>
    <t>Proposed rate change</t>
  </si>
  <si>
    <t>Residential Bill at Proposed rates</t>
  </si>
  <si>
    <t>WA112</t>
  </si>
  <si>
    <t>Incr/(Decr)</t>
  </si>
  <si>
    <t xml:space="preserve">  Federal Income Tax @ 21%</t>
  </si>
  <si>
    <t>Proposed Percent Increase</t>
  </si>
  <si>
    <t>111/112/116</t>
  </si>
  <si>
    <t>Prior Year Carryover Balance</t>
  </si>
  <si>
    <t>Add Prior Year Carryover Balance</t>
  </si>
  <si>
    <t>May - July Forecast Usage</t>
  </si>
  <si>
    <t>Pro-rated</t>
  </si>
  <si>
    <t>(3)  The carryover balances will differ from the 3% adjustment amounts due to the revenue related expense gross up partially offset by additional interest on the outstanding balance during the amortization period.</t>
  </si>
  <si>
    <t>3% Test Adjustment (3)</t>
  </si>
  <si>
    <t>Present Decoupling Surcharge Recovery Rates (2)</t>
  </si>
  <si>
    <t>Residential Bill at 4/1/2022 rates</t>
  </si>
  <si>
    <t>DSM Adjustment</t>
  </si>
  <si>
    <t>Earnings Sharing/DSM Adjustment</t>
  </si>
  <si>
    <t>Docket No. UG-200901</t>
  </si>
  <si>
    <t>Decoupling Schedule 175 Filing</t>
  </si>
  <si>
    <t>Less Earnings Sharing/DSM</t>
  </si>
  <si>
    <t>Proposed Decoupling rate change</t>
  </si>
  <si>
    <t>New Billing Rate</t>
  </si>
  <si>
    <t>Residential Natural Gas Surcharge</t>
  </si>
  <si>
    <t>Revenue From 2022 Normalized Loads and Customers at Present Billing Rates</t>
  </si>
  <si>
    <t>IV Fund Rev Increase</t>
  </si>
  <si>
    <t>For IV Fund and Decoupling Customer Notice - DO NOT PRINT</t>
  </si>
  <si>
    <t>IV Fund Rev % Increase</t>
  </si>
  <si>
    <t>IV Fund  &amp; Decoupling Rev % Increase</t>
  </si>
  <si>
    <t>IV Fund Rate Increase</t>
  </si>
  <si>
    <t>Proposed IV Fund  rate change</t>
  </si>
  <si>
    <t>Effective August 1, 2023 - July 31, 2024</t>
  </si>
  <si>
    <t>2022 Commission Basis conversion factor, see page 8 of  Attachment A.</t>
  </si>
  <si>
    <t>TWELVE MONTHS ENDED September 30, 2021</t>
  </si>
  <si>
    <t>Residential Bill at 5/1/2023 rates</t>
  </si>
  <si>
    <t>GSFM Apr MidMonth_(04 10 24 pricing)</t>
  </si>
  <si>
    <t>Effective August 1, 2024 - July 31, 2025</t>
  </si>
  <si>
    <t>2023 Commission Basis Earnings Test for Decoupling</t>
  </si>
  <si>
    <t>2023 Washington Natural Gas Deferrals</t>
  </si>
  <si>
    <t>2023 Total Earnings Test Sharing</t>
  </si>
  <si>
    <t>Revenue From 2023 Normalized Loads and Customers at Present Billing Rates (Note 1)</t>
  </si>
  <si>
    <t>August 2024 - July 2025 Usage</t>
  </si>
  <si>
    <t>(1)  Revenue from 2023 normalized loads and customers at present billing rates effective since November , 2024.</t>
  </si>
  <si>
    <t xml:space="preserve"> @66 therms</t>
  </si>
  <si>
    <t>2023 Deferred Revenue</t>
  </si>
  <si>
    <t>Calculate Estimated Monthly Balances through July 2025</t>
  </si>
  <si>
    <t>Add Interest through 07/31/2025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</si>
</sst>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12"/>
      <name val="Times New Roman"/>
      <family val="1"/>
    </font>
    <font>
      <sz val="12"/>
      <color indexed="48"/>
      <name val="Times New Roman"/>
      <family val="1"/>
    </font>
    <font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2"/>
      <color rgb="FF0000FF"/>
      <name val="Times New Roman"/>
      <family val="1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3" fontId="25" fillId="0" borderId="0"/>
  </cellStyleXfs>
  <cellXfs count="241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4" fillId="0" borderId="0" xfId="1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8" fillId="0" borderId="0" xfId="0" applyNumberFormat="1" applyFont="1"/>
    <xf numFmtId="7" fontId="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37" fontId="9" fillId="0" borderId="0" xfId="0" applyNumberFormat="1" applyFont="1"/>
    <xf numFmtId="169" fontId="9" fillId="0" borderId="0" xfId="5" applyNumberFormat="1" applyFont="1"/>
    <xf numFmtId="169" fontId="9" fillId="0" borderId="0" xfId="0" applyNumberFormat="1" applyFont="1"/>
    <xf numFmtId="172" fontId="9" fillId="0" borderId="0" xfId="0" applyNumberFormat="1" applyFont="1"/>
    <xf numFmtId="0" fontId="9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10" fontId="14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166" fontId="21" fillId="0" borderId="0" xfId="0" applyNumberFormat="1" applyFont="1"/>
    <xf numFmtId="166" fontId="20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center"/>
    </xf>
    <xf numFmtId="166" fontId="23" fillId="0" borderId="0" xfId="0" applyNumberFormat="1" applyFont="1"/>
    <xf numFmtId="166" fontId="20" fillId="0" borderId="2" xfId="0" applyNumberFormat="1" applyFont="1" applyBorder="1"/>
    <xf numFmtId="10" fontId="24" fillId="0" borderId="0" xfId="0" applyNumberFormat="1" applyFont="1"/>
    <xf numFmtId="166" fontId="20" fillId="0" borderId="5" xfId="0" applyNumberFormat="1" applyFont="1" applyBorder="1"/>
    <xf numFmtId="10" fontId="14" fillId="0" borderId="0" xfId="0" applyNumberFormat="1" applyFont="1" applyFill="1"/>
    <xf numFmtId="10" fontId="0" fillId="0" borderId="0" xfId="0" applyNumberFormat="1" applyFill="1"/>
    <xf numFmtId="166" fontId="20" fillId="0" borderId="0" xfId="4" applyNumberFormat="1" applyFont="1" applyFill="1"/>
    <xf numFmtId="172" fontId="12" fillId="0" borderId="0" xfId="5" applyNumberFormat="1" applyFont="1" applyFill="1"/>
    <xf numFmtId="0" fontId="0" fillId="0" borderId="0" xfId="0" applyFill="1" applyAlignment="1">
      <alignment horizontal="center" wrapText="1"/>
    </xf>
    <xf numFmtId="164" fontId="0" fillId="0" borderId="0" xfId="0" applyNumberFormat="1" applyBorder="1" applyAlignment="1">
      <alignment vertical="top"/>
    </xf>
    <xf numFmtId="0" fontId="11" fillId="0" borderId="0" xfId="6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0" fillId="0" borderId="0" xfId="0" applyAlignment="1">
      <alignment vertical="top"/>
    </xf>
    <xf numFmtId="44" fontId="14" fillId="0" borderId="0" xfId="5" applyNumberFormat="1" applyFont="1" applyFill="1"/>
    <xf numFmtId="169" fontId="14" fillId="0" borderId="0" xfId="0" applyNumberFormat="1" applyFont="1" applyFill="1"/>
    <xf numFmtId="170" fontId="0" fillId="0" borderId="0" xfId="0" applyNumberFormat="1" applyFill="1"/>
    <xf numFmtId="166" fontId="27" fillId="0" borderId="0" xfId="4" applyNumberFormat="1" applyFont="1" applyFill="1"/>
    <xf numFmtId="170" fontId="14" fillId="0" borderId="0" xfId="0" applyNumberFormat="1" applyFont="1" applyFill="1"/>
    <xf numFmtId="171" fontId="0" fillId="0" borderId="0" xfId="0" applyNumberFormat="1" applyFill="1"/>
    <xf numFmtId="164" fontId="14" fillId="0" borderId="0" xfId="1" applyNumberFormat="1" applyFont="1" applyFill="1"/>
    <xf numFmtId="164" fontId="0" fillId="0" borderId="0" xfId="0" applyNumberFormat="1" applyFill="1"/>
    <xf numFmtId="172" fontId="28" fillId="0" borderId="0" xfId="5" applyNumberFormat="1" applyFont="1" applyFill="1"/>
    <xf numFmtId="172" fontId="29" fillId="0" borderId="0" xfId="5" applyNumberFormat="1" applyFont="1" applyFill="1"/>
    <xf numFmtId="7" fontId="14" fillId="0" borderId="0" xfId="5" applyNumberFormat="1" applyFont="1" applyFill="1"/>
    <xf numFmtId="169" fontId="0" fillId="0" borderId="0" xfId="0" applyNumberFormat="1" applyFill="1" applyAlignment="1">
      <alignment horizontal="center"/>
    </xf>
    <xf numFmtId="169" fontId="0" fillId="0" borderId="0" xfId="0" applyNumberFormat="1" applyBorder="1"/>
    <xf numFmtId="169" fontId="0" fillId="0" borderId="1" xfId="0" applyNumberFormat="1" applyBorder="1"/>
    <xf numFmtId="44" fontId="0" fillId="0" borderId="0" xfId="0" applyNumberFormat="1" applyFill="1"/>
    <xf numFmtId="0" fontId="19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169" fontId="9" fillId="0" borderId="14" xfId="5" applyNumberFormat="1" applyFont="1" applyBorder="1"/>
    <xf numFmtId="10" fontId="9" fillId="0" borderId="0" xfId="2" applyNumberFormat="1" applyFont="1" applyBorder="1"/>
    <xf numFmtId="0" fontId="9" fillId="0" borderId="15" xfId="0" applyFont="1" applyBorder="1"/>
    <xf numFmtId="169" fontId="0" fillId="0" borderId="14" xfId="5" applyNumberFormat="1" applyFont="1" applyBorder="1"/>
    <xf numFmtId="10" fontId="1" fillId="0" borderId="0" xfId="2" applyNumberFormat="1" applyFont="1" applyBorder="1"/>
    <xf numFmtId="0" fontId="0" fillId="0" borderId="0" xfId="0" applyFont="1" applyBorder="1"/>
    <xf numFmtId="0" fontId="9" fillId="0" borderId="14" xfId="0" applyFont="1" applyBorder="1"/>
    <xf numFmtId="0" fontId="9" fillId="0" borderId="0" xfId="0" applyFont="1" applyBorder="1"/>
    <xf numFmtId="169" fontId="0" fillId="0" borderId="15" xfId="0" applyNumberFormat="1" applyFill="1" applyBorder="1" applyAlignment="1">
      <alignment horizontal="center"/>
    </xf>
    <xf numFmtId="7" fontId="14" fillId="0" borderId="0" xfId="5" applyNumberFormat="1" applyFont="1" applyFill="1" applyBorder="1"/>
    <xf numFmtId="7" fontId="0" fillId="0" borderId="15" xfId="5" applyNumberFormat="1" applyFont="1" applyBorder="1"/>
    <xf numFmtId="170" fontId="14" fillId="0" borderId="0" xfId="0" applyNumberFormat="1" applyFont="1" applyFill="1" applyBorder="1"/>
    <xf numFmtId="7" fontId="0" fillId="0" borderId="15" xfId="5" applyNumberFormat="1" applyFont="1" applyFill="1" applyBorder="1"/>
    <xf numFmtId="7" fontId="0" fillId="0" borderId="19" xfId="5" applyNumberFormat="1" applyFont="1" applyBorder="1"/>
    <xf numFmtId="172" fontId="0" fillId="0" borderId="0" xfId="0" applyNumberFormat="1" applyBorder="1"/>
    <xf numFmtId="10" fontId="0" fillId="0" borderId="15" xfId="2" applyNumberFormat="1" applyFont="1" applyBorder="1"/>
    <xf numFmtId="170" fontId="0" fillId="0" borderId="0" xfId="0" applyNumberFormat="1" applyBorder="1"/>
    <xf numFmtId="0" fontId="0" fillId="0" borderId="16" xfId="0" applyBorder="1"/>
    <xf numFmtId="0" fontId="0" fillId="0" borderId="20" xfId="0" applyBorder="1" applyAlignment="1">
      <alignment horizontal="right"/>
    </xf>
    <xf numFmtId="170" fontId="0" fillId="0" borderId="20" xfId="0" applyNumberFormat="1" applyBorder="1"/>
    <xf numFmtId="0" fontId="0" fillId="0" borderId="17" xfId="0" applyBorder="1"/>
    <xf numFmtId="44" fontId="9" fillId="0" borderId="0" xfId="0" applyNumberFormat="1" applyFont="1" applyBorder="1"/>
    <xf numFmtId="10" fontId="0" fillId="0" borderId="0" xfId="2" applyNumberFormat="1" applyFont="1" applyFill="1"/>
    <xf numFmtId="7" fontId="0" fillId="0" borderId="0" xfId="0" applyNumberFormat="1"/>
    <xf numFmtId="17" fontId="9" fillId="0" borderId="0" xfId="0" applyNumberFormat="1" applyFont="1" applyFill="1" applyBorder="1"/>
    <xf numFmtId="5" fontId="14" fillId="0" borderId="0" xfId="0" applyNumberFormat="1" applyFont="1" applyFill="1" applyBorder="1"/>
    <xf numFmtId="7" fontId="0" fillId="0" borderId="0" xfId="0" applyNumberFormat="1" applyFill="1"/>
    <xf numFmtId="0" fontId="0" fillId="0" borderId="0" xfId="0" applyAlignment="1">
      <alignment horizontal="center" wrapText="1"/>
    </xf>
    <xf numFmtId="165" fontId="29" fillId="0" borderId="0" xfId="5" applyNumberFormat="1" applyFont="1" applyFill="1"/>
    <xf numFmtId="169" fontId="26" fillId="0" borderId="0" xfId="5" applyNumberFormat="1" applyFont="1" applyFill="1"/>
    <xf numFmtId="169" fontId="14" fillId="0" borderId="0" xfId="5" applyNumberFormat="1" applyFont="1" applyFill="1"/>
    <xf numFmtId="0" fontId="14" fillId="0" borderId="0" xfId="0" applyFont="1" applyFill="1"/>
    <xf numFmtId="10" fontId="14" fillId="0" borderId="0" xfId="2" applyNumberFormat="1" applyFont="1" applyFill="1"/>
    <xf numFmtId="0" fontId="1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vertical="top" wrapText="1"/>
    </xf>
    <xf numFmtId="0" fontId="1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justify" vertical="top" wrapText="1"/>
    </xf>
    <xf numFmtId="0" fontId="0" fillId="0" borderId="0" xfId="0" quotePrefix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Fill="1" applyBorder="1" applyAlignment="1">
      <alignment horizontal="justify" vertical="top"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quotePrefix="1" applyAlignment="1">
      <alignment horizontal="justify" vertical="top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vertical="top" wrapText="1"/>
    </xf>
    <xf numFmtId="0" fontId="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</cellXfs>
  <cellStyles count="8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" xfId="7" xr:uid="{FA2A7790-EE9E-45E5-9138-BABE26B38026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7</xdr:row>
      <xdr:rowOff>104775</xdr:rowOff>
    </xdr:from>
    <xdr:to>
      <xdr:col>9</xdr:col>
      <xdr:colOff>962025</xdr:colOff>
      <xdr:row>16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6DE379-5689-E424-5EBA-BAED9014C947}"/>
            </a:ext>
          </a:extLst>
        </xdr:cNvPr>
        <xdr:cNvSpPr txBox="1"/>
      </xdr:nvSpPr>
      <xdr:spPr>
        <a:xfrm>
          <a:off x="5886450" y="1438275"/>
          <a:ext cx="21526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Update calc for new earnings test in Sch 175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workbookViewId="0">
      <selection activeCell="C5" sqref="C5"/>
    </sheetView>
  </sheetViews>
  <sheetFormatPr defaultRowHeight="15" outlineLevelCol="1" x14ac:dyDescent="0.25"/>
  <cols>
    <col min="2" max="2" width="3.7109375" customWidth="1"/>
    <col min="3" max="3" width="26.42578125" bestFit="1" customWidth="1" outlineLevel="1"/>
    <col min="4" max="4" width="12.5703125" customWidth="1" outlineLevel="1"/>
    <col min="5" max="5" width="12.5703125" style="79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5" x14ac:dyDescent="0.25">
      <c r="A1" s="217"/>
      <c r="B1" s="63" t="s">
        <v>189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217"/>
      <c r="B2" t="s">
        <v>88</v>
      </c>
    </row>
    <row r="3" spans="1:15" x14ac:dyDescent="0.25">
      <c r="A3" s="61"/>
      <c r="B3" s="61"/>
      <c r="C3" s="61" t="s">
        <v>89</v>
      </c>
      <c r="K3" s="218"/>
      <c r="L3" s="68"/>
      <c r="M3" s="219" t="s">
        <v>92</v>
      </c>
      <c r="N3" s="220"/>
    </row>
    <row r="4" spans="1:15" x14ac:dyDescent="0.25">
      <c r="C4" s="66" t="s">
        <v>82</v>
      </c>
      <c r="D4" s="66" t="s">
        <v>83</v>
      </c>
      <c r="E4" s="101" t="s">
        <v>157</v>
      </c>
      <c r="F4" s="66" t="s">
        <v>84</v>
      </c>
      <c r="G4" s="66" t="s">
        <v>85</v>
      </c>
      <c r="H4" s="66" t="s">
        <v>86</v>
      </c>
      <c r="I4" s="66" t="s">
        <v>87</v>
      </c>
      <c r="K4" s="218"/>
      <c r="L4" s="68"/>
      <c r="M4" s="64" t="s">
        <v>90</v>
      </c>
      <c r="N4" s="65" t="s">
        <v>91</v>
      </c>
    </row>
    <row r="5" spans="1:15" s="79" customFormat="1" x14ac:dyDescent="0.25">
      <c r="A5" s="164">
        <v>45412</v>
      </c>
      <c r="C5" s="70">
        <v>9053426.8351047803</v>
      </c>
      <c r="D5" s="70">
        <v>4110754.0343144876</v>
      </c>
      <c r="E5" s="70">
        <v>223655.93469447779</v>
      </c>
      <c r="F5" s="70">
        <v>0</v>
      </c>
      <c r="G5" s="70">
        <v>160828.32183125368</v>
      </c>
      <c r="H5" s="70">
        <v>3276091.5</v>
      </c>
      <c r="I5" s="70">
        <v>4156453</v>
      </c>
      <c r="K5" s="211"/>
      <c r="L5" s="211"/>
      <c r="M5" s="166">
        <f>C5</f>
        <v>9053426.8351047803</v>
      </c>
      <c r="N5" s="166">
        <f>D5+E5+F5-K5</f>
        <v>4334409.9690089654</v>
      </c>
    </row>
    <row r="6" spans="1:15" x14ac:dyDescent="0.25">
      <c r="A6" s="164">
        <v>45413</v>
      </c>
      <c r="B6" s="63"/>
      <c r="C6" s="70">
        <v>4736832.3286431134</v>
      </c>
      <c r="D6" s="70">
        <v>2732908.9981872225</v>
      </c>
      <c r="E6" s="70">
        <v>162378.93573230912</v>
      </c>
      <c r="F6" s="70">
        <v>0</v>
      </c>
      <c r="G6" s="70">
        <v>127272.664434427</v>
      </c>
      <c r="H6" s="70">
        <v>2912627.166666667</v>
      </c>
      <c r="I6" s="70">
        <v>3731670</v>
      </c>
      <c r="J6" s="63"/>
      <c r="K6" s="165"/>
      <c r="L6" s="70"/>
      <c r="M6" s="166">
        <f>C6</f>
        <v>4736832.3286431134</v>
      </c>
      <c r="N6" s="166">
        <f>D6+E6+F6-K6</f>
        <v>2895287.9339195318</v>
      </c>
    </row>
    <row r="7" spans="1:15" x14ac:dyDescent="0.25">
      <c r="A7" s="164">
        <f>A6+31</f>
        <v>45444</v>
      </c>
      <c r="B7" s="63"/>
      <c r="C7" s="70">
        <v>3331008.7762529142</v>
      </c>
      <c r="D7" s="70">
        <v>2156794.4337534695</v>
      </c>
      <c r="E7" s="70">
        <v>102303.323019102</v>
      </c>
      <c r="F7" s="70">
        <v>0</v>
      </c>
      <c r="G7" s="70">
        <v>123845.90344829716</v>
      </c>
      <c r="H7" s="70">
        <v>2601764.3333333335</v>
      </c>
      <c r="I7" s="70">
        <v>3437796</v>
      </c>
      <c r="J7" s="63"/>
      <c r="K7" s="165"/>
      <c r="L7" s="70"/>
      <c r="M7" s="166">
        <f t="shared" ref="M7:M20" si="0">C7</f>
        <v>3331008.7762529142</v>
      </c>
      <c r="N7" s="166">
        <f>D7+E7+F7-K7</f>
        <v>2259097.7567725717</v>
      </c>
    </row>
    <row r="8" spans="1:15" x14ac:dyDescent="0.25">
      <c r="A8" s="164">
        <f t="shared" ref="A8:A20" si="1">A7+31</f>
        <v>45475</v>
      </c>
      <c r="B8" s="63"/>
      <c r="C8" s="70">
        <v>2388266.5121876169</v>
      </c>
      <c r="D8" s="70">
        <v>1817321.2902642011</v>
      </c>
      <c r="E8" s="70">
        <v>55075.460053152048</v>
      </c>
      <c r="F8" s="70">
        <v>0</v>
      </c>
      <c r="G8" s="70">
        <v>123442.50841528048</v>
      </c>
      <c r="H8" s="70">
        <v>2232071.3333333335</v>
      </c>
      <c r="I8" s="70">
        <v>3255397</v>
      </c>
      <c r="J8" s="63"/>
      <c r="K8" s="165"/>
      <c r="L8" s="70"/>
      <c r="M8" s="166">
        <f>C8</f>
        <v>2388266.5121876169</v>
      </c>
      <c r="N8" s="166">
        <f>D8+E8+F8-K8</f>
        <v>1872396.7503173531</v>
      </c>
    </row>
    <row r="9" spans="1:15" x14ac:dyDescent="0.25">
      <c r="A9" s="164">
        <f t="shared" si="1"/>
        <v>45506</v>
      </c>
      <c r="B9" s="63"/>
      <c r="C9" s="70">
        <v>2174198.5776194581</v>
      </c>
      <c r="D9" s="70">
        <v>1869601.7861358386</v>
      </c>
      <c r="E9" s="70">
        <v>31401.434595318107</v>
      </c>
      <c r="F9" s="70">
        <v>0</v>
      </c>
      <c r="G9" s="70">
        <v>130523.80187798307</v>
      </c>
      <c r="H9" s="70">
        <v>2069606.8333333333</v>
      </c>
      <c r="I9" s="70">
        <v>3094825</v>
      </c>
      <c r="J9" s="63"/>
      <c r="K9" s="165"/>
      <c r="L9" s="70"/>
      <c r="M9" s="166">
        <f t="shared" si="0"/>
        <v>2174198.5776194581</v>
      </c>
      <c r="N9" s="166">
        <f>D9+E9+F9-K9</f>
        <v>1901003.2207311566</v>
      </c>
    </row>
    <row r="10" spans="1:15" x14ac:dyDescent="0.25">
      <c r="A10" s="164">
        <f t="shared" si="1"/>
        <v>45537</v>
      </c>
      <c r="B10" s="63"/>
      <c r="C10" s="70">
        <v>2999572.6067448966</v>
      </c>
      <c r="D10" s="70">
        <v>2463844.2951204143</v>
      </c>
      <c r="E10" s="70">
        <v>51339.960732247033</v>
      </c>
      <c r="F10" s="70">
        <v>0</v>
      </c>
      <c r="G10" s="70">
        <v>163178.01896005811</v>
      </c>
      <c r="H10" s="70">
        <v>2002488.6666666665</v>
      </c>
      <c r="I10" s="70">
        <v>3240988</v>
      </c>
      <c r="J10" s="63"/>
      <c r="K10" s="165"/>
      <c r="L10" s="70"/>
      <c r="M10" s="166">
        <f t="shared" si="0"/>
        <v>2999572.6067448966</v>
      </c>
      <c r="N10" s="166">
        <f t="shared" ref="N10:N20" si="2">D10+E10+F10-K10</f>
        <v>2515184.2558526616</v>
      </c>
    </row>
    <row r="11" spans="1:15" x14ac:dyDescent="0.25">
      <c r="A11" s="164">
        <f t="shared" si="1"/>
        <v>45568</v>
      </c>
      <c r="B11" s="63"/>
      <c r="C11" s="70">
        <v>8613006.5308025889</v>
      </c>
      <c r="D11" s="70">
        <v>5246426.6335119223</v>
      </c>
      <c r="E11" s="70">
        <v>157083.03701088854</v>
      </c>
      <c r="F11" s="70">
        <v>0</v>
      </c>
      <c r="G11" s="70">
        <v>280638.66014650837</v>
      </c>
      <c r="H11" s="70">
        <v>2000130.5</v>
      </c>
      <c r="I11" s="70">
        <v>3327357</v>
      </c>
      <c r="J11" s="63"/>
      <c r="K11" s="165"/>
      <c r="L11" s="70"/>
      <c r="M11" s="166">
        <f t="shared" si="0"/>
        <v>8613006.5308025889</v>
      </c>
      <c r="N11" s="166">
        <f t="shared" si="2"/>
        <v>5403509.6705228109</v>
      </c>
    </row>
    <row r="12" spans="1:15" x14ac:dyDescent="0.25">
      <c r="A12" s="164">
        <f t="shared" si="1"/>
        <v>45599</v>
      </c>
      <c r="B12" s="63"/>
      <c r="C12" s="70">
        <v>18384604.808241155</v>
      </c>
      <c r="D12" s="70">
        <v>7948502.5900752852</v>
      </c>
      <c r="E12" s="70">
        <v>327514.84362927778</v>
      </c>
      <c r="F12" s="70">
        <v>0</v>
      </c>
      <c r="G12" s="70">
        <v>341071.91945390304</v>
      </c>
      <c r="H12" s="70">
        <v>2390936.3333333335</v>
      </c>
      <c r="I12" s="70">
        <v>3844938</v>
      </c>
      <c r="J12" s="63"/>
      <c r="K12" s="165"/>
      <c r="L12" s="70"/>
      <c r="M12" s="166">
        <f t="shared" si="0"/>
        <v>18384604.808241155</v>
      </c>
      <c r="N12" s="166">
        <f t="shared" si="2"/>
        <v>8276017.4337045625</v>
      </c>
    </row>
    <row r="13" spans="1:15" x14ac:dyDescent="0.25">
      <c r="A13" s="164">
        <f t="shared" si="1"/>
        <v>45630</v>
      </c>
      <c r="B13" s="63"/>
      <c r="C13" s="70">
        <v>25205856.221275732</v>
      </c>
      <c r="D13" s="70">
        <v>10048756.64531837</v>
      </c>
      <c r="E13" s="70">
        <v>461916.46054501948</v>
      </c>
      <c r="F13" s="70">
        <v>0</v>
      </c>
      <c r="G13" s="70">
        <v>335438.8859334329</v>
      </c>
      <c r="H13" s="70">
        <v>2799160.1686666664</v>
      </c>
      <c r="I13" s="70">
        <v>4198643</v>
      </c>
      <c r="J13" s="63"/>
      <c r="K13" s="165"/>
      <c r="L13" s="70"/>
      <c r="M13" s="166">
        <f t="shared" si="0"/>
        <v>25205856.221275732</v>
      </c>
      <c r="N13" s="166">
        <f t="shared" si="2"/>
        <v>10510673.10586339</v>
      </c>
    </row>
    <row r="14" spans="1:15" x14ac:dyDescent="0.25">
      <c r="A14" s="164">
        <f t="shared" si="1"/>
        <v>45661</v>
      </c>
      <c r="B14" s="63"/>
      <c r="C14" s="70">
        <v>23889103.147598151</v>
      </c>
      <c r="D14" s="70">
        <v>9341640.5804018825</v>
      </c>
      <c r="E14" s="70">
        <v>439298.65245432366</v>
      </c>
      <c r="F14" s="70">
        <v>0</v>
      </c>
      <c r="G14" s="70">
        <v>306107.50059906038</v>
      </c>
      <c r="H14" s="70">
        <v>3064769.6</v>
      </c>
      <c r="I14" s="70">
        <v>4592414</v>
      </c>
      <c r="J14" s="63"/>
      <c r="K14" s="165"/>
      <c r="L14" s="70"/>
      <c r="M14" s="166">
        <f t="shared" si="0"/>
        <v>23889103.147598151</v>
      </c>
      <c r="N14" s="166">
        <f t="shared" si="2"/>
        <v>9780939.2328562066</v>
      </c>
    </row>
    <row r="15" spans="1:15" x14ac:dyDescent="0.25">
      <c r="A15" s="164">
        <f t="shared" si="1"/>
        <v>45692</v>
      </c>
      <c r="B15" s="63"/>
      <c r="C15" s="70">
        <v>20514679.752644364</v>
      </c>
      <c r="D15" s="70">
        <v>8258526.0099308798</v>
      </c>
      <c r="E15" s="70">
        <v>397231.23810364824</v>
      </c>
      <c r="F15" s="70">
        <v>0</v>
      </c>
      <c r="G15" s="70">
        <v>263825.86688927264</v>
      </c>
      <c r="H15" s="70">
        <v>3454537.666666667</v>
      </c>
      <c r="I15" s="70">
        <v>4653028</v>
      </c>
      <c r="J15" s="63"/>
      <c r="K15" s="165"/>
      <c r="L15" s="70"/>
      <c r="M15" s="166">
        <f t="shared" si="0"/>
        <v>20514679.752644364</v>
      </c>
      <c r="N15" s="166">
        <f t="shared" si="2"/>
        <v>8655757.2480345275</v>
      </c>
    </row>
    <row r="16" spans="1:15" x14ac:dyDescent="0.25">
      <c r="A16" s="164">
        <f t="shared" si="1"/>
        <v>45723</v>
      </c>
      <c r="B16" s="63"/>
      <c r="C16" s="70">
        <v>15548710.176973289</v>
      </c>
      <c r="D16" s="70">
        <v>6622502.3846179405</v>
      </c>
      <c r="E16" s="70">
        <v>357593.81376062834</v>
      </c>
      <c r="F16" s="70">
        <v>0</v>
      </c>
      <c r="G16" s="70">
        <v>227756.14247099555</v>
      </c>
      <c r="H16" s="70">
        <v>3430164.5</v>
      </c>
      <c r="I16" s="70">
        <v>4186882</v>
      </c>
      <c r="J16" s="63"/>
      <c r="K16" s="165"/>
      <c r="L16" s="70"/>
      <c r="M16" s="166">
        <f t="shared" si="0"/>
        <v>15548710.176973289</v>
      </c>
      <c r="N16" s="166">
        <f t="shared" si="2"/>
        <v>6980096.1983785685</v>
      </c>
    </row>
    <row r="17" spans="1:15" x14ac:dyDescent="0.25">
      <c r="A17" s="164">
        <f t="shared" si="1"/>
        <v>45754</v>
      </c>
      <c r="B17" s="63"/>
      <c r="C17" s="70">
        <v>9789892.8569477461</v>
      </c>
      <c r="D17" s="70">
        <v>4568662.7102033142</v>
      </c>
      <c r="E17" s="70">
        <v>248859.94344318623</v>
      </c>
      <c r="F17" s="70">
        <v>0</v>
      </c>
      <c r="G17" s="70">
        <v>180385.65311725557</v>
      </c>
      <c r="H17" s="70">
        <v>3246011.5</v>
      </c>
      <c r="I17" s="70">
        <v>4159547</v>
      </c>
      <c r="J17" s="63"/>
      <c r="K17" s="165"/>
      <c r="L17" s="70"/>
      <c r="M17" s="166">
        <f t="shared" si="0"/>
        <v>9789892.8569477461</v>
      </c>
      <c r="N17" s="166">
        <f t="shared" si="2"/>
        <v>4817522.6536465008</v>
      </c>
    </row>
    <row r="18" spans="1:15" x14ac:dyDescent="0.25">
      <c r="A18" s="164">
        <f t="shared" si="1"/>
        <v>45785</v>
      </c>
      <c r="B18" s="63"/>
      <c r="C18" s="70">
        <v>4758541.7406251905</v>
      </c>
      <c r="D18" s="70">
        <v>2703389.6698792516</v>
      </c>
      <c r="E18" s="70">
        <v>160699.73728189289</v>
      </c>
      <c r="F18" s="70">
        <v>0</v>
      </c>
      <c r="G18" s="70">
        <v>126397.81408213837</v>
      </c>
      <c r="H18" s="70">
        <v>2897451.1666666665</v>
      </c>
      <c r="I18" s="70">
        <v>3787330</v>
      </c>
      <c r="J18" s="63"/>
      <c r="K18" s="165"/>
      <c r="L18" s="70"/>
      <c r="M18" s="166">
        <f t="shared" si="0"/>
        <v>4758541.7406251905</v>
      </c>
      <c r="N18" s="166">
        <f t="shared" si="2"/>
        <v>2864089.4071611445</v>
      </c>
    </row>
    <row r="19" spans="1:15" x14ac:dyDescent="0.25">
      <c r="A19" s="164">
        <f t="shared" si="1"/>
        <v>45816</v>
      </c>
      <c r="B19" s="63"/>
      <c r="C19" s="70">
        <v>3274914.4166449499</v>
      </c>
      <c r="D19" s="70">
        <v>2136372.4964434872</v>
      </c>
      <c r="E19" s="70">
        <v>101499.8118068522</v>
      </c>
      <c r="F19" s="70">
        <v>0</v>
      </c>
      <c r="G19" s="70">
        <v>123065.03189406857</v>
      </c>
      <c r="H19" s="70">
        <v>2603432.3333333335</v>
      </c>
      <c r="I19" s="70">
        <v>3484700</v>
      </c>
      <c r="J19" s="63"/>
      <c r="K19" s="165"/>
      <c r="L19" s="70"/>
      <c r="M19" s="166">
        <f t="shared" si="0"/>
        <v>3274914.4166449499</v>
      </c>
      <c r="N19" s="166">
        <f t="shared" si="2"/>
        <v>2237872.3082503392</v>
      </c>
    </row>
    <row r="20" spans="1:15" x14ac:dyDescent="0.25">
      <c r="A20" s="164">
        <f t="shared" si="1"/>
        <v>45847</v>
      </c>
      <c r="B20" s="63"/>
      <c r="C20" s="70">
        <v>2355260.6704810383</v>
      </c>
      <c r="D20" s="70">
        <v>1799079.0344488546</v>
      </c>
      <c r="E20" s="70">
        <v>54726.820693892536</v>
      </c>
      <c r="F20" s="70">
        <v>0</v>
      </c>
      <c r="G20" s="70">
        <v>122737.00593698387</v>
      </c>
      <c r="H20" s="70">
        <v>2272108.3333333335</v>
      </c>
      <c r="I20" s="70">
        <v>3309220</v>
      </c>
      <c r="J20" s="63"/>
      <c r="K20" s="165"/>
      <c r="L20" s="70"/>
      <c r="M20" s="166">
        <f t="shared" si="0"/>
        <v>2355260.6704810383</v>
      </c>
      <c r="N20" s="166">
        <f t="shared" si="2"/>
        <v>1853805.8551427471</v>
      </c>
    </row>
    <row r="21" spans="1:15" x14ac:dyDescent="0.25">
      <c r="A21" s="60"/>
      <c r="C21" s="49"/>
      <c r="D21" s="49"/>
      <c r="E21" s="49"/>
      <c r="F21" s="49"/>
      <c r="G21" s="49"/>
      <c r="H21" s="49"/>
      <c r="I21" s="49"/>
      <c r="K21" s="69"/>
      <c r="L21" s="49"/>
      <c r="M21" s="53"/>
      <c r="N21" s="53"/>
    </row>
    <row r="22" spans="1:15" x14ac:dyDescent="0.25">
      <c r="A22" s="60"/>
      <c r="C22" s="49"/>
      <c r="D22" s="49"/>
      <c r="E22" s="49"/>
      <c r="F22" s="49"/>
      <c r="G22" s="49"/>
      <c r="H22" s="49"/>
      <c r="I22" s="49"/>
      <c r="K22" s="69"/>
      <c r="L22" s="49"/>
      <c r="M22" s="53"/>
      <c r="N22" s="53"/>
    </row>
    <row r="23" spans="1:15" x14ac:dyDescent="0.25">
      <c r="A23" s="60"/>
      <c r="C23" s="49"/>
      <c r="D23" s="49"/>
      <c r="E23" s="49"/>
      <c r="F23" s="49"/>
      <c r="G23" s="49"/>
      <c r="H23" s="49"/>
      <c r="I23" s="49"/>
      <c r="K23" s="69"/>
      <c r="L23" s="49"/>
      <c r="M23" s="53"/>
      <c r="N23" s="53"/>
    </row>
    <row r="24" spans="1:15" x14ac:dyDescent="0.25">
      <c r="A24" s="60"/>
      <c r="C24" s="79"/>
      <c r="D24" s="79"/>
      <c r="F24" s="79"/>
      <c r="G24" s="79"/>
      <c r="H24" s="79"/>
      <c r="I24" s="79"/>
      <c r="K24" s="69"/>
      <c r="L24" s="49"/>
      <c r="M24" s="53"/>
      <c r="N24" s="53"/>
    </row>
    <row r="25" spans="1:15" x14ac:dyDescent="0.25">
      <c r="A25" s="60"/>
      <c r="C25" s="79"/>
      <c r="D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5" x14ac:dyDescent="0.25">
      <c r="A26" s="60"/>
      <c r="C26" s="79"/>
      <c r="D26" s="79"/>
      <c r="F26" s="79"/>
      <c r="G26" s="79"/>
      <c r="H26" s="79"/>
      <c r="I26" s="79"/>
      <c r="K26" s="69"/>
      <c r="L26" s="49"/>
      <c r="M26" s="53"/>
      <c r="N26" s="53"/>
    </row>
    <row r="27" spans="1:15" x14ac:dyDescent="0.25">
      <c r="A27" s="60"/>
      <c r="C27" s="79"/>
      <c r="D27" s="79"/>
      <c r="F27" s="79"/>
      <c r="G27" s="79"/>
      <c r="H27" s="79"/>
      <c r="I27" s="79"/>
      <c r="K27" s="69"/>
      <c r="L27" s="49"/>
      <c r="M27" s="53"/>
      <c r="N27" s="53"/>
    </row>
    <row r="28" spans="1:15" x14ac:dyDescent="0.25">
      <c r="A28" s="60"/>
      <c r="C28" s="79"/>
      <c r="D28" s="79"/>
      <c r="F28" s="79"/>
      <c r="G28" s="79"/>
      <c r="H28" s="79"/>
      <c r="I28" s="79"/>
      <c r="J28" s="49"/>
      <c r="K28" s="49"/>
      <c r="L28" s="49"/>
      <c r="M28" s="49"/>
      <c r="N28" s="49"/>
      <c r="O28" s="49"/>
    </row>
    <row r="29" spans="1:15" x14ac:dyDescent="0.25">
      <c r="A29" s="60"/>
      <c r="C29" s="79"/>
      <c r="D29" s="79"/>
      <c r="F29" s="79"/>
      <c r="G29" s="79"/>
      <c r="H29" s="79"/>
      <c r="I29" s="79"/>
      <c r="J29" s="49"/>
      <c r="K29" s="49"/>
      <c r="L29" s="49"/>
      <c r="M29" s="49"/>
      <c r="N29" s="49"/>
      <c r="O29" s="49"/>
    </row>
    <row r="30" spans="1:15" x14ac:dyDescent="0.25">
      <c r="A30" s="60"/>
      <c r="C30" s="79"/>
      <c r="D30" s="79"/>
      <c r="F30" s="79"/>
      <c r="G30" s="79"/>
      <c r="H30" s="79"/>
      <c r="I30" s="79"/>
      <c r="J30" s="49"/>
      <c r="K30" s="49"/>
      <c r="L30" s="49"/>
      <c r="M30" s="49"/>
      <c r="N30" s="49"/>
      <c r="O30" s="49"/>
    </row>
    <row r="31" spans="1:15" x14ac:dyDescent="0.25">
      <c r="A31" s="60"/>
      <c r="C31" s="79"/>
      <c r="D31" s="79"/>
      <c r="F31" s="79"/>
      <c r="G31" s="79"/>
      <c r="H31" s="79"/>
      <c r="I31" s="79"/>
      <c r="J31" s="49"/>
      <c r="K31" s="49"/>
      <c r="L31" s="49"/>
      <c r="M31" s="49"/>
      <c r="N31" s="49"/>
      <c r="O31" s="49"/>
    </row>
    <row r="32" spans="1:15" x14ac:dyDescent="0.25">
      <c r="A32" s="60"/>
      <c r="C32" s="79"/>
      <c r="D32" s="79"/>
      <c r="F32" s="79"/>
      <c r="G32" s="79"/>
      <c r="H32" s="79"/>
      <c r="I32" s="79"/>
      <c r="J32" s="49"/>
      <c r="K32" s="49"/>
      <c r="L32" s="49"/>
      <c r="M32" s="49"/>
      <c r="N32" s="49"/>
      <c r="O32" s="49"/>
    </row>
    <row r="33" spans="1:15" x14ac:dyDescent="0.25">
      <c r="A33" s="60"/>
      <c r="C33" s="79"/>
      <c r="D33" s="79"/>
      <c r="F33" s="79"/>
      <c r="G33" s="79"/>
      <c r="H33" s="79"/>
      <c r="I33" s="79"/>
      <c r="J33" s="49"/>
      <c r="K33" s="49"/>
      <c r="L33" s="49"/>
      <c r="M33" s="49"/>
      <c r="N33" s="49"/>
      <c r="O33" s="49"/>
    </row>
    <row r="34" spans="1:15" x14ac:dyDescent="0.25">
      <c r="A34" s="60"/>
      <c r="C34" s="79"/>
      <c r="D34" s="79"/>
      <c r="F34" s="79"/>
      <c r="G34" s="79"/>
      <c r="H34" s="79"/>
      <c r="I34" s="79"/>
      <c r="J34" s="49"/>
      <c r="K34" s="49"/>
      <c r="L34" s="49"/>
      <c r="M34" s="49"/>
      <c r="N34" s="49"/>
      <c r="O34" s="49"/>
    </row>
    <row r="35" spans="1:15" x14ac:dyDescent="0.25">
      <c r="A35" s="60"/>
      <c r="C35" s="79"/>
      <c r="D35" s="79"/>
      <c r="F35" s="79"/>
      <c r="G35" s="79"/>
      <c r="H35" s="79"/>
      <c r="I35" s="79"/>
      <c r="K35" s="69"/>
      <c r="L35" s="49"/>
      <c r="M35" s="53"/>
      <c r="N35" s="53"/>
    </row>
    <row r="36" spans="1:15" x14ac:dyDescent="0.25">
      <c r="A36" s="60"/>
      <c r="C36" s="79"/>
      <c r="D36" s="79"/>
      <c r="F36" s="79"/>
      <c r="G36" s="79"/>
      <c r="H36" s="79"/>
      <c r="I36" s="79"/>
      <c r="K36" s="69"/>
      <c r="L36" s="49"/>
      <c r="M36" s="53"/>
      <c r="N36" s="53"/>
    </row>
    <row r="37" spans="1:15" x14ac:dyDescent="0.25">
      <c r="A37" s="60"/>
      <c r="C37" s="79"/>
      <c r="D37" s="79"/>
      <c r="F37" s="79"/>
      <c r="G37" s="79"/>
      <c r="H37" s="79"/>
      <c r="I37" s="79"/>
      <c r="J37" s="79"/>
      <c r="K37" s="69"/>
      <c r="L37" s="49"/>
      <c r="M37" s="53"/>
      <c r="N37" s="53"/>
    </row>
    <row r="38" spans="1:15" x14ac:dyDescent="0.25">
      <c r="A38" s="60"/>
      <c r="C38" s="79"/>
      <c r="D38" s="79"/>
      <c r="F38" s="79"/>
      <c r="G38" s="79"/>
      <c r="H38" s="79"/>
      <c r="I38" s="79"/>
      <c r="J38" s="79"/>
      <c r="K38" s="69"/>
      <c r="L38" s="49"/>
      <c r="M38" s="53"/>
      <c r="N38" s="53"/>
    </row>
    <row r="39" spans="1:15" x14ac:dyDescent="0.25">
      <c r="A39" s="60"/>
      <c r="C39" s="49"/>
      <c r="D39" s="79"/>
      <c r="F39" s="79"/>
      <c r="G39" s="79"/>
      <c r="H39" s="79"/>
      <c r="I39" s="79"/>
      <c r="J39" s="79"/>
      <c r="K39" s="69"/>
      <c r="L39" s="49"/>
      <c r="M39" s="53"/>
      <c r="N39" s="53"/>
    </row>
    <row r="40" spans="1:15" x14ac:dyDescent="0.25">
      <c r="A40" s="60"/>
      <c r="C40" s="53"/>
      <c r="D40" s="79"/>
      <c r="F40" s="79"/>
      <c r="G40" s="79"/>
      <c r="H40" s="79"/>
      <c r="I40" s="79"/>
      <c r="J40" s="79"/>
      <c r="K40" s="69"/>
      <c r="L40" s="49"/>
      <c r="M40" s="53"/>
      <c r="N40" s="53"/>
    </row>
    <row r="41" spans="1:15" x14ac:dyDescent="0.25">
      <c r="A41" s="60"/>
      <c r="C41" s="69"/>
      <c r="D41" s="79"/>
      <c r="F41" s="79"/>
      <c r="G41" s="79"/>
      <c r="H41" s="79"/>
      <c r="I41" s="79"/>
      <c r="J41" s="79"/>
      <c r="K41" s="69"/>
      <c r="L41" s="49"/>
      <c r="M41" s="53"/>
      <c r="N41" s="53"/>
    </row>
    <row r="42" spans="1:15" x14ac:dyDescent="0.25">
      <c r="A42" s="60"/>
      <c r="C42" s="49"/>
      <c r="D42" s="79"/>
      <c r="F42" s="79"/>
      <c r="G42" s="79"/>
      <c r="H42" s="79"/>
      <c r="I42" s="79"/>
      <c r="J42" s="79"/>
      <c r="K42" s="69"/>
      <c r="L42" s="49"/>
      <c r="M42" s="53"/>
      <c r="N42" s="53"/>
    </row>
    <row r="43" spans="1:15" x14ac:dyDescent="0.25">
      <c r="A43" s="60"/>
      <c r="C43" s="53"/>
      <c r="D43" s="49"/>
      <c r="E43" s="49"/>
      <c r="F43" s="49"/>
      <c r="G43" s="49"/>
      <c r="H43" s="49"/>
      <c r="I43" s="49"/>
      <c r="J43" s="49"/>
      <c r="K43" s="69"/>
      <c r="L43" s="49"/>
      <c r="M43" s="53"/>
      <c r="N43" s="53"/>
    </row>
    <row r="44" spans="1:15" x14ac:dyDescent="0.25">
      <c r="A44" s="60"/>
      <c r="C44" s="53"/>
      <c r="D44" s="49"/>
      <c r="E44" s="49"/>
      <c r="F44" s="49"/>
      <c r="G44" s="49"/>
      <c r="H44" s="49"/>
      <c r="I44" s="49"/>
      <c r="J44" s="49"/>
      <c r="K44" s="69"/>
      <c r="L44" s="49"/>
      <c r="M44" s="53"/>
      <c r="N44" s="53"/>
    </row>
    <row r="45" spans="1:15" x14ac:dyDescent="0.25">
      <c r="A45" s="60"/>
      <c r="C45" s="53"/>
      <c r="D45" s="49"/>
      <c r="E45" s="49"/>
      <c r="F45" s="49"/>
      <c r="G45" s="49"/>
      <c r="H45" s="49"/>
      <c r="I45" s="49"/>
      <c r="J45" s="49"/>
      <c r="K45" s="69"/>
      <c r="L45" s="49"/>
      <c r="M45" s="53"/>
      <c r="N45" s="53"/>
    </row>
    <row r="46" spans="1:15" x14ac:dyDescent="0.25">
      <c r="A46" s="60"/>
      <c r="C46" s="53"/>
      <c r="D46" s="49"/>
      <c r="E46" s="49"/>
      <c r="F46" s="49"/>
      <c r="G46" s="49"/>
      <c r="H46" s="49"/>
      <c r="I46" s="49"/>
      <c r="J46" s="49"/>
      <c r="K46" s="69"/>
      <c r="L46" s="49"/>
      <c r="M46" s="53"/>
      <c r="N46" s="53"/>
    </row>
    <row r="47" spans="1:15" x14ac:dyDescent="0.25">
      <c r="A47" s="60"/>
      <c r="C47" s="53"/>
      <c r="D47" s="49"/>
      <c r="E47" s="49"/>
      <c r="F47" s="49"/>
      <c r="G47" s="49"/>
      <c r="H47" s="49"/>
      <c r="I47" s="49"/>
      <c r="J47" s="49"/>
      <c r="K47" s="69"/>
      <c r="L47" s="49"/>
      <c r="M47" s="53"/>
      <c r="N47" s="53"/>
    </row>
    <row r="48" spans="1:15" x14ac:dyDescent="0.25">
      <c r="A48" s="60"/>
      <c r="C48" s="49"/>
      <c r="D48" s="49"/>
      <c r="E48" s="49"/>
      <c r="F48" s="49"/>
      <c r="G48" s="49"/>
      <c r="H48" s="49"/>
      <c r="I48" s="49"/>
      <c r="J48" s="49"/>
      <c r="K48" s="69"/>
      <c r="M48" s="53"/>
      <c r="N48" s="53"/>
    </row>
    <row r="49" spans="1:14" x14ac:dyDescent="0.25">
      <c r="A49" s="60"/>
      <c r="C49" s="49"/>
      <c r="D49" s="79"/>
      <c r="F49" s="79"/>
      <c r="G49" s="79"/>
      <c r="H49" s="79"/>
      <c r="I49" s="79"/>
      <c r="J49" s="79"/>
      <c r="K49" s="69"/>
      <c r="M49" s="53"/>
      <c r="N49" s="53"/>
    </row>
    <row r="50" spans="1:14" x14ac:dyDescent="0.25">
      <c r="A50" s="60"/>
      <c r="C50" s="49"/>
      <c r="D50" s="79"/>
      <c r="F50" s="79"/>
      <c r="G50" s="79"/>
      <c r="H50" s="79"/>
      <c r="I50" s="79"/>
      <c r="J50" s="79"/>
      <c r="K50" s="69"/>
      <c r="M50" s="53"/>
      <c r="N50" s="53"/>
    </row>
    <row r="51" spans="1:14" x14ac:dyDescent="0.25">
      <c r="A51" s="60"/>
      <c r="C51" s="49"/>
      <c r="D51" s="79"/>
      <c r="F51" s="79"/>
      <c r="G51" s="79"/>
      <c r="H51" s="79"/>
      <c r="I51" s="79"/>
      <c r="J51" s="79"/>
      <c r="K51" s="69"/>
      <c r="M51" s="53"/>
      <c r="N51" s="53"/>
    </row>
    <row r="52" spans="1:14" x14ac:dyDescent="0.25">
      <c r="A52" s="60"/>
      <c r="C52" s="49"/>
      <c r="D52" s="49"/>
      <c r="E52" s="49"/>
      <c r="F52" s="49"/>
      <c r="G52" s="49"/>
      <c r="H52" s="49"/>
      <c r="I52" s="49"/>
      <c r="K52" s="69"/>
      <c r="M52" s="53"/>
      <c r="N52" s="53"/>
    </row>
    <row r="53" spans="1:14" x14ac:dyDescent="0.25">
      <c r="A53" s="60"/>
      <c r="C53" s="49"/>
      <c r="D53" s="49"/>
      <c r="E53" s="49"/>
      <c r="F53" s="49"/>
      <c r="G53" s="49"/>
      <c r="H53" s="49"/>
      <c r="I53" s="49"/>
      <c r="K53" s="69"/>
      <c r="M53" s="53"/>
      <c r="N53" s="53"/>
    </row>
    <row r="54" spans="1:14" x14ac:dyDescent="0.25">
      <c r="A54" s="60"/>
      <c r="C54" s="49"/>
      <c r="D54" s="49"/>
      <c r="E54" s="49"/>
      <c r="F54" s="49"/>
      <c r="G54" s="49"/>
      <c r="H54" s="49"/>
      <c r="I54" s="49"/>
      <c r="K54" s="69"/>
      <c r="M54" s="53"/>
      <c r="N54" s="53"/>
    </row>
    <row r="55" spans="1:14" x14ac:dyDescent="0.25">
      <c r="A55" s="60"/>
      <c r="C55" s="49"/>
      <c r="D55" s="49"/>
      <c r="E55" s="49"/>
      <c r="F55" s="49"/>
      <c r="G55" s="49"/>
      <c r="H55" s="49"/>
      <c r="I55" s="49"/>
      <c r="K55" s="69"/>
      <c r="M55" s="53"/>
      <c r="N55" s="53"/>
    </row>
    <row r="56" spans="1:14" x14ac:dyDescent="0.25">
      <c r="A56" s="60"/>
      <c r="C56" s="49"/>
      <c r="D56" s="49"/>
      <c r="E56" s="49"/>
      <c r="F56" s="49"/>
      <c r="G56" s="49"/>
      <c r="H56" s="49"/>
      <c r="I56" s="49"/>
      <c r="K56" s="69"/>
      <c r="M56" s="53"/>
      <c r="N56" s="53"/>
    </row>
    <row r="57" spans="1:14" x14ac:dyDescent="0.25">
      <c r="A57" s="60"/>
      <c r="C57" s="49"/>
      <c r="D57" s="49"/>
      <c r="E57" s="49"/>
      <c r="F57" s="49"/>
      <c r="G57" s="49"/>
      <c r="H57" s="49"/>
      <c r="I57" s="49"/>
      <c r="K57" s="69"/>
      <c r="M57" s="53"/>
      <c r="N57" s="53"/>
    </row>
    <row r="58" spans="1:14" x14ac:dyDescent="0.25">
      <c r="A58" s="60"/>
      <c r="C58" s="49"/>
      <c r="D58" s="49"/>
      <c r="E58" s="49"/>
      <c r="F58" s="49"/>
      <c r="G58" s="49"/>
      <c r="H58" s="49"/>
      <c r="I58" s="49"/>
      <c r="K58" s="69"/>
      <c r="M58" s="53"/>
      <c r="N58" s="53"/>
    </row>
    <row r="59" spans="1:14" x14ac:dyDescent="0.25">
      <c r="A59" s="60"/>
      <c r="C59" s="49"/>
      <c r="D59" s="49"/>
      <c r="E59" s="49"/>
      <c r="F59" s="49"/>
      <c r="G59" s="49"/>
      <c r="H59" s="49"/>
      <c r="I59" s="49"/>
      <c r="K59" s="69"/>
      <c r="M59" s="53"/>
      <c r="N59" s="53"/>
    </row>
    <row r="60" spans="1:14" x14ac:dyDescent="0.25">
      <c r="A60" s="60"/>
      <c r="C60" s="49"/>
      <c r="D60" s="49"/>
      <c r="E60" s="49"/>
      <c r="F60" s="49"/>
      <c r="G60" s="49"/>
      <c r="H60" s="49"/>
      <c r="I60" s="49"/>
      <c r="K60" s="69"/>
      <c r="M60" s="53"/>
      <c r="N60" s="53"/>
    </row>
    <row r="61" spans="1:14" x14ac:dyDescent="0.25">
      <c r="A61" s="60"/>
      <c r="C61" s="49"/>
      <c r="D61" s="49"/>
      <c r="E61" s="49"/>
      <c r="F61" s="49"/>
      <c r="G61" s="49"/>
      <c r="H61" s="49"/>
      <c r="I61" s="49"/>
      <c r="K61" s="69"/>
      <c r="M61" s="53"/>
      <c r="N61" s="53"/>
    </row>
    <row r="62" spans="1:14" x14ac:dyDescent="0.25">
      <c r="A62" s="60"/>
      <c r="C62" s="49"/>
      <c r="D62" s="49"/>
      <c r="E62" s="49"/>
      <c r="F62" s="49"/>
      <c r="G62" s="49"/>
      <c r="H62" s="49"/>
      <c r="I62" s="49"/>
      <c r="K62" s="69"/>
      <c r="M62" s="53"/>
      <c r="N62" s="53"/>
    </row>
    <row r="63" spans="1:14" x14ac:dyDescent="0.25">
      <c r="A63" s="60"/>
      <c r="C63" s="49"/>
      <c r="D63" s="49"/>
      <c r="E63" s="49"/>
      <c r="F63" s="49"/>
      <c r="G63" s="49"/>
      <c r="H63" s="49"/>
      <c r="I63" s="49"/>
      <c r="K63" s="69"/>
      <c r="M63" s="53"/>
      <c r="N63" s="53"/>
    </row>
    <row r="64" spans="1:14" x14ac:dyDescent="0.25">
      <c r="A64" s="60"/>
      <c r="C64" s="49"/>
      <c r="D64" s="49"/>
      <c r="E64" s="49"/>
      <c r="F64" s="49"/>
      <c r="G64" s="49"/>
      <c r="H64" s="49"/>
      <c r="I64" s="49"/>
      <c r="K64" s="69"/>
      <c r="M64" s="53"/>
      <c r="N64" s="53"/>
    </row>
    <row r="65" spans="1:14" x14ac:dyDescent="0.25">
      <c r="A65" s="60"/>
      <c r="C65" s="49"/>
      <c r="D65" s="49"/>
      <c r="E65" s="49"/>
      <c r="F65" s="49"/>
      <c r="G65" s="49"/>
      <c r="H65" s="49"/>
      <c r="I65" s="49"/>
      <c r="K65" s="69"/>
      <c r="M65" s="53"/>
      <c r="N65" s="53"/>
    </row>
    <row r="66" spans="1:14" x14ac:dyDescent="0.25">
      <c r="A66" s="60"/>
      <c r="C66" s="49"/>
      <c r="D66" s="49"/>
      <c r="E66" s="49"/>
      <c r="F66" s="49"/>
      <c r="G66" s="49"/>
      <c r="H66" s="49"/>
      <c r="I66" s="49"/>
      <c r="K66" s="69"/>
      <c r="M66" s="53"/>
      <c r="N66" s="53"/>
    </row>
    <row r="67" spans="1:14" x14ac:dyDescent="0.25">
      <c r="A67" s="60"/>
      <c r="C67" s="49"/>
      <c r="D67" s="49"/>
      <c r="E67" s="49"/>
      <c r="F67" s="49"/>
      <c r="G67" s="49"/>
      <c r="H67" s="49"/>
      <c r="I67" s="49"/>
      <c r="K67" s="69"/>
      <c r="M67" s="53"/>
      <c r="N67" s="53"/>
    </row>
    <row r="68" spans="1:14" x14ac:dyDescent="0.25">
      <c r="A68" s="60"/>
      <c r="C68" s="49"/>
      <c r="D68" s="49"/>
      <c r="E68" s="49"/>
      <c r="F68" s="49"/>
      <c r="G68" s="49"/>
      <c r="H68" s="49"/>
      <c r="I68" s="49"/>
      <c r="K68" s="69"/>
      <c r="M68" s="53"/>
      <c r="N68" s="53"/>
    </row>
    <row r="69" spans="1:14" x14ac:dyDescent="0.25">
      <c r="A69" s="60"/>
      <c r="C69" s="49"/>
      <c r="D69" s="49"/>
      <c r="E69" s="49"/>
      <c r="F69" s="49"/>
      <c r="G69" s="49"/>
      <c r="H69" s="49"/>
      <c r="I69" s="49"/>
      <c r="K69" s="69"/>
      <c r="M69" s="53"/>
      <c r="N69" s="53"/>
    </row>
    <row r="70" spans="1:14" x14ac:dyDescent="0.25">
      <c r="A70" s="60"/>
      <c r="C70" s="49"/>
      <c r="D70" s="49"/>
      <c r="E70" s="49"/>
      <c r="F70" s="49"/>
      <c r="G70" s="49"/>
      <c r="H70" s="49"/>
      <c r="I70" s="49"/>
      <c r="K70" s="69"/>
      <c r="M70" s="53"/>
      <c r="N70" s="53"/>
    </row>
    <row r="71" spans="1:14" x14ac:dyDescent="0.25">
      <c r="A71" s="60"/>
      <c r="C71" s="49"/>
      <c r="D71" s="49"/>
      <c r="E71" s="49"/>
      <c r="F71" s="49"/>
      <c r="G71" s="49"/>
      <c r="H71" s="49"/>
      <c r="I71" s="49"/>
      <c r="K71" s="69"/>
      <c r="M71" s="53"/>
      <c r="N71" s="53"/>
    </row>
  </sheetData>
  <mergeCells count="3">
    <mergeCell ref="A1:A2"/>
    <mergeCell ref="K3:K4"/>
    <mergeCell ref="M3:N3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topLeftCell="A46" zoomScale="80" zoomScaleNormal="80" workbookViewId="0">
      <selection activeCell="K79" sqref="K79"/>
    </sheetView>
  </sheetViews>
  <sheetFormatPr defaultRowHeight="15" x14ac:dyDescent="0.25"/>
  <cols>
    <col min="1" max="1" width="5.28515625" customWidth="1"/>
    <col min="2" max="2" width="31.7109375" customWidth="1"/>
    <col min="3" max="3" width="15" customWidth="1"/>
    <col min="4" max="4" width="14.28515625" customWidth="1"/>
    <col min="5" max="5" width="19.85546875" customWidth="1"/>
    <col min="6" max="6" width="8.140625" customWidth="1"/>
    <col min="7" max="7" width="5.28515625" customWidth="1"/>
    <col min="8" max="8" width="31.7109375" customWidth="1"/>
    <col min="9" max="9" width="14" customWidth="1"/>
    <col min="10" max="10" width="15.28515625" customWidth="1"/>
    <col min="11" max="11" width="19.140625" customWidth="1"/>
    <col min="12" max="12" width="8.28515625" customWidth="1"/>
    <col min="13" max="13" width="12.5703125" bestFit="1" customWidth="1"/>
    <col min="14" max="14" width="11.140625" bestFit="1" customWidth="1"/>
    <col min="15" max="15" width="10" customWidth="1"/>
  </cols>
  <sheetData>
    <row r="1" spans="1:15" x14ac:dyDescent="0.25">
      <c r="B1" s="230" t="s">
        <v>0</v>
      </c>
      <c r="C1" s="230"/>
      <c r="D1" s="230"/>
      <c r="E1" s="230"/>
      <c r="F1" s="134"/>
      <c r="G1" s="72"/>
      <c r="H1" s="230" t="s">
        <v>0</v>
      </c>
      <c r="I1" s="230"/>
      <c r="J1" s="230"/>
      <c r="K1" s="230"/>
    </row>
    <row r="2" spans="1:15" x14ac:dyDescent="0.25">
      <c r="B2" s="230" t="s">
        <v>1</v>
      </c>
      <c r="C2" s="230"/>
      <c r="D2" s="230"/>
      <c r="E2" s="230"/>
      <c r="F2" s="134"/>
      <c r="G2" s="72"/>
      <c r="H2" s="230" t="s">
        <v>1</v>
      </c>
      <c r="I2" s="230"/>
      <c r="J2" s="230"/>
      <c r="K2" s="230"/>
    </row>
    <row r="3" spans="1:15" x14ac:dyDescent="0.25">
      <c r="B3" s="230" t="s">
        <v>190</v>
      </c>
      <c r="C3" s="230"/>
      <c r="D3" s="230"/>
      <c r="E3" s="230"/>
      <c r="F3" s="134"/>
      <c r="G3" s="72"/>
      <c r="H3" s="230" t="str">
        <f>B3</f>
        <v>Effective August 1, 2024 - July 31, 2025</v>
      </c>
      <c r="I3" s="230"/>
      <c r="J3" s="230"/>
      <c r="K3" s="230"/>
      <c r="L3" s="63"/>
    </row>
    <row r="4" spans="1:1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5" ht="18.75" x14ac:dyDescent="0.3">
      <c r="B5" s="229" t="s">
        <v>4</v>
      </c>
      <c r="C5" s="229"/>
      <c r="D5" s="229"/>
      <c r="E5" s="229"/>
      <c r="F5" s="36"/>
      <c r="G5" s="30"/>
      <c r="H5" s="229" t="s">
        <v>14</v>
      </c>
      <c r="I5" s="229"/>
      <c r="J5" s="229"/>
      <c r="K5" s="229"/>
    </row>
    <row r="6" spans="1:15" ht="30" customHeight="1" x14ac:dyDescent="0.25">
      <c r="A6" s="77" t="s">
        <v>93</v>
      </c>
      <c r="B6" s="27" t="s">
        <v>2</v>
      </c>
      <c r="C6" s="27" t="s">
        <v>6</v>
      </c>
      <c r="D6" s="27" t="s">
        <v>7</v>
      </c>
      <c r="E6" s="27" t="s">
        <v>105</v>
      </c>
      <c r="F6" s="27"/>
      <c r="G6" s="77" t="s">
        <v>93</v>
      </c>
      <c r="H6" s="27" t="s">
        <v>2</v>
      </c>
      <c r="I6" s="27" t="s">
        <v>6</v>
      </c>
      <c r="J6" s="27" t="s">
        <v>7</v>
      </c>
      <c r="K6" s="67" t="s">
        <v>105</v>
      </c>
    </row>
    <row r="7" spans="1:15" x14ac:dyDescent="0.25">
      <c r="A7" s="78">
        <v>1</v>
      </c>
      <c r="B7" s="27"/>
      <c r="C7" s="27">
        <f>ROUND(C8/E22,5)</f>
        <v>4.0280000000000003E-2</v>
      </c>
      <c r="D7" s="28">
        <f>F57</f>
        <v>8.5000000000000006E-2</v>
      </c>
      <c r="E7" s="27"/>
      <c r="F7" s="27"/>
      <c r="G7" s="78">
        <v>1</v>
      </c>
      <c r="H7" s="27"/>
      <c r="I7" s="27">
        <f>ROUND(I8/K22,5)</f>
        <v>1.0749999999999999E-2</v>
      </c>
      <c r="J7" s="28">
        <f>D7</f>
        <v>8.5000000000000006E-2</v>
      </c>
      <c r="K7" s="27"/>
      <c r="L7" s="63"/>
      <c r="M7" s="63"/>
      <c r="O7" s="59"/>
    </row>
    <row r="8" spans="1:15" x14ac:dyDescent="0.25">
      <c r="A8" s="78">
        <v>2</v>
      </c>
      <c r="B8" s="54">
        <v>45474</v>
      </c>
      <c r="C8" s="29">
        <f>C55+C56</f>
        <v>5538751.0056828437</v>
      </c>
      <c r="D8" s="29"/>
      <c r="E8" s="30"/>
      <c r="F8" s="30"/>
      <c r="G8" s="78">
        <v>2</v>
      </c>
      <c r="H8" s="54">
        <f>B8</f>
        <v>45474</v>
      </c>
      <c r="I8" s="29">
        <f>I55+I56</f>
        <v>707319.97602720722</v>
      </c>
      <c r="J8" s="29"/>
      <c r="K8" s="30"/>
    </row>
    <row r="9" spans="1:15" x14ac:dyDescent="0.25">
      <c r="A9" s="78">
        <v>3</v>
      </c>
      <c r="B9" s="54">
        <f>B8+31</f>
        <v>45505</v>
      </c>
      <c r="C9" s="80">
        <f>C8+D9-$C$7*E9</f>
        <v>5490096.9390544994</v>
      </c>
      <c r="D9" s="80">
        <f>(C8-$C$7*E9/2)*($D$7/12)</f>
        <v>38922.652078167921</v>
      </c>
      <c r="E9" s="33">
        <f>'4 10 24 Forecast Usage by Sched'!M9</f>
        <v>2174198.5776194581</v>
      </c>
      <c r="F9" s="33"/>
      <c r="G9" s="78">
        <v>3</v>
      </c>
      <c r="H9" s="54">
        <f t="shared" ref="H9:H20" si="0">B9</f>
        <v>45505</v>
      </c>
      <c r="I9" s="84">
        <f>I8+J9-K9*$I$7</f>
        <v>691821.99783066742</v>
      </c>
      <c r="J9" s="84">
        <f>(I8-$I$7*K9/2)*$J$7/12</f>
        <v>4937.8064263200895</v>
      </c>
      <c r="K9" s="33">
        <f>'4 10 24 Forecast Usage by Sched'!N9</f>
        <v>1901003.2207311566</v>
      </c>
      <c r="M9" s="49"/>
      <c r="N9" s="49"/>
      <c r="O9" s="49"/>
    </row>
    <row r="10" spans="1:15" x14ac:dyDescent="0.25">
      <c r="A10" s="78">
        <v>4</v>
      </c>
      <c r="B10" s="54">
        <f t="shared" ref="B10:B20" si="1">B9+31</f>
        <v>45536</v>
      </c>
      <c r="C10" s="80">
        <f t="shared" ref="C10:C20" si="2">C9+D10-$C$7*E10</f>
        <v>5407734.4270776603</v>
      </c>
      <c r="D10" s="80">
        <f t="shared" ref="D10:D20" si="3">(C9-$C$7*E10/2)*($D$7/12)</f>
        <v>38460.272622845492</v>
      </c>
      <c r="E10" s="33">
        <f>'4 10 24 Forecast Usage by Sched'!M10</f>
        <v>2999572.6067448966</v>
      </c>
      <c r="F10" s="33"/>
      <c r="G10" s="78">
        <v>4</v>
      </c>
      <c r="H10" s="54">
        <f t="shared" si="0"/>
        <v>45536</v>
      </c>
      <c r="I10" s="84">
        <f t="shared" ref="I10:I20" si="4">I9+J10-K10*$I$7</f>
        <v>669588.4124976442</v>
      </c>
      <c r="J10" s="84">
        <f t="shared" ref="J10:J20" si="5">(I9-$I$7*K10/2)*$J$7/12</f>
        <v>4804.6454173928369</v>
      </c>
      <c r="K10" s="33">
        <f>'4 10 24 Forecast Usage by Sched'!N10</f>
        <v>2515184.2558526616</v>
      </c>
      <c r="M10" s="49"/>
      <c r="N10" s="49"/>
      <c r="O10" s="49"/>
    </row>
    <row r="11" spans="1:15" x14ac:dyDescent="0.25">
      <c r="A11" s="78">
        <v>5</v>
      </c>
      <c r="B11" s="54">
        <f t="shared" si="1"/>
        <v>45567</v>
      </c>
      <c r="C11" s="80">
        <f t="shared" si="2"/>
        <v>5097878.5923853917</v>
      </c>
      <c r="D11" s="80">
        <f>(C10-$C$7*E11/2)*($D$7/12)</f>
        <v>37076.068368460015</v>
      </c>
      <c r="E11" s="33">
        <f>'4 10 24 Forecast Usage by Sched'!M11</f>
        <v>8613006.5308025889</v>
      </c>
      <c r="F11" s="33"/>
      <c r="G11" s="78">
        <v>5</v>
      </c>
      <c r="H11" s="54">
        <f t="shared" si="0"/>
        <v>45567</v>
      </c>
      <c r="I11" s="84">
        <f t="shared" si="4"/>
        <v>616037.87408798898</v>
      </c>
      <c r="J11" s="84">
        <f t="shared" si="5"/>
        <v>4537.1905484649715</v>
      </c>
      <c r="K11" s="33">
        <f>'4 10 24 Forecast Usage by Sched'!N11</f>
        <v>5403509.6705228109</v>
      </c>
      <c r="M11" s="49"/>
      <c r="N11" s="49"/>
      <c r="O11" s="49"/>
    </row>
    <row r="12" spans="1:15" x14ac:dyDescent="0.25">
      <c r="A12" s="78">
        <v>6</v>
      </c>
      <c r="B12" s="54">
        <f t="shared" si="1"/>
        <v>45598</v>
      </c>
      <c r="C12" s="80">
        <f t="shared" si="2"/>
        <v>4390833.9669912318</v>
      </c>
      <c r="D12" s="80">
        <f t="shared" si="3"/>
        <v>33487.256281794194</v>
      </c>
      <c r="E12" s="33">
        <f>'4 10 24 Forecast Usage by Sched'!M12</f>
        <v>18384604.808241155</v>
      </c>
      <c r="F12" s="33"/>
      <c r="G12" s="78">
        <v>6</v>
      </c>
      <c r="H12" s="54">
        <f t="shared" si="0"/>
        <v>45598</v>
      </c>
      <c r="I12" s="84">
        <f t="shared" si="4"/>
        <v>531119.19616170286</v>
      </c>
      <c r="J12" s="84">
        <f t="shared" si="5"/>
        <v>4048.5094860379409</v>
      </c>
      <c r="K12" s="33">
        <f>'4 10 24 Forecast Usage by Sched'!N12</f>
        <v>8276017.4337045625</v>
      </c>
      <c r="M12" s="49"/>
      <c r="N12" s="49"/>
      <c r="O12" s="49"/>
    </row>
    <row r="13" spans="1:15" x14ac:dyDescent="0.25">
      <c r="A13" s="78">
        <v>7</v>
      </c>
      <c r="B13" s="54">
        <f t="shared" si="1"/>
        <v>45629</v>
      </c>
      <c r="C13" s="80">
        <f t="shared" si="2"/>
        <v>3403047.9935590001</v>
      </c>
      <c r="D13" s="80">
        <f t="shared" si="3"/>
        <v>27505.915160754401</v>
      </c>
      <c r="E13" s="33">
        <f>'4 10 24 Forecast Usage by Sched'!M13</f>
        <v>25205856.221275732</v>
      </c>
      <c r="F13" s="33"/>
      <c r="G13" s="78">
        <v>7</v>
      </c>
      <c r="H13" s="54">
        <f t="shared" si="0"/>
        <v>45629</v>
      </c>
      <c r="I13" s="84">
        <f t="shared" si="4"/>
        <v>421491.38259854668</v>
      </c>
      <c r="J13" s="84">
        <f t="shared" si="5"/>
        <v>3361.9223248752842</v>
      </c>
      <c r="K13" s="33">
        <f>'4 10 24 Forecast Usage by Sched'!N13</f>
        <v>10510673.10586339</v>
      </c>
      <c r="M13" s="49"/>
      <c r="N13" s="49"/>
      <c r="O13" s="49"/>
    </row>
    <row r="14" spans="1:15" x14ac:dyDescent="0.25">
      <c r="A14" s="78">
        <v>8</v>
      </c>
      <c r="B14" s="54">
        <f t="shared" si="1"/>
        <v>45660</v>
      </c>
      <c r="C14" s="80">
        <f t="shared" si="2"/>
        <v>2461491.8624215918</v>
      </c>
      <c r="D14" s="80">
        <f t="shared" si="3"/>
        <v>20696.943647845143</v>
      </c>
      <c r="E14" s="33">
        <f>'4 10 24 Forecast Usage by Sched'!M14</f>
        <v>23889103.147598151</v>
      </c>
      <c r="F14" s="33"/>
      <c r="G14" s="78">
        <v>8</v>
      </c>
      <c r="H14" s="54">
        <f t="shared" si="0"/>
        <v>45660</v>
      </c>
      <c r="I14" s="84">
        <f t="shared" si="4"/>
        <v>318959.46092108125</v>
      </c>
      <c r="J14" s="84">
        <f t="shared" si="5"/>
        <v>2613.175075738774</v>
      </c>
      <c r="K14" s="33">
        <f>'4 10 24 Forecast Usage by Sched'!N14</f>
        <v>9780939.2328562066</v>
      </c>
      <c r="M14" s="49"/>
      <c r="N14" s="49"/>
      <c r="O14" s="49"/>
    </row>
    <row r="15" spans="1:15" x14ac:dyDescent="0.25">
      <c r="A15" s="78">
        <v>9</v>
      </c>
      <c r="B15" s="54">
        <f t="shared" si="1"/>
        <v>45691</v>
      </c>
      <c r="C15" s="80">
        <f t="shared" si="2"/>
        <v>1649669.5393215171</v>
      </c>
      <c r="D15" s="80">
        <f t="shared" si="3"/>
        <v>14508.977336440286</v>
      </c>
      <c r="E15" s="33">
        <f>'4 10 24 Forecast Usage by Sched'!M15</f>
        <v>20514679.752644364</v>
      </c>
      <c r="F15" s="33"/>
      <c r="G15" s="78">
        <v>9</v>
      </c>
      <c r="H15" s="54">
        <f t="shared" si="0"/>
        <v>45691</v>
      </c>
      <c r="I15" s="84">
        <f t="shared" si="4"/>
        <v>227839.8167618431</v>
      </c>
      <c r="J15" s="84">
        <f t="shared" si="5"/>
        <v>1929.7462571330109</v>
      </c>
      <c r="K15" s="33">
        <f>'4 10 24 Forecast Usage by Sched'!N15</f>
        <v>8655757.2480345275</v>
      </c>
      <c r="M15" s="49"/>
      <c r="N15" s="49"/>
      <c r="O15" s="49"/>
    </row>
    <row r="16" spans="1:15" x14ac:dyDescent="0.25">
      <c r="A16" s="78">
        <v>10</v>
      </c>
      <c r="B16" s="54">
        <f t="shared" si="1"/>
        <v>45722</v>
      </c>
      <c r="C16" s="80">
        <f t="shared" si="2"/>
        <v>1032834.4995505636</v>
      </c>
      <c r="D16" s="80">
        <f t="shared" si="3"/>
        <v>9467.0061575306991</v>
      </c>
      <c r="E16" s="33">
        <f>'4 10 24 Forecast Usage by Sched'!M16</f>
        <v>15548710.176973289</v>
      </c>
      <c r="F16" s="33"/>
      <c r="G16" s="78">
        <v>10</v>
      </c>
      <c r="H16" s="54">
        <f t="shared" si="0"/>
        <v>45722</v>
      </c>
      <c r="I16" s="84">
        <f t="shared" si="4"/>
        <v>154151.89537711703</v>
      </c>
      <c r="J16" s="84">
        <f t="shared" si="5"/>
        <v>1348.112747843538</v>
      </c>
      <c r="K16" s="33">
        <f>'4 10 24 Forecast Usage by Sched'!N16</f>
        <v>6980096.1983785685</v>
      </c>
      <c r="M16" s="49"/>
      <c r="N16" s="49"/>
      <c r="O16" s="49"/>
    </row>
    <row r="17" spans="1:15" x14ac:dyDescent="0.25">
      <c r="A17" s="78">
        <v>11</v>
      </c>
      <c r="B17" s="54">
        <f t="shared" si="1"/>
        <v>45753</v>
      </c>
      <c r="C17" s="80">
        <f t="shared" si="2"/>
        <v>644416.91651270748</v>
      </c>
      <c r="D17" s="80">
        <f t="shared" si="3"/>
        <v>5919.3012399990885</v>
      </c>
      <c r="E17" s="33">
        <f>'4 10 24 Forecast Usage by Sched'!M17</f>
        <v>9789892.8569477461</v>
      </c>
      <c r="F17" s="33"/>
      <c r="G17" s="78">
        <v>11</v>
      </c>
      <c r="H17" s="54">
        <f t="shared" si="0"/>
        <v>45753</v>
      </c>
      <c r="I17" s="84">
        <f t="shared" si="4"/>
        <v>103272.01897080634</v>
      </c>
      <c r="J17" s="84">
        <f t="shared" si="5"/>
        <v>908.49212038918358</v>
      </c>
      <c r="K17" s="33">
        <f>'4 10 24 Forecast Usage by Sched'!N17</f>
        <v>4817522.6536465008</v>
      </c>
      <c r="M17" s="49"/>
      <c r="N17" s="49"/>
      <c r="O17" s="49"/>
    </row>
    <row r="18" spans="1:15" x14ac:dyDescent="0.25">
      <c r="A18" s="78">
        <v>12</v>
      </c>
      <c r="B18" s="54">
        <f t="shared" si="1"/>
        <v>45784</v>
      </c>
      <c r="C18" s="80">
        <f t="shared" si="2"/>
        <v>456628.62939180841</v>
      </c>
      <c r="D18" s="80">
        <f t="shared" si="3"/>
        <v>3885.7741914836565</v>
      </c>
      <c r="E18" s="33">
        <f>'4 10 24 Forecast Usage by Sched'!M18</f>
        <v>4758541.7406251905</v>
      </c>
      <c r="F18" s="33"/>
      <c r="G18" s="78">
        <v>12</v>
      </c>
      <c r="H18" s="54">
        <f t="shared" si="0"/>
        <v>45784</v>
      </c>
      <c r="I18" s="84">
        <f t="shared" si="4"/>
        <v>73105.523740875855</v>
      </c>
      <c r="J18" s="84">
        <f t="shared" si="5"/>
        <v>622.465897051816</v>
      </c>
      <c r="K18" s="33">
        <f>'4 10 24 Forecast Usage by Sched'!N18</f>
        <v>2864089.4071611445</v>
      </c>
      <c r="M18" s="49"/>
      <c r="N18" s="49"/>
      <c r="O18" s="49"/>
    </row>
    <row r="19" spans="1:15" x14ac:dyDescent="0.25">
      <c r="A19" s="78">
        <v>13</v>
      </c>
      <c r="B19" s="54">
        <f t="shared" si="1"/>
        <v>45815</v>
      </c>
      <c r="C19" s="80">
        <f t="shared" si="2"/>
        <v>327482.3356483872</v>
      </c>
      <c r="D19" s="80">
        <f t="shared" si="3"/>
        <v>2767.2589590374355</v>
      </c>
      <c r="E19" s="33">
        <f>'4 10 24 Forecast Usage by Sched'!M19</f>
        <v>3274914.4166449499</v>
      </c>
      <c r="F19" s="33"/>
      <c r="G19" s="78">
        <v>13</v>
      </c>
      <c r="H19" s="54">
        <f t="shared" si="0"/>
        <v>45815</v>
      </c>
      <c r="I19" s="84">
        <f t="shared" si="4"/>
        <v>49481.024894446586</v>
      </c>
      <c r="J19" s="84">
        <f t="shared" si="5"/>
        <v>432.62846726188121</v>
      </c>
      <c r="K19" s="33">
        <f>'4 10 24 Forecast Usage by Sched'!N19</f>
        <v>2237872.3082503392</v>
      </c>
      <c r="M19" s="49"/>
      <c r="N19" s="49"/>
      <c r="O19" s="49"/>
    </row>
    <row r="20" spans="1:15" x14ac:dyDescent="0.25">
      <c r="A20" s="78">
        <v>14</v>
      </c>
      <c r="B20" s="54">
        <f t="shared" si="1"/>
        <v>45846</v>
      </c>
      <c r="C20" s="80">
        <f t="shared" si="2"/>
        <v>234596.10482377067</v>
      </c>
      <c r="D20" s="80">
        <f t="shared" si="3"/>
        <v>1983.6689823597021</v>
      </c>
      <c r="E20" s="33">
        <f>'4 10 24 Forecast Usage by Sched'!M20</f>
        <v>2355260.6704810383</v>
      </c>
      <c r="F20" s="33"/>
      <c r="G20" s="78">
        <v>14</v>
      </c>
      <c r="H20" s="54">
        <f t="shared" si="0"/>
        <v>45846</v>
      </c>
      <c r="I20" s="84">
        <f t="shared" si="4"/>
        <v>29832.522748825355</v>
      </c>
      <c r="J20" s="84">
        <f t="shared" si="5"/>
        <v>279.91079716330142</v>
      </c>
      <c r="K20" s="33">
        <f>'4 10 24 Forecast Usage by Sched'!N20</f>
        <v>1853805.8551427471</v>
      </c>
      <c r="M20" s="49"/>
      <c r="N20" s="49"/>
      <c r="O20" s="49"/>
    </row>
    <row r="21" spans="1:15" x14ac:dyDescent="0.25">
      <c r="B21" s="30"/>
      <c r="C21" s="30"/>
      <c r="D21" s="30"/>
      <c r="E21" s="30"/>
      <c r="F21" s="30"/>
      <c r="H21" s="30"/>
      <c r="I21" s="30"/>
      <c r="J21" s="30"/>
      <c r="K21" s="30"/>
    </row>
    <row r="22" spans="1:15" x14ac:dyDescent="0.25">
      <c r="A22" s="78">
        <v>15</v>
      </c>
      <c r="B22" s="30" t="s">
        <v>5</v>
      </c>
      <c r="C22" s="30"/>
      <c r="D22" s="29">
        <f>SUM(D9:D21)</f>
        <v>234681.09502671805</v>
      </c>
      <c r="E22" s="37">
        <f>SUM(E9:E21)</f>
        <v>137508341.50659853</v>
      </c>
      <c r="F22" s="37"/>
      <c r="G22" s="78">
        <v>15</v>
      </c>
      <c r="H22" s="30" t="s">
        <v>5</v>
      </c>
      <c r="I22" s="30"/>
      <c r="J22" s="29">
        <f>SUM(J9:J21)</f>
        <v>29824.605565672628</v>
      </c>
      <c r="K22" s="37">
        <f>SUM(K9:K21)</f>
        <v>65796470.590144619</v>
      </c>
    </row>
    <row r="23" spans="1:15" ht="10.15" customHeight="1" x14ac:dyDescent="0.25">
      <c r="B23" s="30"/>
      <c r="C23" s="30"/>
      <c r="D23" s="29"/>
      <c r="E23" s="37"/>
      <c r="F23" s="37"/>
      <c r="H23" s="30"/>
      <c r="I23" s="30"/>
      <c r="J23" s="29"/>
      <c r="K23" s="37"/>
    </row>
    <row r="24" spans="1:15" ht="27" customHeight="1" x14ac:dyDescent="0.25">
      <c r="A24" s="78">
        <v>16</v>
      </c>
      <c r="B24" s="226" t="s">
        <v>9</v>
      </c>
      <c r="C24" s="226"/>
      <c r="D24" s="31">
        <f>ROUND(D22/E22,5)</f>
        <v>1.7099999999999999E-3</v>
      </c>
      <c r="E24" s="37"/>
      <c r="F24" s="37"/>
      <c r="G24" s="78">
        <v>16</v>
      </c>
      <c r="H24" s="226" t="s">
        <v>9</v>
      </c>
      <c r="I24" s="226"/>
      <c r="J24" s="31">
        <f>ROUND(J22/K22,5)</f>
        <v>4.4999999999999999E-4</v>
      </c>
      <c r="K24" s="37"/>
    </row>
    <row r="25" spans="1:15" ht="28.15" customHeight="1" x14ac:dyDescent="0.25">
      <c r="A25" s="78">
        <v>17</v>
      </c>
      <c r="B25" s="226" t="s">
        <v>10</v>
      </c>
      <c r="C25" s="226"/>
      <c r="D25" s="31">
        <f>C7</f>
        <v>4.0280000000000003E-2</v>
      </c>
      <c r="E25" s="37"/>
      <c r="F25" s="37"/>
      <c r="G25" s="78">
        <v>17</v>
      </c>
      <c r="H25" s="226" t="s">
        <v>10</v>
      </c>
      <c r="I25" s="226"/>
      <c r="J25" s="31">
        <f>I7</f>
        <v>1.0749999999999999E-2</v>
      </c>
      <c r="K25" s="37"/>
    </row>
    <row r="26" spans="1:15" ht="28.9" customHeight="1" x14ac:dyDescent="0.25">
      <c r="A26" s="78">
        <v>18</v>
      </c>
      <c r="B26" s="226" t="s">
        <v>11</v>
      </c>
      <c r="C26" s="226"/>
      <c r="D26" s="31">
        <f>D24+D25</f>
        <v>4.1990000000000006E-2</v>
      </c>
      <c r="E26" s="38"/>
      <c r="F26" s="38"/>
      <c r="G26" s="78">
        <v>18</v>
      </c>
      <c r="H26" s="226" t="s">
        <v>11</v>
      </c>
      <c r="I26" s="226"/>
      <c r="J26" s="31">
        <f>J24+J25</f>
        <v>1.12E-2</v>
      </c>
      <c r="K26" s="38"/>
    </row>
    <row r="27" spans="1:15" ht="28.9" customHeight="1" x14ac:dyDescent="0.25">
      <c r="A27" s="78">
        <v>19</v>
      </c>
      <c r="B27" s="227" t="s">
        <v>12</v>
      </c>
      <c r="C27" s="227"/>
      <c r="D27" s="32">
        <f>'Conversion Factors'!$E$114</f>
        <v>1.045717</v>
      </c>
      <c r="E27" s="37"/>
      <c r="F27" s="37"/>
      <c r="G27" s="78">
        <v>19</v>
      </c>
      <c r="H27" s="227" t="s">
        <v>12</v>
      </c>
      <c r="I27" s="227"/>
      <c r="J27" s="32">
        <f>D27</f>
        <v>1.045717</v>
      </c>
      <c r="K27" s="37"/>
    </row>
    <row r="28" spans="1:15" ht="27" customHeight="1" x14ac:dyDescent="0.25">
      <c r="A28" s="78">
        <v>20</v>
      </c>
      <c r="B28" s="30" t="s">
        <v>79</v>
      </c>
      <c r="C28" s="30"/>
      <c r="D28" s="31">
        <f>ROUND(D26*D27,5)</f>
        <v>4.3909999999999998E-2</v>
      </c>
      <c r="E28" s="37"/>
      <c r="F28" s="37"/>
      <c r="G28" s="78">
        <v>20</v>
      </c>
      <c r="H28" s="30" t="s">
        <v>79</v>
      </c>
      <c r="I28" s="30"/>
      <c r="J28" s="31">
        <f>ROUND(J26*J27,5)</f>
        <v>1.171E-2</v>
      </c>
      <c r="K28" s="37"/>
    </row>
    <row r="29" spans="1:15" ht="27" customHeight="1" x14ac:dyDescent="0.25">
      <c r="A29" s="78">
        <v>21</v>
      </c>
      <c r="B29" s="30" t="s">
        <v>71</v>
      </c>
      <c r="C29" s="30"/>
      <c r="D29" s="31">
        <f>'Earnings Test and 3% Test'!E60</f>
        <v>0</v>
      </c>
      <c r="E29" s="37"/>
      <c r="F29" s="37"/>
      <c r="G29" s="78">
        <v>21</v>
      </c>
      <c r="H29" s="30" t="s">
        <v>71</v>
      </c>
      <c r="I29" s="30"/>
      <c r="J29" s="31">
        <f>'Earnings Test and 3% Test'!F60</f>
        <v>0</v>
      </c>
      <c r="K29" s="37"/>
    </row>
    <row r="30" spans="1:15" ht="27" customHeight="1" x14ac:dyDescent="0.25">
      <c r="A30" s="78">
        <v>22</v>
      </c>
      <c r="B30" s="30" t="s">
        <v>72</v>
      </c>
      <c r="C30" s="30"/>
      <c r="D30" s="31">
        <f>D28+D29</f>
        <v>4.3909999999999998E-2</v>
      </c>
      <c r="E30" s="37" t="str">
        <f>IF(D30&lt;0,"Rebate Rate","Surcharge Rate")</f>
        <v>Surcharge Rate</v>
      </c>
      <c r="F30" s="37"/>
      <c r="G30" s="78">
        <v>22</v>
      </c>
      <c r="H30" s="30" t="s">
        <v>72</v>
      </c>
      <c r="I30" s="30"/>
      <c r="J30" s="31">
        <f>J28+J29</f>
        <v>1.171E-2</v>
      </c>
      <c r="K30" s="37" t="str">
        <f>IF(J30&lt;0,"Rebate Rate","Surcharge Rate")</f>
        <v>Surcharge Rate</v>
      </c>
    </row>
    <row r="31" spans="1:15" ht="27" customHeight="1" x14ac:dyDescent="0.25">
      <c r="A31" s="78">
        <v>23</v>
      </c>
      <c r="B31" s="30"/>
      <c r="C31" s="34" t="s">
        <v>76</v>
      </c>
      <c r="D31" s="31">
        <f>ROUND(D30*'Conversion Factors'!$E$108,5)</f>
        <v>4.199E-2</v>
      </c>
      <c r="E31" s="37" t="s">
        <v>13</v>
      </c>
      <c r="F31" s="37"/>
      <c r="G31" s="78">
        <v>23</v>
      </c>
      <c r="H31" s="30"/>
      <c r="I31" s="34" t="s">
        <v>76</v>
      </c>
      <c r="J31" s="31">
        <f>ROUND(J30*'Conversion Factors'!$E$108,5)</f>
        <v>1.12E-2</v>
      </c>
      <c r="K31" s="37" t="s">
        <v>13</v>
      </c>
    </row>
    <row r="32" spans="1:15" ht="27" customHeight="1" x14ac:dyDescent="0.25">
      <c r="A32" s="78">
        <v>24</v>
      </c>
      <c r="B32" s="30" t="s">
        <v>78</v>
      </c>
      <c r="C32" s="30"/>
      <c r="D32" s="80">
        <f>IF(D29=0,0,C68)</f>
        <v>0</v>
      </c>
      <c r="E32" s="31"/>
      <c r="F32" s="37"/>
      <c r="G32" s="78">
        <v>24</v>
      </c>
      <c r="H32" s="30" t="s">
        <v>73</v>
      </c>
      <c r="I32" s="30"/>
      <c r="J32" s="80">
        <f>IF(J29=0,0,I68)</f>
        <v>0</v>
      </c>
      <c r="K32" s="37"/>
    </row>
    <row r="33" spans="1:18" ht="14.65" customHeight="1" x14ac:dyDescent="0.25">
      <c r="B33" s="30"/>
      <c r="C33" s="30"/>
      <c r="D33" s="29"/>
      <c r="E33" s="37"/>
      <c r="F33" s="37"/>
      <c r="H33" s="30"/>
      <c r="I33" s="30"/>
      <c r="J33" s="29"/>
      <c r="K33" s="37"/>
    </row>
    <row r="34" spans="1:18" ht="14.65" customHeight="1" x14ac:dyDescent="0.25">
      <c r="A34" s="55" t="s">
        <v>74</v>
      </c>
      <c r="B34" s="55" t="s">
        <v>74</v>
      </c>
      <c r="C34" s="30"/>
      <c r="D34" s="29"/>
      <c r="E34" s="37"/>
      <c r="F34" s="37"/>
      <c r="G34" s="55" t="s">
        <v>74</v>
      </c>
      <c r="H34" s="55" t="s">
        <v>74</v>
      </c>
      <c r="I34" s="30"/>
      <c r="J34" s="29"/>
      <c r="K34" s="37"/>
    </row>
    <row r="35" spans="1:18" ht="49.15" customHeight="1" x14ac:dyDescent="0.25">
      <c r="A35" s="76" t="s">
        <v>98</v>
      </c>
      <c r="B35" s="228" t="str">
        <f>"Deferral balance at the end of the month, Rate of "&amp;TEXT(D25,"$0.00000")&amp;" to recover the July 2024 balance of "&amp;TEXT(C8,"$000,000")&amp;" over 12 months.  See page 2 and 5 of Attachment A for July 2024 balance calculation."</f>
        <v>Deferral balance at the end of the month, Rate of $0.04028 to recover the July 2024 balance of $5,538,751 over 12 months.  See page 2 and 5 of Attachment A for July 2024 balance calculation.</v>
      </c>
      <c r="C35" s="228"/>
      <c r="D35" s="228"/>
      <c r="E35" s="228"/>
      <c r="F35" s="155"/>
      <c r="G35" s="76" t="s">
        <v>98</v>
      </c>
      <c r="H35" s="228" t="str">
        <f>"Deferral balance at the end of the month, Rate of "&amp;TEXT(J25,"$0.00000")&amp;" to recover the July 2024 balance of "&amp;TEXT(I8,"$000,000")&amp;" over 12 months.  See page 4 and 5 of Attachment A for July 2024 balance calculation."</f>
        <v>Deferral balance at the end of the month, Rate of $0.01075 to recover the July 2024 balance of $707,320 over 12 months.  See page 4 and 5 of Attachment A for July 2024 balance calculation.</v>
      </c>
      <c r="I35" s="228"/>
      <c r="J35" s="228"/>
      <c r="K35" s="228"/>
      <c r="L35" s="63"/>
      <c r="M35" s="63"/>
    </row>
    <row r="36" spans="1:18" ht="32.450000000000003" customHeight="1" x14ac:dyDescent="0.25">
      <c r="A36" s="76" t="s">
        <v>99</v>
      </c>
      <c r="B36" s="224" t="s">
        <v>100</v>
      </c>
      <c r="C36" s="224"/>
      <c r="D36" s="224"/>
      <c r="E36" s="224"/>
      <c r="F36" s="155"/>
      <c r="G36" s="76" t="s">
        <v>99</v>
      </c>
      <c r="H36" s="224" t="s">
        <v>100</v>
      </c>
      <c r="I36" s="224"/>
      <c r="J36" s="224"/>
      <c r="K36" s="224"/>
    </row>
    <row r="37" spans="1:18" ht="15.6" customHeight="1" x14ac:dyDescent="0.25">
      <c r="B37" s="156" t="s">
        <v>77</v>
      </c>
      <c r="C37" s="157"/>
      <c r="D37" s="157"/>
      <c r="E37" s="157"/>
      <c r="F37" s="155"/>
      <c r="G37" s="158"/>
      <c r="H37" s="156" t="s">
        <v>77</v>
      </c>
      <c r="I37" s="157"/>
      <c r="J37" s="157"/>
      <c r="K37" s="157"/>
    </row>
    <row r="38" spans="1:18" ht="18" customHeight="1" x14ac:dyDescent="0.25">
      <c r="A38" s="76" t="s">
        <v>101</v>
      </c>
      <c r="B38" s="225" t="s">
        <v>186</v>
      </c>
      <c r="C38" s="225"/>
      <c r="D38" s="225"/>
      <c r="E38" s="225"/>
      <c r="F38" s="155"/>
      <c r="G38" s="76" t="s">
        <v>101</v>
      </c>
      <c r="H38" s="225" t="s">
        <v>186</v>
      </c>
      <c r="I38" s="225"/>
      <c r="J38" s="225"/>
      <c r="K38" s="225"/>
      <c r="L38" s="63"/>
      <c r="M38" s="63"/>
      <c r="N38" s="63"/>
      <c r="O38" s="63"/>
      <c r="P38" s="63"/>
    </row>
    <row r="39" spans="1:18" ht="18" customHeight="1" x14ac:dyDescent="0.25">
      <c r="A39" s="76" t="s">
        <v>102</v>
      </c>
      <c r="B39" s="221" t="s">
        <v>113</v>
      </c>
      <c r="C39" s="221"/>
      <c r="D39" s="221"/>
      <c r="E39" s="221"/>
      <c r="F39" s="155"/>
      <c r="G39" s="76" t="s">
        <v>102</v>
      </c>
      <c r="H39" s="221" t="s">
        <v>113</v>
      </c>
      <c r="I39" s="221"/>
      <c r="J39" s="221"/>
      <c r="K39" s="221"/>
    </row>
    <row r="40" spans="1:18" ht="18" customHeight="1" x14ac:dyDescent="0.25">
      <c r="A40" s="76" t="s">
        <v>103</v>
      </c>
      <c r="B40" s="221" t="s">
        <v>104</v>
      </c>
      <c r="C40" s="221"/>
      <c r="D40" s="221"/>
      <c r="E40" s="221"/>
      <c r="F40" s="155"/>
      <c r="G40" s="76" t="s">
        <v>103</v>
      </c>
      <c r="H40" s="221" t="s">
        <v>108</v>
      </c>
      <c r="I40" s="221"/>
      <c r="J40" s="221"/>
      <c r="K40" s="221"/>
    </row>
    <row r="41" spans="1:18" x14ac:dyDescent="0.25">
      <c r="B41" s="30"/>
      <c r="C41" s="30"/>
      <c r="D41" s="29"/>
      <c r="E41" s="37"/>
      <c r="F41" s="37"/>
      <c r="H41" s="30"/>
      <c r="I41" s="30"/>
      <c r="J41" s="29"/>
      <c r="K41" s="37"/>
    </row>
    <row r="42" spans="1:18" ht="27.6" customHeight="1" x14ac:dyDescent="0.3">
      <c r="B42" s="222" t="str">
        <f>B5</f>
        <v>Residential Natural Gas</v>
      </c>
      <c r="C42" s="222"/>
      <c r="D42" s="222"/>
      <c r="E42" s="222"/>
      <c r="F42" s="27"/>
      <c r="H42" s="222" t="str">
        <f>H5</f>
        <v>Non-Residential Natural Gas</v>
      </c>
      <c r="I42" s="222"/>
      <c r="J42" s="222"/>
      <c r="K42" s="222"/>
    </row>
    <row r="43" spans="1:18" x14ac:dyDescent="0.25">
      <c r="A43" s="77"/>
      <c r="B43" s="223" t="s">
        <v>199</v>
      </c>
      <c r="C43" s="223"/>
      <c r="D43" s="223"/>
      <c r="E43" s="223"/>
      <c r="F43" s="30"/>
      <c r="G43" s="77"/>
      <c r="H43" s="223" t="str">
        <f>B43</f>
        <v>Calculate Estimated Monthly Balances through July 2025</v>
      </c>
      <c r="I43" s="223"/>
      <c r="J43" s="223"/>
      <c r="K43" s="223"/>
      <c r="M43" s="63"/>
    </row>
    <row r="44" spans="1:18" ht="30" x14ac:dyDescent="0.25">
      <c r="A44" s="77" t="s">
        <v>93</v>
      </c>
      <c r="B44" s="30"/>
      <c r="C44" s="27" t="s">
        <v>8</v>
      </c>
      <c r="D44" s="27" t="s">
        <v>3</v>
      </c>
      <c r="E44" s="36" t="s">
        <v>75</v>
      </c>
      <c r="F44" s="102" t="s">
        <v>115</v>
      </c>
      <c r="G44" s="77" t="s">
        <v>93</v>
      </c>
      <c r="H44" s="30"/>
      <c r="I44" s="27" t="s">
        <v>8</v>
      </c>
      <c r="J44" s="27" t="s">
        <v>3</v>
      </c>
      <c r="K44" s="36" t="s">
        <v>75</v>
      </c>
      <c r="L44" s="125" t="s">
        <v>115</v>
      </c>
    </row>
    <row r="45" spans="1:18" x14ac:dyDescent="0.25">
      <c r="B45" s="30"/>
      <c r="C45" s="30"/>
      <c r="D45" s="58"/>
      <c r="E45" s="30"/>
      <c r="F45" s="30"/>
      <c r="H45" s="30"/>
      <c r="I45" s="30"/>
      <c r="J45" s="58"/>
      <c r="K45" s="30"/>
    </row>
    <row r="46" spans="1:18" x14ac:dyDescent="0.25">
      <c r="A46" s="78">
        <v>1</v>
      </c>
      <c r="B46" s="54">
        <v>45261</v>
      </c>
      <c r="C46" s="209">
        <v>5095431</v>
      </c>
      <c r="D46" s="30"/>
      <c r="E46" s="30"/>
      <c r="F46" s="30"/>
      <c r="G46" s="78">
        <v>1</v>
      </c>
      <c r="H46" s="54">
        <f>B46</f>
        <v>45261</v>
      </c>
      <c r="I46" s="209">
        <v>643544</v>
      </c>
      <c r="J46" s="30"/>
      <c r="K46" s="30"/>
    </row>
    <row r="47" spans="1:18" x14ac:dyDescent="0.25">
      <c r="A47" s="78">
        <v>2</v>
      </c>
      <c r="B47" s="98" t="s">
        <v>171</v>
      </c>
      <c r="C47" s="29">
        <f>-'Earnings Test and 3% Test'!F34-'Earnings Test and 3% Test'!E38</f>
        <v>0</v>
      </c>
      <c r="D47" s="30"/>
      <c r="E47" s="30"/>
      <c r="F47" s="30"/>
      <c r="G47" s="78">
        <v>2</v>
      </c>
      <c r="H47" s="98" t="str">
        <f t="shared" ref="H47:H68" si="6">B47</f>
        <v>Earnings Sharing/DSM Adjustment</v>
      </c>
      <c r="I47" s="29">
        <f>-'Earnings Test and 3% Test'!F35-'Earnings Test and 3% Test'!E39</f>
        <v>0</v>
      </c>
      <c r="J47" s="30"/>
      <c r="K47" s="30"/>
      <c r="M47" s="63"/>
      <c r="N47" s="63"/>
      <c r="O47" s="63"/>
      <c r="P47" s="63"/>
      <c r="Q47" s="63"/>
      <c r="R47" s="63"/>
    </row>
    <row r="48" spans="1:18" x14ac:dyDescent="0.25">
      <c r="A48" s="78">
        <v>3</v>
      </c>
      <c r="B48" s="98" t="s">
        <v>80</v>
      </c>
      <c r="C48" s="29">
        <f>C46+C47</f>
        <v>5095431</v>
      </c>
      <c r="D48" s="30"/>
      <c r="E48" s="30"/>
      <c r="F48" s="30"/>
      <c r="G48" s="78">
        <v>3</v>
      </c>
      <c r="H48" s="98" t="str">
        <f t="shared" si="6"/>
        <v>Adjusted December Balance</v>
      </c>
      <c r="I48" s="29">
        <f>I46+I47</f>
        <v>643544</v>
      </c>
      <c r="J48" s="30"/>
      <c r="K48" s="30"/>
    </row>
    <row r="49" spans="1:16" x14ac:dyDescent="0.25">
      <c r="A49" s="78">
        <v>4</v>
      </c>
      <c r="B49" s="54">
        <f>B46+31</f>
        <v>45292</v>
      </c>
      <c r="C49" s="29">
        <f>C48+D49-E49</f>
        <v>5131523.6362500004</v>
      </c>
      <c r="D49" s="29">
        <f>(C48-E49/2)*F49/12</f>
        <v>36092.636250000003</v>
      </c>
      <c r="E49" s="30"/>
      <c r="F49" s="137">
        <v>8.5000000000000006E-2</v>
      </c>
      <c r="G49" s="78">
        <v>4</v>
      </c>
      <c r="H49" s="54">
        <f t="shared" si="6"/>
        <v>45292</v>
      </c>
      <c r="I49" s="29">
        <f>I48+J49-K49</f>
        <v>648102.43666666665</v>
      </c>
      <c r="J49" s="29">
        <f>(I48-K49/2)*L49/12</f>
        <v>4558.4366666666674</v>
      </c>
      <c r="K49" s="30"/>
      <c r="L49" s="82">
        <f>F49</f>
        <v>8.5000000000000006E-2</v>
      </c>
    </row>
    <row r="50" spans="1:16" x14ac:dyDescent="0.25">
      <c r="A50" s="78">
        <v>5</v>
      </c>
      <c r="B50" s="54">
        <f t="shared" ref="B50:B55" si="7">B49+31</f>
        <v>45323</v>
      </c>
      <c r="C50" s="29">
        <f t="shared" ref="C50:C54" si="8">C49+D50-E50</f>
        <v>5167871.9286734378</v>
      </c>
      <c r="D50" s="80">
        <f t="shared" ref="D50:D55" si="9">(C49-E50/2)*F50/12</f>
        <v>36348.292423437502</v>
      </c>
      <c r="E50" s="30"/>
      <c r="F50" s="124">
        <f>F49</f>
        <v>8.5000000000000006E-2</v>
      </c>
      <c r="G50" s="78">
        <v>5</v>
      </c>
      <c r="H50" s="54">
        <f t="shared" si="6"/>
        <v>45323</v>
      </c>
      <c r="I50" s="29">
        <f t="shared" ref="I50:I55" si="10">I49+J50-K50</f>
        <v>652693.16225972224</v>
      </c>
      <c r="J50" s="80">
        <f t="shared" ref="J50:J55" si="11">(I49-K50/2)*L50/12</f>
        <v>4590.7255930555557</v>
      </c>
      <c r="K50" s="30"/>
      <c r="L50" s="82">
        <f t="shared" ref="L50:L68" si="12">F50</f>
        <v>8.5000000000000006E-2</v>
      </c>
    </row>
    <row r="51" spans="1:16" x14ac:dyDescent="0.25">
      <c r="A51" s="78">
        <v>6</v>
      </c>
      <c r="B51" s="54">
        <f t="shared" si="7"/>
        <v>45354</v>
      </c>
      <c r="C51" s="29">
        <f t="shared" si="8"/>
        <v>5204477.6881682081</v>
      </c>
      <c r="D51" s="80">
        <f t="shared" si="9"/>
        <v>36605.759494770187</v>
      </c>
      <c r="E51" s="30"/>
      <c r="F51" s="124">
        <f t="shared" ref="F51:F68" si="13">F50</f>
        <v>8.5000000000000006E-2</v>
      </c>
      <c r="G51" s="78">
        <v>6</v>
      </c>
      <c r="H51" s="54">
        <f t="shared" si="6"/>
        <v>45354</v>
      </c>
      <c r="I51" s="29">
        <f t="shared" si="10"/>
        <v>657316.40549239528</v>
      </c>
      <c r="J51" s="80">
        <f t="shared" si="11"/>
        <v>4623.2432326730332</v>
      </c>
      <c r="K51" s="30"/>
      <c r="L51" s="82">
        <f t="shared" si="12"/>
        <v>8.5000000000000006E-2</v>
      </c>
    </row>
    <row r="52" spans="1:16" x14ac:dyDescent="0.25">
      <c r="A52" s="78">
        <v>7</v>
      </c>
      <c r="B52" s="54">
        <f t="shared" si="7"/>
        <v>45385</v>
      </c>
      <c r="C52" s="29">
        <f t="shared" si="8"/>
        <v>5241342.7384593999</v>
      </c>
      <c r="D52" s="80">
        <f t="shared" si="9"/>
        <v>36865.050291191474</v>
      </c>
      <c r="E52" s="30"/>
      <c r="F52" s="137">
        <v>8.5000000000000006E-2</v>
      </c>
      <c r="G52" s="78">
        <v>7</v>
      </c>
      <c r="H52" s="54">
        <f t="shared" si="6"/>
        <v>45385</v>
      </c>
      <c r="I52" s="29">
        <f t="shared" si="10"/>
        <v>661972.39669796638</v>
      </c>
      <c r="J52" s="80">
        <f t="shared" si="11"/>
        <v>4655.9912055711338</v>
      </c>
      <c r="K52" s="30"/>
      <c r="L52" s="82">
        <f t="shared" si="12"/>
        <v>8.5000000000000006E-2</v>
      </c>
      <c r="M52" s="63"/>
      <c r="N52" s="63"/>
      <c r="O52" s="63"/>
      <c r="P52" s="63"/>
    </row>
    <row r="53" spans="1:16" x14ac:dyDescent="0.25">
      <c r="A53" s="78">
        <v>8</v>
      </c>
      <c r="B53" s="54">
        <f t="shared" si="7"/>
        <v>45416</v>
      </c>
      <c r="C53" s="29">
        <f t="shared" si="8"/>
        <v>5278468.9161901539</v>
      </c>
      <c r="D53" s="80">
        <f t="shared" si="9"/>
        <v>37126.177730754083</v>
      </c>
      <c r="E53" s="30"/>
      <c r="F53" s="124">
        <f t="shared" si="13"/>
        <v>8.5000000000000006E-2</v>
      </c>
      <c r="G53" s="78">
        <v>8</v>
      </c>
      <c r="H53" s="54">
        <f t="shared" si="6"/>
        <v>45416</v>
      </c>
      <c r="I53" s="29">
        <f t="shared" si="10"/>
        <v>666661.36784124363</v>
      </c>
      <c r="J53" s="80">
        <f t="shared" si="11"/>
        <v>4688.9711432772619</v>
      </c>
      <c r="K53" s="30"/>
      <c r="L53" s="82">
        <f t="shared" si="12"/>
        <v>8.5000000000000006E-2</v>
      </c>
    </row>
    <row r="54" spans="1:16" x14ac:dyDescent="0.25">
      <c r="A54" s="78">
        <v>9</v>
      </c>
      <c r="B54" s="54">
        <f t="shared" si="7"/>
        <v>45447</v>
      </c>
      <c r="C54" s="29">
        <f t="shared" si="8"/>
        <v>5315858.0710131675</v>
      </c>
      <c r="D54" s="80">
        <f t="shared" si="9"/>
        <v>37389.154823013589</v>
      </c>
      <c r="E54" s="30"/>
      <c r="F54" s="124">
        <f t="shared" si="13"/>
        <v>8.5000000000000006E-2</v>
      </c>
      <c r="G54" s="78">
        <v>9</v>
      </c>
      <c r="H54" s="54">
        <f t="shared" si="6"/>
        <v>45447</v>
      </c>
      <c r="I54" s="29">
        <f t="shared" si="10"/>
        <v>671383.55253011908</v>
      </c>
      <c r="J54" s="80">
        <f t="shared" si="11"/>
        <v>4722.1846888754762</v>
      </c>
      <c r="K54" s="30"/>
      <c r="L54" s="82">
        <f t="shared" si="12"/>
        <v>8.5000000000000006E-2</v>
      </c>
    </row>
    <row r="55" spans="1:16" x14ac:dyDescent="0.25">
      <c r="A55" s="78">
        <v>10</v>
      </c>
      <c r="B55" s="56">
        <f t="shared" si="7"/>
        <v>45478</v>
      </c>
      <c r="C55" s="57">
        <f>C54+D55-E55</f>
        <v>5353512.0656828443</v>
      </c>
      <c r="D55" s="80">
        <f t="shared" si="9"/>
        <v>37653.994669676606</v>
      </c>
      <c r="E55" s="30"/>
      <c r="F55" s="124">
        <v>8.5000000000000006E-2</v>
      </c>
      <c r="G55" s="78">
        <v>10</v>
      </c>
      <c r="H55" s="56">
        <f t="shared" si="6"/>
        <v>45478</v>
      </c>
      <c r="I55" s="57">
        <f t="shared" si="10"/>
        <v>676139.18602720741</v>
      </c>
      <c r="J55" s="80">
        <f t="shared" si="11"/>
        <v>4755.6334970883436</v>
      </c>
      <c r="K55" s="30"/>
      <c r="L55" s="82">
        <f t="shared" si="12"/>
        <v>8.5000000000000006E-2</v>
      </c>
    </row>
    <row r="56" spans="1:16" s="79" customFormat="1" x14ac:dyDescent="0.25">
      <c r="A56" s="136">
        <v>11</v>
      </c>
      <c r="B56" s="98" t="s">
        <v>162</v>
      </c>
      <c r="C56" s="205">
        <f>'Prior Year Amortization'!F20</f>
        <v>185238.93999999977</v>
      </c>
      <c r="D56" s="80"/>
      <c r="E56" s="30"/>
      <c r="F56" s="137"/>
      <c r="G56" s="136"/>
      <c r="H56" s="98" t="s">
        <v>162</v>
      </c>
      <c r="I56" s="57">
        <f>'Prior Year Amortization'!F37</f>
        <v>31180.789999999761</v>
      </c>
      <c r="J56" s="80"/>
      <c r="K56" s="30"/>
      <c r="L56" s="82"/>
    </row>
    <row r="57" spans="1:16" x14ac:dyDescent="0.25">
      <c r="A57" s="136">
        <v>12</v>
      </c>
      <c r="B57" s="54">
        <f>B55+31</f>
        <v>45509</v>
      </c>
      <c r="C57" s="80">
        <f>C55+C56+D57-E57</f>
        <v>5486365.8919966351</v>
      </c>
      <c r="D57" s="80">
        <f>(C55+C56-E57/2)*F57/12</f>
        <v>38909.48458803221</v>
      </c>
      <c r="E57" s="80">
        <f>E9*D$31</f>
        <v>91294.598274241042</v>
      </c>
      <c r="F57" s="124">
        <f>F55</f>
        <v>8.5000000000000006E-2</v>
      </c>
      <c r="G57" s="78">
        <v>11</v>
      </c>
      <c r="H57" s="54">
        <f t="shared" si="6"/>
        <v>45509</v>
      </c>
      <c r="I57" s="80">
        <f>I55+I56+J57-K57</f>
        <v>690963.51665745536</v>
      </c>
      <c r="J57" s="80">
        <f>(I55+I56-K57/2)*L57/12</f>
        <v>4934.7767024370487</v>
      </c>
      <c r="K57" s="80">
        <f>K9*J$31</f>
        <v>21291.236072188953</v>
      </c>
      <c r="L57" s="82">
        <f t="shared" si="12"/>
        <v>8.5000000000000006E-2</v>
      </c>
    </row>
    <row r="58" spans="1:16" x14ac:dyDescent="0.25">
      <c r="A58" s="136">
        <v>13</v>
      </c>
      <c r="B58" s="54">
        <f t="shared" ref="B58:B68" si="14">B57+31</f>
        <v>45540</v>
      </c>
      <c r="C58" s="80">
        <f>C57+D58-E58</f>
        <v>5398829.5164506696</v>
      </c>
      <c r="D58" s="80">
        <f>(C57-E58/2)*F58/12</f>
        <v>38415.678211252685</v>
      </c>
      <c r="E58" s="80">
        <f>E10*D$31</f>
        <v>125952.05375721821</v>
      </c>
      <c r="F58" s="124">
        <f t="shared" si="13"/>
        <v>8.5000000000000006E-2</v>
      </c>
      <c r="G58" s="78">
        <v>12</v>
      </c>
      <c r="H58" s="54">
        <f t="shared" si="6"/>
        <v>45540</v>
      </c>
      <c r="I58" s="80">
        <f>I57+J58-K58</f>
        <v>667588.00892608031</v>
      </c>
      <c r="J58" s="80">
        <f>(I57-K58/2)*L58/12</f>
        <v>4794.5559341748203</v>
      </c>
      <c r="K58" s="80">
        <f>K10*J$31</f>
        <v>28170.063665549809</v>
      </c>
      <c r="L58" s="82">
        <f t="shared" si="12"/>
        <v>8.5000000000000006E-2</v>
      </c>
    </row>
    <row r="59" spans="1:16" x14ac:dyDescent="0.25">
      <c r="A59" s="78">
        <v>14</v>
      </c>
      <c r="B59" s="54">
        <f t="shared" si="14"/>
        <v>45571</v>
      </c>
      <c r="C59" s="80">
        <f>C58+D59-E59</f>
        <v>5074130.2016196521</v>
      </c>
      <c r="D59" s="80">
        <f t="shared" ref="D59:D66" si="15">(C58-E59/2)*F59/12</f>
        <v>36960.829397383328</v>
      </c>
      <c r="E59" s="80">
        <f t="shared" ref="E59:E68" si="16">E11*D$31</f>
        <v>361660.14422840072</v>
      </c>
      <c r="F59" s="124">
        <f t="shared" si="13"/>
        <v>8.5000000000000006E-2</v>
      </c>
      <c r="G59" s="78">
        <v>13</v>
      </c>
      <c r="H59" s="54">
        <f t="shared" si="6"/>
        <v>45571</v>
      </c>
      <c r="I59" s="80">
        <f t="shared" ref="I59:I68" si="17">I58+J59-K59</f>
        <v>611583.10979585373</v>
      </c>
      <c r="J59" s="80">
        <f t="shared" ref="J59:J68" si="18">(I58-K59/2)*L59/12</f>
        <v>4514.4091796289977</v>
      </c>
      <c r="K59" s="80">
        <f t="shared" ref="K59:K68" si="19">K11*J$31</f>
        <v>60519.308309855478</v>
      </c>
      <c r="L59" s="82">
        <f t="shared" si="12"/>
        <v>8.5000000000000006E-2</v>
      </c>
    </row>
    <row r="60" spans="1:16" x14ac:dyDescent="0.25">
      <c r="A60" s="86">
        <v>15</v>
      </c>
      <c r="B60" s="54">
        <f t="shared" si="14"/>
        <v>45602</v>
      </c>
      <c r="C60" s="80">
        <f>C59+D60-E60</f>
        <v>4335368.3424726063</v>
      </c>
      <c r="D60" s="80">
        <f>(C59-E60/2)*F60/12</f>
        <v>33207.696751000294</v>
      </c>
      <c r="E60" s="80">
        <f t="shared" si="16"/>
        <v>771969.55589804612</v>
      </c>
      <c r="F60" s="124">
        <f t="shared" si="13"/>
        <v>8.5000000000000006E-2</v>
      </c>
      <c r="G60" s="136">
        <v>14</v>
      </c>
      <c r="H60" s="54">
        <f t="shared" si="6"/>
        <v>45602</v>
      </c>
      <c r="I60" s="80">
        <f t="shared" si="17"/>
        <v>522895.47954121296</v>
      </c>
      <c r="J60" s="80">
        <f t="shared" si="18"/>
        <v>4003.7650028503499</v>
      </c>
      <c r="K60" s="80">
        <f t="shared" si="19"/>
        <v>92691.395257491095</v>
      </c>
      <c r="L60" s="82">
        <f t="shared" si="12"/>
        <v>8.5000000000000006E-2</v>
      </c>
    </row>
    <row r="61" spans="1:16" x14ac:dyDescent="0.25">
      <c r="A61" s="86">
        <v>16</v>
      </c>
      <c r="B61" s="54">
        <f t="shared" si="14"/>
        <v>45633</v>
      </c>
      <c r="C61" s="80">
        <f t="shared" ref="C61:C66" si="20">C60+D61-E61</f>
        <v>3303934.8204282457</v>
      </c>
      <c r="D61" s="80">
        <f t="shared" si="15"/>
        <v>26960.380687007364</v>
      </c>
      <c r="E61" s="80">
        <f t="shared" si="16"/>
        <v>1058393.9027313681</v>
      </c>
      <c r="F61" s="124">
        <f t="shared" si="13"/>
        <v>8.5000000000000006E-2</v>
      </c>
      <c r="G61" s="136">
        <v>15</v>
      </c>
      <c r="H61" s="54">
        <f t="shared" si="6"/>
        <v>45633</v>
      </c>
      <c r="I61" s="80">
        <f t="shared" si="17"/>
        <v>408462.86036909407</v>
      </c>
      <c r="J61" s="80">
        <f t="shared" si="18"/>
        <v>3286.9196135510106</v>
      </c>
      <c r="K61" s="80">
        <f t="shared" si="19"/>
        <v>117719.53878566997</v>
      </c>
      <c r="L61" s="82">
        <f t="shared" si="12"/>
        <v>8.5000000000000006E-2</v>
      </c>
    </row>
    <row r="62" spans="1:16" ht="14.45" customHeight="1" x14ac:dyDescent="0.25">
      <c r="A62" s="86">
        <v>17</v>
      </c>
      <c r="B62" s="54">
        <f t="shared" si="14"/>
        <v>45664</v>
      </c>
      <c r="C62" s="80">
        <f t="shared" si="20"/>
        <v>2320681.5928844977</v>
      </c>
      <c r="D62" s="80">
        <f t="shared" si="15"/>
        <v>19850.213623897995</v>
      </c>
      <c r="E62" s="80">
        <f t="shared" si="16"/>
        <v>1003103.4411676463</v>
      </c>
      <c r="F62" s="124">
        <f t="shared" si="13"/>
        <v>8.5000000000000006E-2</v>
      </c>
      <c r="G62" s="136">
        <v>16</v>
      </c>
      <c r="H62" s="54">
        <f t="shared" si="6"/>
        <v>45664</v>
      </c>
      <c r="I62" s="80">
        <f t="shared" si="17"/>
        <v>301421.64229914901</v>
      </c>
      <c r="J62" s="80">
        <f t="shared" si="18"/>
        <v>2505.301338044454</v>
      </c>
      <c r="K62" s="80">
        <f t="shared" si="19"/>
        <v>109546.51940798952</v>
      </c>
      <c r="L62" s="82">
        <f t="shared" si="12"/>
        <v>8.5000000000000006E-2</v>
      </c>
    </row>
    <row r="63" spans="1:16" x14ac:dyDescent="0.25">
      <c r="A63" s="86">
        <v>18</v>
      </c>
      <c r="B63" s="54">
        <f t="shared" si="14"/>
        <v>45695</v>
      </c>
      <c r="C63" s="80">
        <f t="shared" si="20"/>
        <v>1472657.5193022613</v>
      </c>
      <c r="D63" s="80">
        <f t="shared" si="15"/>
        <v>13387.329231300582</v>
      </c>
      <c r="E63" s="80">
        <f t="shared" si="16"/>
        <v>861411.40281353681</v>
      </c>
      <c r="F63" s="124">
        <f t="shared" si="13"/>
        <v>8.5000000000000006E-2</v>
      </c>
      <c r="G63" s="136">
        <v>17</v>
      </c>
      <c r="H63" s="54">
        <f t="shared" si="6"/>
        <v>45695</v>
      </c>
      <c r="I63" s="80">
        <f t="shared" si="17"/>
        <v>206268.88604994258</v>
      </c>
      <c r="J63" s="80">
        <f t="shared" si="18"/>
        <v>1791.7249287802695</v>
      </c>
      <c r="K63" s="80">
        <f t="shared" si="19"/>
        <v>96944.481177986701</v>
      </c>
      <c r="L63" s="82">
        <f t="shared" si="12"/>
        <v>8.5000000000000006E-2</v>
      </c>
    </row>
    <row r="64" spans="1:16" x14ac:dyDescent="0.25">
      <c r="A64" s="86">
        <v>19</v>
      </c>
      <c r="B64" s="54">
        <f t="shared" si="14"/>
        <v>45726</v>
      </c>
      <c r="C64" s="80">
        <f t="shared" si="20"/>
        <v>827886.18311087124</v>
      </c>
      <c r="D64" s="80">
        <f t="shared" si="15"/>
        <v>8119.0041397183422</v>
      </c>
      <c r="E64" s="80">
        <f t="shared" si="16"/>
        <v>652890.34033110843</v>
      </c>
      <c r="F64" s="124">
        <f t="shared" si="13"/>
        <v>8.5000000000000006E-2</v>
      </c>
      <c r="G64" s="136">
        <v>18</v>
      </c>
      <c r="H64" s="54">
        <f t="shared" si="6"/>
        <v>45726</v>
      </c>
      <c r="I64" s="80">
        <f t="shared" si="17"/>
        <v>129276.00275508736</v>
      </c>
      <c r="J64" s="80">
        <f t="shared" si="18"/>
        <v>1184.1941269847437</v>
      </c>
      <c r="K64" s="80">
        <f t="shared" si="19"/>
        <v>78177.07742183996</v>
      </c>
      <c r="L64" s="82">
        <f t="shared" si="12"/>
        <v>8.5000000000000006E-2</v>
      </c>
    </row>
    <row r="65" spans="1:12" x14ac:dyDescent="0.25">
      <c r="A65" s="136">
        <v>20</v>
      </c>
      <c r="B65" s="54">
        <f t="shared" si="14"/>
        <v>45757</v>
      </c>
      <c r="C65" s="80">
        <f t="shared" si="20"/>
        <v>421216.87600757176</v>
      </c>
      <c r="D65" s="80">
        <f t="shared" si="15"/>
        <v>4408.2939599363772</v>
      </c>
      <c r="E65" s="80">
        <f t="shared" si="16"/>
        <v>411077.60106323584</v>
      </c>
      <c r="F65" s="124">
        <f t="shared" si="13"/>
        <v>8.5000000000000006E-2</v>
      </c>
      <c r="G65" s="136">
        <v>19</v>
      </c>
      <c r="H65" s="54">
        <f t="shared" si="6"/>
        <v>45757</v>
      </c>
      <c r="I65" s="80">
        <f t="shared" si="17"/>
        <v>76044.358988500433</v>
      </c>
      <c r="J65" s="80">
        <f t="shared" si="18"/>
        <v>724.60995425389092</v>
      </c>
      <c r="K65" s="80">
        <f t="shared" si="19"/>
        <v>53956.25372084081</v>
      </c>
      <c r="L65" s="82">
        <f t="shared" si="12"/>
        <v>8.5000000000000006E-2</v>
      </c>
    </row>
    <row r="66" spans="1:12" x14ac:dyDescent="0.25">
      <c r="A66" s="136">
        <v>21</v>
      </c>
      <c r="B66" s="54">
        <f t="shared" si="14"/>
        <v>45788</v>
      </c>
      <c r="C66" s="80">
        <f t="shared" si="20"/>
        <v>223681.66330487563</v>
      </c>
      <c r="D66" s="80">
        <f t="shared" si="15"/>
        <v>2275.954986155617</v>
      </c>
      <c r="E66" s="80">
        <f t="shared" si="16"/>
        <v>199811.16768885174</v>
      </c>
      <c r="F66" s="124">
        <f t="shared" si="13"/>
        <v>8.5000000000000006E-2</v>
      </c>
      <c r="G66" s="136">
        <v>20</v>
      </c>
      <c r="H66" s="54">
        <f t="shared" si="6"/>
        <v>45788</v>
      </c>
      <c r="I66" s="80">
        <f t="shared" si="17"/>
        <v>44391.596291313443</v>
      </c>
      <c r="J66" s="80">
        <f t="shared" si="18"/>
        <v>425.03866301781937</v>
      </c>
      <c r="K66" s="80">
        <f t="shared" si="19"/>
        <v>32077.80136020482</v>
      </c>
      <c r="L66" s="82">
        <f t="shared" si="12"/>
        <v>8.5000000000000006E-2</v>
      </c>
    </row>
    <row r="67" spans="1:12" x14ac:dyDescent="0.25">
      <c r="A67" s="136">
        <v>22</v>
      </c>
      <c r="B67" s="54">
        <f t="shared" si="14"/>
        <v>45819</v>
      </c>
      <c r="C67" s="80">
        <f>C66+D67-E67</f>
        <v>87265.391198773403</v>
      </c>
      <c r="D67" s="80">
        <f>(C66-E67/2)*F67/12</f>
        <v>1097.384248819189</v>
      </c>
      <c r="E67" s="80">
        <f t="shared" si="16"/>
        <v>137513.65635492143</v>
      </c>
      <c r="F67" s="124">
        <f t="shared" si="13"/>
        <v>8.5000000000000006E-2</v>
      </c>
      <c r="G67" s="136">
        <v>21</v>
      </c>
      <c r="H67" s="54">
        <f t="shared" si="6"/>
        <v>45819</v>
      </c>
      <c r="I67" s="80">
        <f t="shared" si="17"/>
        <v>19553.097977745849</v>
      </c>
      <c r="J67" s="80">
        <f t="shared" si="18"/>
        <v>225.67153883620676</v>
      </c>
      <c r="K67" s="80">
        <f t="shared" si="19"/>
        <v>25064.1698524038</v>
      </c>
      <c r="L67" s="82">
        <f t="shared" si="12"/>
        <v>8.5000000000000006E-2</v>
      </c>
    </row>
    <row r="68" spans="1:12" x14ac:dyDescent="0.25">
      <c r="A68" s="136">
        <v>23</v>
      </c>
      <c r="B68" s="208">
        <f t="shared" si="14"/>
        <v>45850</v>
      </c>
      <c r="C68" s="57">
        <f>C67+D68-E68</f>
        <v>-11364.136109652725</v>
      </c>
      <c r="D68" s="80">
        <f>(C67-E68/2)*F68/12</f>
        <v>267.86824507267005</v>
      </c>
      <c r="E68" s="80">
        <f t="shared" si="16"/>
        <v>98897.395553498791</v>
      </c>
      <c r="F68" s="124">
        <f t="shared" si="13"/>
        <v>8.5000000000000006E-2</v>
      </c>
      <c r="G68" s="136">
        <v>22</v>
      </c>
      <c r="H68" s="208">
        <f t="shared" si="6"/>
        <v>45850</v>
      </c>
      <c r="I68" s="57">
        <f t="shared" si="17"/>
        <v>-1144.5607880978787</v>
      </c>
      <c r="J68" s="80">
        <f t="shared" si="18"/>
        <v>64.966811755037469</v>
      </c>
      <c r="K68" s="80">
        <f t="shared" si="19"/>
        <v>20762.625577598767</v>
      </c>
      <c r="L68" s="82">
        <f t="shared" si="12"/>
        <v>8.5000000000000006E-2</v>
      </c>
    </row>
    <row r="69" spans="1:12" x14ac:dyDescent="0.25">
      <c r="B69" s="30"/>
      <c r="C69" s="30"/>
      <c r="D69" s="30"/>
      <c r="E69" s="30"/>
      <c r="F69" s="30"/>
      <c r="H69" s="30"/>
      <c r="I69" s="30"/>
      <c r="J69" s="30"/>
      <c r="K69" s="30"/>
    </row>
    <row r="70" spans="1:12" x14ac:dyDescent="0.25">
      <c r="A70" s="78">
        <v>24</v>
      </c>
      <c r="B70" s="34" t="s">
        <v>94</v>
      </c>
      <c r="C70" s="30"/>
      <c r="D70" s="29">
        <f>SUM(D49:D69)</f>
        <v>481941.18375242013</v>
      </c>
      <c r="E70" s="29">
        <f>SUM(E60:E68)</f>
        <v>5195068.4636022141</v>
      </c>
      <c r="F70" s="30"/>
      <c r="G70" s="78">
        <v>24</v>
      </c>
      <c r="H70" s="34" t="s">
        <v>94</v>
      </c>
      <c r="I70" s="30"/>
      <c r="J70" s="29">
        <f>SUM(J49:J69)</f>
        <v>61051.11982152213</v>
      </c>
      <c r="K70" s="29">
        <f>SUM(K60:K68)</f>
        <v>626939.86256202543</v>
      </c>
    </row>
    <row r="71" spans="1:12" x14ac:dyDescent="0.25">
      <c r="A71" s="78"/>
      <c r="B71" s="34"/>
      <c r="C71" s="30"/>
      <c r="D71" s="30"/>
      <c r="E71" s="30"/>
      <c r="F71" s="30"/>
      <c r="G71" s="78"/>
      <c r="H71" s="34"/>
      <c r="I71" s="30"/>
      <c r="J71" s="30"/>
      <c r="K71" s="30"/>
    </row>
    <row r="72" spans="1:12" x14ac:dyDescent="0.25">
      <c r="B72" s="47" t="s">
        <v>97</v>
      </c>
      <c r="H72" s="47" t="s">
        <v>97</v>
      </c>
    </row>
    <row r="73" spans="1:12" x14ac:dyDescent="0.25">
      <c r="A73" s="78">
        <v>25</v>
      </c>
      <c r="B73" s="63" t="s">
        <v>198</v>
      </c>
      <c r="C73" s="74">
        <f>C46</f>
        <v>5095431</v>
      </c>
      <c r="G73" s="86">
        <v>25</v>
      </c>
      <c r="H73" s="63" t="str">
        <f>B73</f>
        <v>2023 Deferred Revenue</v>
      </c>
      <c r="I73" s="74">
        <f>I46</f>
        <v>643544</v>
      </c>
    </row>
    <row r="74" spans="1:12" x14ac:dyDescent="0.25">
      <c r="A74" s="78">
        <v>26</v>
      </c>
      <c r="B74" t="s">
        <v>174</v>
      </c>
      <c r="C74" s="74">
        <f>C47</f>
        <v>0</v>
      </c>
      <c r="G74" s="86">
        <v>26</v>
      </c>
      <c r="H74" s="79" t="s">
        <v>174</v>
      </c>
      <c r="I74" s="74">
        <f>I47</f>
        <v>0</v>
      </c>
    </row>
    <row r="75" spans="1:12" s="79" customFormat="1" x14ac:dyDescent="0.25">
      <c r="A75" s="136">
        <v>27</v>
      </c>
      <c r="B75" s="79" t="s">
        <v>163</v>
      </c>
      <c r="C75" s="74">
        <f>C56</f>
        <v>185238.93999999977</v>
      </c>
      <c r="G75" s="136">
        <v>27</v>
      </c>
      <c r="H75" s="79" t="s">
        <v>163</v>
      </c>
      <c r="I75" s="74">
        <f>I56</f>
        <v>31180.789999999761</v>
      </c>
    </row>
    <row r="76" spans="1:12" x14ac:dyDescent="0.25">
      <c r="A76" s="136">
        <v>28</v>
      </c>
      <c r="B76" t="s">
        <v>200</v>
      </c>
      <c r="C76" s="74">
        <f>D70</f>
        <v>481941.18375242013</v>
      </c>
      <c r="G76" s="136">
        <v>28</v>
      </c>
      <c r="H76" s="79" t="s">
        <v>200</v>
      </c>
      <c r="I76" s="74">
        <f>J70</f>
        <v>61051.11982152213</v>
      </c>
    </row>
    <row r="77" spans="1:12" x14ac:dyDescent="0.25">
      <c r="A77" s="136">
        <v>29</v>
      </c>
      <c r="B77" s="79" t="s">
        <v>107</v>
      </c>
      <c r="C77" s="74">
        <f>(D30-D31)*E22-C68</f>
        <v>275380.15180232166</v>
      </c>
      <c r="G77" s="136">
        <v>29</v>
      </c>
      <c r="H77" s="79" t="s">
        <v>107</v>
      </c>
      <c r="I77" s="74">
        <f>(J30-J31)*K22-I68</f>
        <v>34700.760789071639</v>
      </c>
    </row>
    <row r="78" spans="1:12" x14ac:dyDescent="0.25">
      <c r="A78" s="136">
        <v>30</v>
      </c>
      <c r="B78" t="s">
        <v>106</v>
      </c>
      <c r="C78" s="75">
        <f>SUM(C73:C77)</f>
        <v>6037991.2755547417</v>
      </c>
      <c r="G78" s="136">
        <v>30</v>
      </c>
      <c r="H78" t="s">
        <v>106</v>
      </c>
      <c r="I78" s="75">
        <f>SUM(I73:I77)</f>
        <v>770476.67061059363</v>
      </c>
    </row>
    <row r="79" spans="1:12" x14ac:dyDescent="0.25">
      <c r="A79" s="136">
        <v>31</v>
      </c>
      <c r="B79" s="63" t="s">
        <v>95</v>
      </c>
      <c r="C79" s="74">
        <f>D30*E22</f>
        <v>6037991.2755547408</v>
      </c>
      <c r="G79" s="136">
        <v>31</v>
      </c>
      <c r="H79" s="63" t="s">
        <v>95</v>
      </c>
      <c r="I79" s="74">
        <f>J30*K22</f>
        <v>770476.67061059352</v>
      </c>
    </row>
    <row r="80" spans="1:12" x14ac:dyDescent="0.25">
      <c r="A80" s="136">
        <v>32</v>
      </c>
      <c r="B80" t="s">
        <v>96</v>
      </c>
      <c r="C80" s="74">
        <f>C78-C79</f>
        <v>0</v>
      </c>
      <c r="G80" s="136">
        <v>32</v>
      </c>
      <c r="H80" t="s">
        <v>96</v>
      </c>
      <c r="I80" s="74">
        <f>I78-I79</f>
        <v>0</v>
      </c>
    </row>
  </sheetData>
  <customSheetViews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1:E1"/>
    <mergeCell ref="H1:K1"/>
    <mergeCell ref="B2:E2"/>
    <mergeCell ref="H2:K2"/>
    <mergeCell ref="B3:E3"/>
    <mergeCell ref="H3:K3"/>
    <mergeCell ref="B5:E5"/>
    <mergeCell ref="H5:K5"/>
    <mergeCell ref="B24:C24"/>
    <mergeCell ref="H24:I24"/>
    <mergeCell ref="B25:C25"/>
    <mergeCell ref="H25:I25"/>
    <mergeCell ref="B26:C26"/>
    <mergeCell ref="H26:I26"/>
    <mergeCell ref="B27:C27"/>
    <mergeCell ref="H27:I27"/>
    <mergeCell ref="B35:E35"/>
    <mergeCell ref="H35:K35"/>
    <mergeCell ref="B36:E36"/>
    <mergeCell ref="H36:K36"/>
    <mergeCell ref="B38:E38"/>
    <mergeCell ref="H38:K38"/>
    <mergeCell ref="B39:E39"/>
    <mergeCell ref="H39:K39"/>
    <mergeCell ref="B40:E40"/>
    <mergeCell ref="H40:K40"/>
    <mergeCell ref="B42:E42"/>
    <mergeCell ref="H42:K42"/>
    <mergeCell ref="B43:E43"/>
    <mergeCell ref="H43:K43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10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opLeftCell="A7" zoomScaleNormal="100" workbookViewId="0">
      <selection activeCell="F21" sqref="F21"/>
    </sheetView>
  </sheetViews>
  <sheetFormatPr defaultRowHeight="15" x14ac:dyDescent="0.25"/>
  <cols>
    <col min="1" max="1" width="4.85546875" customWidth="1"/>
    <col min="3" max="3" width="18" customWidth="1"/>
    <col min="4" max="4" width="12.28515625" customWidth="1"/>
    <col min="5" max="5" width="14.7109375" customWidth="1"/>
    <col min="6" max="6" width="17.28515625" customWidth="1"/>
    <col min="7" max="7" width="8.28515625" customWidth="1"/>
    <col min="8" max="8" width="12.42578125" customWidth="1"/>
    <col min="9" max="9" width="16.140625" customWidth="1"/>
    <col min="10" max="10" width="10.5703125" bestFit="1" customWidth="1"/>
    <col min="11" max="11" width="13" customWidth="1"/>
  </cols>
  <sheetData>
    <row r="1" spans="1:11" x14ac:dyDescent="0.25">
      <c r="A1" s="79"/>
      <c r="B1" s="230" t="s">
        <v>0</v>
      </c>
      <c r="C1" s="230"/>
      <c r="D1" s="230"/>
      <c r="E1" s="230"/>
      <c r="F1" s="230"/>
      <c r="G1" s="230"/>
      <c r="H1" s="230"/>
    </row>
    <row r="2" spans="1:11" x14ac:dyDescent="0.25">
      <c r="A2" s="79"/>
      <c r="B2" s="230" t="s">
        <v>114</v>
      </c>
      <c r="C2" s="230"/>
      <c r="D2" s="230"/>
      <c r="E2" s="230"/>
      <c r="F2" s="230"/>
      <c r="G2" s="230"/>
      <c r="H2" s="230"/>
    </row>
    <row r="3" spans="1:11" x14ac:dyDescent="0.25">
      <c r="A3" s="79"/>
      <c r="B3" s="230" t="s">
        <v>185</v>
      </c>
      <c r="C3" s="230"/>
      <c r="D3" s="230"/>
      <c r="E3" s="230"/>
      <c r="F3" s="230"/>
      <c r="G3" s="230"/>
      <c r="H3" s="230"/>
    </row>
    <row r="4" spans="1:11" x14ac:dyDescent="0.25">
      <c r="A4" s="79"/>
      <c r="B4" s="231" t="s">
        <v>172</v>
      </c>
      <c r="C4" s="231"/>
      <c r="D4" s="231"/>
      <c r="E4" s="231"/>
      <c r="F4" s="231"/>
      <c r="G4" s="231"/>
      <c r="H4" s="231"/>
    </row>
    <row r="5" spans="1:11" x14ac:dyDescent="0.25">
      <c r="A5" s="79"/>
    </row>
    <row r="6" spans="1:11" x14ac:dyDescent="0.25">
      <c r="A6" s="79"/>
      <c r="B6" s="230" t="s">
        <v>177</v>
      </c>
      <c r="C6" s="230"/>
      <c r="D6" s="230"/>
      <c r="E6" s="230"/>
      <c r="F6" s="230"/>
      <c r="G6" s="230"/>
      <c r="H6" s="230"/>
    </row>
    <row r="7" spans="1:11" ht="57.6" customHeight="1" x14ac:dyDescent="0.25">
      <c r="A7" s="91" t="s">
        <v>93</v>
      </c>
      <c r="B7" s="86" t="s">
        <v>2</v>
      </c>
      <c r="C7" s="154" t="str">
        <f>"Regulatory "&amp;IF(C9&lt;0,"Liability","Asset")&amp;" Beginning Balance"</f>
        <v>Regulatory Asset Beginning Balance</v>
      </c>
      <c r="D7" s="86" t="s">
        <v>3</v>
      </c>
      <c r="E7" s="86" t="s">
        <v>75</v>
      </c>
      <c r="F7" s="154" t="str">
        <f>"Regulatory "&amp;IF(F20&lt;0,"Liability","Asset")&amp;" Ending Balance"</f>
        <v>Regulatory Asset Ending Balance</v>
      </c>
      <c r="G7" s="85" t="s">
        <v>115</v>
      </c>
      <c r="H7" s="85" t="s">
        <v>164</v>
      </c>
    </row>
    <row r="8" spans="1:11" x14ac:dyDescent="0.25">
      <c r="A8" s="79"/>
      <c r="B8" s="79"/>
      <c r="C8" s="79"/>
      <c r="D8" s="79"/>
      <c r="E8" s="79"/>
      <c r="F8" s="79"/>
      <c r="G8" s="79"/>
      <c r="H8" s="79"/>
    </row>
    <row r="9" spans="1:11" x14ac:dyDescent="0.25">
      <c r="A9" s="86">
        <v>1</v>
      </c>
      <c r="B9" s="92">
        <v>45139</v>
      </c>
      <c r="C9" s="159">
        <f>-1114191.08+1960857.48</f>
        <v>846666.39999999991</v>
      </c>
      <c r="D9" s="94">
        <f t="shared" ref="D9:D11" si="0">ROUND(((C9+C9+E9)/2)*G9/12,2)</f>
        <v>5599.16</v>
      </c>
      <c r="E9" s="159">
        <v>-17774.5</v>
      </c>
      <c r="F9" s="95">
        <f t="shared" ref="F9:F11" si="1">C9+D9+E9</f>
        <v>834491.05999999994</v>
      </c>
      <c r="G9" s="150">
        <v>8.0199999999999994E-2</v>
      </c>
      <c r="H9" s="79"/>
      <c r="I9" s="96"/>
      <c r="K9" s="95"/>
    </row>
    <row r="10" spans="1:11" x14ac:dyDescent="0.25">
      <c r="A10" s="86">
        <v>2</v>
      </c>
      <c r="B10" s="92">
        <f>B9+31</f>
        <v>45170</v>
      </c>
      <c r="C10" s="93">
        <f t="shared" ref="C10:C12" si="2">F9</f>
        <v>834491.05999999994</v>
      </c>
      <c r="D10" s="94">
        <f t="shared" si="0"/>
        <v>5518.65</v>
      </c>
      <c r="E10" s="159">
        <v>-17515.310000000001</v>
      </c>
      <c r="F10" s="95">
        <f t="shared" si="1"/>
        <v>822494.39999999991</v>
      </c>
      <c r="G10" s="151">
        <f>G9</f>
        <v>8.0199999999999994E-2</v>
      </c>
      <c r="H10" s="79"/>
      <c r="I10" s="135"/>
    </row>
    <row r="11" spans="1:11" x14ac:dyDescent="0.25">
      <c r="A11" s="86">
        <v>3</v>
      </c>
      <c r="B11" s="92">
        <f t="shared" ref="B11:B20" si="3">B10+31</f>
        <v>45201</v>
      </c>
      <c r="C11" s="93">
        <f t="shared" si="2"/>
        <v>822494.39999999991</v>
      </c>
      <c r="D11" s="94">
        <f t="shared" si="0"/>
        <v>5587.1</v>
      </c>
      <c r="E11" s="159">
        <v>-39114.92</v>
      </c>
      <c r="F11" s="95">
        <f t="shared" si="1"/>
        <v>788966.57999999984</v>
      </c>
      <c r="G11" s="150">
        <v>8.3500000000000005E-2</v>
      </c>
      <c r="H11" s="79"/>
      <c r="I11" s="63"/>
      <c r="J11" s="63"/>
      <c r="K11" s="173"/>
    </row>
    <row r="12" spans="1:11" x14ac:dyDescent="0.25">
      <c r="A12" s="86">
        <v>4</v>
      </c>
      <c r="B12" s="92">
        <f t="shared" si="3"/>
        <v>45232</v>
      </c>
      <c r="C12" s="93">
        <f t="shared" si="2"/>
        <v>788966.57999999984</v>
      </c>
      <c r="D12" s="94">
        <f t="shared" ref="D12:D20" si="4">ROUND(((C12+C12+E12)/2)*G12/12,2)</f>
        <v>5163.13</v>
      </c>
      <c r="E12" s="159">
        <v>-93919.28</v>
      </c>
      <c r="F12" s="95">
        <f t="shared" ref="F12:F19" si="5">C12+D12+E12</f>
        <v>700210.42999999982</v>
      </c>
      <c r="G12" s="151">
        <f>G11</f>
        <v>8.3500000000000005E-2</v>
      </c>
      <c r="H12" s="79"/>
      <c r="I12" s="207"/>
      <c r="K12" s="207"/>
    </row>
    <row r="13" spans="1:11" x14ac:dyDescent="0.25">
      <c r="A13" s="86">
        <v>5</v>
      </c>
      <c r="B13" s="92">
        <f t="shared" si="3"/>
        <v>45263</v>
      </c>
      <c r="C13" s="93">
        <f>F12</f>
        <v>700210.42999999982</v>
      </c>
      <c r="D13" s="94">
        <f t="shared" si="4"/>
        <v>4487.2700000000004</v>
      </c>
      <c r="E13" s="159">
        <v>-110666.92</v>
      </c>
      <c r="F13" s="95">
        <f t="shared" si="5"/>
        <v>594030.7799999998</v>
      </c>
      <c r="G13" s="151">
        <f>G12</f>
        <v>8.3500000000000005E-2</v>
      </c>
      <c r="H13" s="79"/>
      <c r="I13" s="207"/>
      <c r="K13" s="207"/>
    </row>
    <row r="14" spans="1:11" x14ac:dyDescent="0.25">
      <c r="A14" s="86">
        <v>6</v>
      </c>
      <c r="B14" s="92">
        <f t="shared" si="3"/>
        <v>45294</v>
      </c>
      <c r="C14" s="93">
        <f t="shared" ref="C14:C20" si="6">F13</f>
        <v>594030.7799999998</v>
      </c>
      <c r="D14" s="94">
        <f t="shared" si="4"/>
        <v>3716.96</v>
      </c>
      <c r="E14" s="159">
        <v>-138567.95000000001</v>
      </c>
      <c r="F14" s="95">
        <f t="shared" si="5"/>
        <v>459179.78999999975</v>
      </c>
      <c r="G14" s="150">
        <v>8.5000000000000006E-2</v>
      </c>
      <c r="H14" s="79"/>
      <c r="I14" s="207"/>
      <c r="K14" s="207"/>
    </row>
    <row r="15" spans="1:11" s="79" customFormat="1" x14ac:dyDescent="0.25">
      <c r="A15" s="136">
        <v>7</v>
      </c>
      <c r="B15" s="92">
        <f t="shared" si="3"/>
        <v>45325</v>
      </c>
      <c r="C15" s="93">
        <f t="shared" si="6"/>
        <v>459179.78999999975</v>
      </c>
      <c r="D15" s="94">
        <f>ROUND(((C15+C15+E15)/2)*G15/12,2)</f>
        <v>2916.04</v>
      </c>
      <c r="E15" s="159">
        <v>-95007.85</v>
      </c>
      <c r="F15" s="95">
        <f>C15+D15+E15</f>
        <v>367087.97999999975</v>
      </c>
      <c r="G15" s="151">
        <f>G14</f>
        <v>8.5000000000000006E-2</v>
      </c>
      <c r="I15" s="207"/>
      <c r="K15" s="207"/>
    </row>
    <row r="16" spans="1:11" s="79" customFormat="1" x14ac:dyDescent="0.25">
      <c r="A16" s="136">
        <v>8</v>
      </c>
      <c r="B16" s="92">
        <f t="shared" si="3"/>
        <v>45356</v>
      </c>
      <c r="C16" s="93">
        <f t="shared" si="6"/>
        <v>367087.97999999975</v>
      </c>
      <c r="D16" s="94">
        <f>ROUND(((C16+C16+E16)/2)*G16/12,2)</f>
        <v>2313.62</v>
      </c>
      <c r="E16" s="159">
        <v>-80917.73</v>
      </c>
      <c r="F16" s="173">
        <f>C16+D16+E16</f>
        <v>288483.86999999976</v>
      </c>
      <c r="G16" s="151">
        <f>G15</f>
        <v>8.5000000000000006E-2</v>
      </c>
      <c r="I16" s="207"/>
      <c r="K16" s="207"/>
    </row>
    <row r="17" spans="1:17" s="79" customFormat="1" x14ac:dyDescent="0.25">
      <c r="A17" s="136">
        <v>9</v>
      </c>
      <c r="B17" s="92">
        <f t="shared" si="3"/>
        <v>45387</v>
      </c>
      <c r="C17" s="93">
        <f t="shared" si="6"/>
        <v>288483.86999999976</v>
      </c>
      <c r="D17" s="94">
        <f>ROUND(((C17+C17+E17)/2)*G17/12,2)</f>
        <v>1863.44</v>
      </c>
      <c r="E17" s="159">
        <f>-ROUND(H17*('Earnings Test and 3% Test'!$E$50/'Conversion Factors'!$E$114),2)</f>
        <v>-50820.27</v>
      </c>
      <c r="F17" s="95">
        <f>C17+D17+E17</f>
        <v>239527.03999999978</v>
      </c>
      <c r="G17" s="150">
        <v>8.5000000000000006E-2</v>
      </c>
      <c r="H17" s="165">
        <f>'4 10 24 Forecast Usage by Sched'!M5</f>
        <v>9053426.8351047803</v>
      </c>
      <c r="I17" s="210"/>
      <c r="J17" s="63"/>
      <c r="K17" s="210"/>
      <c r="L17" s="63"/>
      <c r="M17" s="63"/>
      <c r="N17" s="63"/>
      <c r="O17" s="63"/>
      <c r="P17" s="63"/>
      <c r="Q17" s="63"/>
    </row>
    <row r="18" spans="1:17" x14ac:dyDescent="0.25">
      <c r="A18" s="86">
        <v>10</v>
      </c>
      <c r="B18" s="92">
        <f t="shared" si="3"/>
        <v>45418</v>
      </c>
      <c r="C18" s="93">
        <f>F17</f>
        <v>239527.03999999978</v>
      </c>
      <c r="D18" s="94">
        <f t="shared" si="4"/>
        <v>1602.48</v>
      </c>
      <c r="E18" s="159">
        <f>-ROUND(H18*('Earnings Test and 3% Test'!$E$50/'Conversion Factors'!$E$114),2)</f>
        <v>-26589.61</v>
      </c>
      <c r="F18" s="95">
        <f t="shared" si="5"/>
        <v>214539.9099999998</v>
      </c>
      <c r="G18" s="151">
        <f>G17</f>
        <v>8.5000000000000006E-2</v>
      </c>
      <c r="H18" s="165">
        <f>'4 10 24 Forecast Usage by Sched'!M6</f>
        <v>4736832.3286431134</v>
      </c>
      <c r="I18" s="207"/>
      <c r="K18" s="207"/>
      <c r="L18" s="79"/>
    </row>
    <row r="19" spans="1:17" x14ac:dyDescent="0.25">
      <c r="A19" s="86">
        <v>11</v>
      </c>
      <c r="B19" s="92">
        <f t="shared" si="3"/>
        <v>45449</v>
      </c>
      <c r="C19" s="93">
        <f t="shared" si="6"/>
        <v>214539.9099999998</v>
      </c>
      <c r="D19" s="94">
        <f t="shared" si="4"/>
        <v>1453.43</v>
      </c>
      <c r="E19" s="159">
        <f>-ROUND(H19*('Earnings Test and 3% Test'!$E$50/'Conversion Factors'!$E$114),2)</f>
        <v>-18698.2</v>
      </c>
      <c r="F19" s="95">
        <f t="shared" si="5"/>
        <v>197295.13999999978</v>
      </c>
      <c r="G19" s="151">
        <f>G18</f>
        <v>8.5000000000000006E-2</v>
      </c>
      <c r="H19" s="165">
        <f>'4 10 24 Forecast Usage by Sched'!M7</f>
        <v>3331008.7762529142</v>
      </c>
      <c r="I19" s="207"/>
      <c r="K19" s="207"/>
    </row>
    <row r="20" spans="1:17" x14ac:dyDescent="0.25">
      <c r="A20" s="86">
        <v>12</v>
      </c>
      <c r="B20" s="92">
        <f t="shared" si="3"/>
        <v>45480</v>
      </c>
      <c r="C20" s="93">
        <f t="shared" si="6"/>
        <v>197295.13999999978</v>
      </c>
      <c r="D20" s="94">
        <f t="shared" si="4"/>
        <v>1350.03</v>
      </c>
      <c r="E20" s="159">
        <f>-ROUND(H20*('Earnings Test and 3% Test'!$E$50/'Conversion Factors'!$E$114),2)</f>
        <v>-13406.23</v>
      </c>
      <c r="F20" s="97">
        <f>C20+D20+E20</f>
        <v>185238.93999999977</v>
      </c>
      <c r="G20" s="151">
        <f>G19</f>
        <v>8.5000000000000006E-2</v>
      </c>
      <c r="H20" s="165">
        <f>'4 10 24 Forecast Usage by Sched'!M8</f>
        <v>2388266.5121876169</v>
      </c>
      <c r="I20" s="207"/>
      <c r="K20" s="207"/>
    </row>
    <row r="21" spans="1:17" x14ac:dyDescent="0.25">
      <c r="A21" s="79"/>
      <c r="B21" s="79"/>
      <c r="C21" s="79"/>
      <c r="D21" s="79"/>
      <c r="E21" s="79"/>
      <c r="F21" s="79"/>
      <c r="G21" s="79"/>
      <c r="H21" s="79"/>
    </row>
    <row r="22" spans="1:17" x14ac:dyDescent="0.25">
      <c r="A22" s="79"/>
      <c r="B22" s="79"/>
      <c r="C22" s="79"/>
      <c r="D22" s="79"/>
      <c r="E22" s="79"/>
      <c r="F22" s="79"/>
      <c r="G22" s="79"/>
      <c r="H22" s="79"/>
    </row>
    <row r="23" spans="1:17" x14ac:dyDescent="0.25">
      <c r="A23" s="79"/>
      <c r="B23" s="230" t="s">
        <v>116</v>
      </c>
      <c r="C23" s="230"/>
      <c r="D23" s="230"/>
      <c r="E23" s="230"/>
      <c r="F23" s="230"/>
      <c r="G23" s="230"/>
      <c r="H23" s="230"/>
    </row>
    <row r="24" spans="1:17" ht="57.6" customHeight="1" x14ac:dyDescent="0.25">
      <c r="A24" s="91" t="s">
        <v>93</v>
      </c>
      <c r="B24" s="86" t="s">
        <v>2</v>
      </c>
      <c r="C24" s="154" t="str">
        <f>"Regulatory "&amp;IF(C26&lt;0,"Liability","Asset")&amp;" Beginning Balance"</f>
        <v>Regulatory Asset Beginning Balance</v>
      </c>
      <c r="D24" s="86" t="s">
        <v>3</v>
      </c>
      <c r="E24" s="86" t="s">
        <v>75</v>
      </c>
      <c r="F24" s="154" t="str">
        <f>"Regulatory "&amp;IF(F37&lt;0,"Liability","Asset")&amp;" Ending Balance"</f>
        <v>Regulatory Asset Ending Balance</v>
      </c>
      <c r="G24" s="85" t="s">
        <v>115</v>
      </c>
      <c r="H24" s="85" t="str">
        <f>H7</f>
        <v>May - July Forecast Usage</v>
      </c>
    </row>
    <row r="25" spans="1:17" x14ac:dyDescent="0.25">
      <c r="A25" s="79"/>
      <c r="B25" s="79"/>
      <c r="C25" s="79"/>
      <c r="D25" s="79"/>
      <c r="E25" s="79"/>
      <c r="F25" s="79"/>
      <c r="G25" s="79"/>
      <c r="H25" s="79"/>
    </row>
    <row r="26" spans="1:17" x14ac:dyDescent="0.25">
      <c r="A26" s="86">
        <v>13</v>
      </c>
      <c r="B26" s="92">
        <f t="shared" ref="B26:B37" si="7">B9</f>
        <v>45139</v>
      </c>
      <c r="C26" s="159">
        <f>1356895.99+892187.06</f>
        <v>2249083.0499999998</v>
      </c>
      <c r="D26" s="94">
        <f t="shared" ref="D26:D28" si="8">ROUND(((C26+C26+E26)/2)*G26/12,2)</f>
        <v>14780.97</v>
      </c>
      <c r="E26" s="159">
        <v>-74931.740000000005</v>
      </c>
      <c r="F26" s="95">
        <f t="shared" ref="F26:F28" si="9">C26+D26+E26</f>
        <v>2188932.2799999998</v>
      </c>
      <c r="G26" s="126">
        <f t="shared" ref="G26:G37" si="10">G9</f>
        <v>8.0199999999999994E-2</v>
      </c>
      <c r="H26" s="79"/>
      <c r="I26" s="79"/>
      <c r="J26" s="79"/>
      <c r="K26" s="95"/>
    </row>
    <row r="27" spans="1:17" x14ac:dyDescent="0.25">
      <c r="A27" s="86">
        <v>14</v>
      </c>
      <c r="B27" s="92">
        <f t="shared" si="7"/>
        <v>45170</v>
      </c>
      <c r="C27" s="93">
        <f t="shared" ref="C27:C29" si="11">F26</f>
        <v>2188932.2799999998</v>
      </c>
      <c r="D27" s="94">
        <f t="shared" si="8"/>
        <v>14317.26</v>
      </c>
      <c r="E27" s="159">
        <v>-93397.25</v>
      </c>
      <c r="F27" s="95">
        <f t="shared" si="9"/>
        <v>2109852.2899999996</v>
      </c>
      <c r="G27" s="126">
        <f t="shared" si="10"/>
        <v>8.0199999999999994E-2</v>
      </c>
      <c r="H27" s="79"/>
      <c r="I27" s="79"/>
      <c r="J27" s="79"/>
    </row>
    <row r="28" spans="1:17" x14ac:dyDescent="0.25">
      <c r="A28" s="86">
        <v>15</v>
      </c>
      <c r="B28" s="92">
        <f t="shared" si="7"/>
        <v>45201</v>
      </c>
      <c r="C28" s="93">
        <f t="shared" si="11"/>
        <v>2109852.2899999996</v>
      </c>
      <c r="D28" s="94">
        <f t="shared" si="8"/>
        <v>14025.83</v>
      </c>
      <c r="E28" s="159">
        <v>-188329.07</v>
      </c>
      <c r="F28" s="95">
        <f t="shared" si="9"/>
        <v>1935549.0499999996</v>
      </c>
      <c r="G28" s="126">
        <f t="shared" si="10"/>
        <v>8.3500000000000005E-2</v>
      </c>
      <c r="H28" s="79"/>
      <c r="I28" s="63"/>
      <c r="J28" s="63"/>
      <c r="K28" s="63"/>
    </row>
    <row r="29" spans="1:17" x14ac:dyDescent="0.25">
      <c r="A29" s="86">
        <v>16</v>
      </c>
      <c r="B29" s="92">
        <f t="shared" si="7"/>
        <v>45232</v>
      </c>
      <c r="C29" s="93">
        <f t="shared" si="11"/>
        <v>1935549.0499999996</v>
      </c>
      <c r="D29" s="94">
        <f t="shared" ref="D29:D37" si="12">ROUND(((C29+C29+E29)/2)*G29/12,2)</f>
        <v>12567.07</v>
      </c>
      <c r="E29" s="159">
        <v>-259004.74</v>
      </c>
      <c r="F29" s="95">
        <f t="shared" ref="F29:F37" si="13">C29+D29+E29</f>
        <v>1689111.3799999997</v>
      </c>
      <c r="G29" s="126">
        <f t="shared" si="10"/>
        <v>8.3500000000000005E-2</v>
      </c>
      <c r="H29" s="79"/>
      <c r="I29" s="207"/>
      <c r="J29" s="79"/>
      <c r="K29" s="79"/>
    </row>
    <row r="30" spans="1:17" x14ac:dyDescent="0.25">
      <c r="A30" s="86">
        <v>17</v>
      </c>
      <c r="B30" s="92">
        <f t="shared" si="7"/>
        <v>45263</v>
      </c>
      <c r="C30" s="93">
        <f t="shared" ref="C30:C37" si="14">F29</f>
        <v>1689111.3799999997</v>
      </c>
      <c r="D30" s="94">
        <f t="shared" si="12"/>
        <v>10685.94</v>
      </c>
      <c r="E30" s="159">
        <v>-306813.93</v>
      </c>
      <c r="F30" s="95">
        <f t="shared" si="13"/>
        <v>1392983.3899999997</v>
      </c>
      <c r="G30" s="126">
        <f t="shared" si="10"/>
        <v>8.3500000000000005E-2</v>
      </c>
      <c r="H30" s="79"/>
      <c r="I30" s="207"/>
      <c r="J30" s="79"/>
      <c r="K30" s="79"/>
    </row>
    <row r="31" spans="1:17" x14ac:dyDescent="0.25">
      <c r="A31" s="86">
        <v>18</v>
      </c>
      <c r="B31" s="92">
        <f t="shared" si="7"/>
        <v>45294</v>
      </c>
      <c r="C31" s="93">
        <f t="shared" si="14"/>
        <v>1392983.3899999997</v>
      </c>
      <c r="D31" s="94">
        <f t="shared" si="12"/>
        <v>8525.89</v>
      </c>
      <c r="E31" s="159">
        <v>-378657.99</v>
      </c>
      <c r="F31" s="95">
        <f t="shared" si="13"/>
        <v>1022851.2899999996</v>
      </c>
      <c r="G31" s="126">
        <f t="shared" si="10"/>
        <v>8.5000000000000006E-2</v>
      </c>
      <c r="H31" s="79"/>
      <c r="I31" s="207"/>
      <c r="K31" s="79"/>
    </row>
    <row r="32" spans="1:17" s="79" customFormat="1" x14ac:dyDescent="0.25">
      <c r="A32" s="136">
        <v>19</v>
      </c>
      <c r="B32" s="92">
        <f t="shared" si="7"/>
        <v>45325</v>
      </c>
      <c r="C32" s="93">
        <f t="shared" si="14"/>
        <v>1022851.2899999996</v>
      </c>
      <c r="D32" s="94">
        <f t="shared" si="12"/>
        <v>6097.76</v>
      </c>
      <c r="E32" s="159">
        <v>-323981.42</v>
      </c>
      <c r="F32" s="95">
        <f>C32+D32+E32</f>
        <v>704967.62999999966</v>
      </c>
      <c r="G32" s="126">
        <f t="shared" si="10"/>
        <v>8.5000000000000006E-2</v>
      </c>
      <c r="I32" s="207"/>
    </row>
    <row r="33" spans="1:17" s="79" customFormat="1" x14ac:dyDescent="0.25">
      <c r="A33" s="136">
        <v>20</v>
      </c>
      <c r="B33" s="92">
        <f t="shared" si="7"/>
        <v>45356</v>
      </c>
      <c r="C33" s="93">
        <f t="shared" si="14"/>
        <v>704967.62999999966</v>
      </c>
      <c r="D33" s="94">
        <f t="shared" si="12"/>
        <v>4106.04</v>
      </c>
      <c r="E33" s="159">
        <v>-250583.96</v>
      </c>
      <c r="F33" s="95">
        <f>C33+D33+E33</f>
        <v>458489.70999999973</v>
      </c>
      <c r="G33" s="126">
        <f t="shared" si="10"/>
        <v>8.5000000000000006E-2</v>
      </c>
      <c r="I33" s="207"/>
    </row>
    <row r="34" spans="1:17" s="79" customFormat="1" x14ac:dyDescent="0.25">
      <c r="A34" s="136">
        <v>21</v>
      </c>
      <c r="B34" s="92">
        <f t="shared" si="7"/>
        <v>45387</v>
      </c>
      <c r="C34" s="93">
        <f t="shared" si="14"/>
        <v>458489.70999999973</v>
      </c>
      <c r="D34" s="94">
        <f t="shared" si="12"/>
        <v>2662.35</v>
      </c>
      <c r="E34" s="159">
        <f>-ROUND(H34*('Earnings Test and 3% Test'!$F$50/'Conversion Factors'!$E$114),2)</f>
        <v>-165257.82999999999</v>
      </c>
      <c r="F34" s="95">
        <f>C34+D34+E34</f>
        <v>295894.22999999975</v>
      </c>
      <c r="G34" s="126">
        <f t="shared" si="10"/>
        <v>8.5000000000000006E-2</v>
      </c>
      <c r="H34" s="69">
        <f>'4 10 24 Forecast Usage by Sched'!N5</f>
        <v>4334409.9690089654</v>
      </c>
      <c r="I34" s="210"/>
      <c r="J34" s="63"/>
      <c r="K34" s="63"/>
      <c r="L34" s="63"/>
      <c r="M34" s="63"/>
      <c r="N34" s="63"/>
      <c r="O34" s="63"/>
      <c r="P34" s="63"/>
      <c r="Q34" s="63"/>
    </row>
    <row r="35" spans="1:17" x14ac:dyDescent="0.25">
      <c r="A35" s="86">
        <v>22</v>
      </c>
      <c r="B35" s="92">
        <f t="shared" si="7"/>
        <v>45418</v>
      </c>
      <c r="C35" s="93">
        <f t="shared" si="14"/>
        <v>295894.22999999975</v>
      </c>
      <c r="D35" s="94">
        <f t="shared" si="12"/>
        <v>1704.96</v>
      </c>
      <c r="E35" s="159">
        <f>-ROUND(H35*('Earnings Test and 3% Test'!$F$50/'Conversion Factors'!$E$114),2)</f>
        <v>-110388.5</v>
      </c>
      <c r="F35" s="95">
        <f t="shared" si="13"/>
        <v>187210.68999999977</v>
      </c>
      <c r="G35" s="126">
        <f t="shared" si="10"/>
        <v>8.5000000000000006E-2</v>
      </c>
      <c r="H35" s="69">
        <f>'4 10 24 Forecast Usage by Sched'!N6</f>
        <v>2895287.9339195318</v>
      </c>
      <c r="J35" s="79"/>
    </row>
    <row r="36" spans="1:17" x14ac:dyDescent="0.25">
      <c r="A36" s="86">
        <v>23</v>
      </c>
      <c r="B36" s="92">
        <f t="shared" si="7"/>
        <v>45449</v>
      </c>
      <c r="C36" s="93">
        <f t="shared" si="14"/>
        <v>187210.68999999977</v>
      </c>
      <c r="D36" s="94">
        <f t="shared" si="12"/>
        <v>1021.02</v>
      </c>
      <c r="E36" s="159">
        <f>-ROUND(H36*('Earnings Test and 3% Test'!$F$50/'Conversion Factors'!$E$114),2)</f>
        <v>-86132.51</v>
      </c>
      <c r="F36" s="95">
        <f t="shared" si="13"/>
        <v>102099.19999999976</v>
      </c>
      <c r="G36" s="126">
        <f t="shared" si="10"/>
        <v>8.5000000000000006E-2</v>
      </c>
      <c r="H36" s="69">
        <f>'4 10 24 Forecast Usage by Sched'!N7</f>
        <v>2259097.7567725717</v>
      </c>
      <c r="J36" s="79"/>
    </row>
    <row r="37" spans="1:17" x14ac:dyDescent="0.25">
      <c r="A37" s="86">
        <v>24</v>
      </c>
      <c r="B37" s="92">
        <f t="shared" si="7"/>
        <v>45480</v>
      </c>
      <c r="C37" s="93">
        <f t="shared" si="14"/>
        <v>102099.19999999976</v>
      </c>
      <c r="D37" s="94">
        <f t="shared" si="12"/>
        <v>470.37</v>
      </c>
      <c r="E37" s="159">
        <f>-ROUND(H37*('Earnings Test and 3% Test'!$F$50/'Conversion Factors'!$E$114),2)</f>
        <v>-71388.78</v>
      </c>
      <c r="F37" s="97">
        <f t="shared" si="13"/>
        <v>31180.789999999761</v>
      </c>
      <c r="G37" s="126">
        <f t="shared" si="10"/>
        <v>8.5000000000000006E-2</v>
      </c>
      <c r="H37" s="69">
        <f>'4 10 24 Forecast Usage by Sched'!N8</f>
        <v>1872396.7503173531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scale="93" firstPageNumber="5" orientation="portrait" useFirstPageNumber="1" r:id="rId1"/>
  <headerFooter scaleWithDoc="0">
    <oddFooter>&amp;CATTACHMENT A&amp;RPage 5 of 10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1"/>
  <sheetViews>
    <sheetView zoomScaleNormal="100" workbookViewId="0">
      <selection activeCell="J44" sqref="J44"/>
    </sheetView>
  </sheetViews>
  <sheetFormatPr defaultRowHeight="15" x14ac:dyDescent="0.25"/>
  <cols>
    <col min="1" max="1" width="7.42578125" style="71" customWidth="1"/>
    <col min="2" max="2" width="31.7109375" customWidth="1"/>
    <col min="4" max="4" width="3.28515625" customWidth="1"/>
    <col min="5" max="5" width="15.42578125" customWidth="1"/>
    <col min="6" max="6" width="15.28515625" customWidth="1"/>
    <col min="7" max="7" width="3.42578125" customWidth="1"/>
    <col min="8" max="8" width="12.42578125" hidden="1" customWidth="1"/>
    <col min="9" max="9" width="20.42578125" customWidth="1"/>
    <col min="10" max="10" width="19.42578125" customWidth="1"/>
    <col min="11" max="11" width="16.28515625" customWidth="1"/>
    <col min="12" max="12" width="14" customWidth="1"/>
    <col min="13" max="13" width="15" customWidth="1"/>
    <col min="14" max="14" width="4.5703125" customWidth="1"/>
    <col min="15" max="15" width="25.28515625" customWidth="1"/>
    <col min="16" max="16" width="16.7109375" customWidth="1"/>
    <col min="17" max="17" width="17" customWidth="1"/>
    <col min="18" max="18" width="12.42578125" customWidth="1"/>
    <col min="19" max="19" width="13.5703125" customWidth="1"/>
  </cols>
  <sheetData>
    <row r="1" spans="1:7" x14ac:dyDescent="0.25">
      <c r="B1" s="230" t="s">
        <v>0</v>
      </c>
      <c r="C1" s="230"/>
      <c r="D1" s="230"/>
      <c r="E1" s="230"/>
      <c r="F1" s="230"/>
      <c r="G1" s="230"/>
    </row>
    <row r="2" spans="1:7" x14ac:dyDescent="0.25">
      <c r="B2" s="230" t="s">
        <v>45</v>
      </c>
      <c r="C2" s="230"/>
      <c r="D2" s="230"/>
      <c r="E2" s="230"/>
      <c r="F2" s="230"/>
      <c r="G2" s="230"/>
    </row>
    <row r="3" spans="1:7" x14ac:dyDescent="0.25">
      <c r="B3" s="230" t="s">
        <v>192</v>
      </c>
      <c r="C3" s="230"/>
      <c r="D3" s="230"/>
      <c r="E3" s="230"/>
      <c r="F3" s="230"/>
      <c r="G3" s="230"/>
    </row>
    <row r="5" spans="1:7" x14ac:dyDescent="0.25">
      <c r="B5" s="176" t="s">
        <v>191</v>
      </c>
      <c r="C5" s="72"/>
      <c r="D5" s="72"/>
    </row>
    <row r="7" spans="1:7" x14ac:dyDescent="0.25">
      <c r="A7" s="71" t="s">
        <v>93</v>
      </c>
      <c r="D7" s="71"/>
      <c r="E7" s="35" t="s">
        <v>46</v>
      </c>
      <c r="F7" s="78"/>
      <c r="G7" s="46"/>
    </row>
    <row r="9" spans="1:7" x14ac:dyDescent="0.25">
      <c r="A9" s="71">
        <v>1</v>
      </c>
      <c r="B9" t="s">
        <v>47</v>
      </c>
      <c r="E9" s="160">
        <v>547833000</v>
      </c>
      <c r="F9" s="41"/>
      <c r="G9" s="41"/>
    </row>
    <row r="10" spans="1:7" x14ac:dyDescent="0.25">
      <c r="E10" s="63"/>
    </row>
    <row r="11" spans="1:7" x14ac:dyDescent="0.25">
      <c r="A11" s="71">
        <v>2</v>
      </c>
      <c r="B11" t="s">
        <v>48</v>
      </c>
      <c r="E11" s="160">
        <v>37854000</v>
      </c>
      <c r="F11" s="41"/>
      <c r="G11" s="41"/>
    </row>
    <row r="12" spans="1:7" x14ac:dyDescent="0.25">
      <c r="E12" s="63"/>
    </row>
    <row r="13" spans="1:7" x14ac:dyDescent="0.25">
      <c r="A13" s="71">
        <v>3</v>
      </c>
      <c r="B13" t="s">
        <v>49</v>
      </c>
      <c r="E13" s="206">
        <f>E11/E9</f>
        <v>6.9097699481411312E-2</v>
      </c>
      <c r="F13" s="39"/>
      <c r="G13" s="39"/>
    </row>
    <row r="14" spans="1:7" x14ac:dyDescent="0.25">
      <c r="A14" s="71">
        <v>4</v>
      </c>
      <c r="B14" t="s">
        <v>50</v>
      </c>
      <c r="C14" s="79" t="s">
        <v>165</v>
      </c>
      <c r="D14" s="39"/>
      <c r="E14" s="216">
        <f>7.03%+0.5%</f>
        <v>7.5300000000000006E-2</v>
      </c>
      <c r="F14" s="39"/>
      <c r="G14" s="39"/>
    </row>
    <row r="15" spans="1:7" x14ac:dyDescent="0.25">
      <c r="A15" s="71">
        <v>5</v>
      </c>
      <c r="B15" t="s">
        <v>51</v>
      </c>
      <c r="E15" s="40">
        <f>E13-E14</f>
        <v>-6.2023005185886937E-3</v>
      </c>
      <c r="F15" s="40"/>
      <c r="G15" s="40"/>
    </row>
    <row r="17" spans="1:9" x14ac:dyDescent="0.25">
      <c r="A17" s="71">
        <v>6</v>
      </c>
      <c r="B17" t="s">
        <v>52</v>
      </c>
      <c r="E17" s="41">
        <f>IF(E15&gt;0,E9*E15,0)</f>
        <v>0</v>
      </c>
      <c r="F17" s="41"/>
      <c r="G17" s="41"/>
    </row>
    <row r="18" spans="1:9" x14ac:dyDescent="0.25">
      <c r="A18" s="71">
        <v>7</v>
      </c>
      <c r="B18" t="s">
        <v>53</v>
      </c>
      <c r="E18" s="42">
        <f>'Conversion Factors'!E112</f>
        <v>0.755463</v>
      </c>
      <c r="F18" s="42"/>
      <c r="G18" s="42"/>
    </row>
    <row r="19" spans="1:9" x14ac:dyDescent="0.25">
      <c r="A19" s="71">
        <v>8</v>
      </c>
      <c r="B19" t="s">
        <v>54</v>
      </c>
      <c r="E19" s="41">
        <f>E17/E18</f>
        <v>0</v>
      </c>
      <c r="F19" s="41"/>
      <c r="G19" s="41"/>
      <c r="H19" s="41"/>
    </row>
    <row r="20" spans="1:9" ht="15.75" thickBot="1" x14ac:dyDescent="0.3">
      <c r="A20" s="71">
        <v>9</v>
      </c>
      <c r="B20" t="s">
        <v>55</v>
      </c>
      <c r="E20" s="43">
        <v>0.5</v>
      </c>
      <c r="F20" s="43"/>
      <c r="G20" s="43"/>
    </row>
    <row r="21" spans="1:9" ht="16.5" thickTop="1" thickBot="1" x14ac:dyDescent="0.3">
      <c r="A21" s="71">
        <v>10</v>
      </c>
      <c r="B21" t="s">
        <v>193</v>
      </c>
      <c r="E21" s="44">
        <f>E19*E20</f>
        <v>0</v>
      </c>
      <c r="F21" s="52"/>
      <c r="G21" s="52"/>
      <c r="I21" s="63"/>
    </row>
    <row r="22" spans="1:9" ht="15.75" thickTop="1" x14ac:dyDescent="0.25"/>
    <row r="24" spans="1:9" x14ac:dyDescent="0.25">
      <c r="B24" s="72" t="s">
        <v>178</v>
      </c>
      <c r="C24" s="72"/>
      <c r="D24" s="72"/>
      <c r="E24" s="72"/>
      <c r="F24" s="72"/>
      <c r="G24" s="72"/>
    </row>
    <row r="26" spans="1:9" x14ac:dyDescent="0.25">
      <c r="A26" s="71">
        <v>11</v>
      </c>
      <c r="B26" t="s">
        <v>56</v>
      </c>
      <c r="D26" s="39"/>
      <c r="E26" s="62">
        <f>'Bill Impact'!L11</f>
        <v>212379394</v>
      </c>
      <c r="F26" s="39">
        <f>E26/E30</f>
        <v>0.72705268753406727</v>
      </c>
    </row>
    <row r="27" spans="1:9" x14ac:dyDescent="0.25">
      <c r="E27" s="63"/>
      <c r="H27" s="39"/>
    </row>
    <row r="28" spans="1:9" x14ac:dyDescent="0.25">
      <c r="A28" s="71">
        <v>12</v>
      </c>
      <c r="B28" t="s">
        <v>57</v>
      </c>
      <c r="D28" s="39"/>
      <c r="E28" s="62">
        <f>'Bill Impact'!L13</f>
        <v>79730652</v>
      </c>
      <c r="F28" s="39">
        <f>E28/E30</f>
        <v>0.27294731246593279</v>
      </c>
    </row>
    <row r="29" spans="1:9" x14ac:dyDescent="0.25">
      <c r="H29" s="39"/>
    </row>
    <row r="30" spans="1:9" x14ac:dyDescent="0.25">
      <c r="A30" s="71">
        <v>13</v>
      </c>
      <c r="B30" t="s">
        <v>58</v>
      </c>
      <c r="D30" s="40"/>
      <c r="E30" s="41">
        <f>E26+E28</f>
        <v>292110046</v>
      </c>
      <c r="F30" s="40">
        <f>F26+F28</f>
        <v>1</v>
      </c>
    </row>
    <row r="31" spans="1:9" s="79" customFormat="1" x14ac:dyDescent="0.25">
      <c r="A31" s="81"/>
      <c r="D31" s="82"/>
      <c r="E31" s="83"/>
      <c r="F31" s="82"/>
    </row>
    <row r="32" spans="1:9" x14ac:dyDescent="0.25">
      <c r="E32" s="234" t="s">
        <v>109</v>
      </c>
      <c r="F32" s="234" t="s">
        <v>110</v>
      </c>
      <c r="H32" s="40"/>
    </row>
    <row r="33" spans="1:10" x14ac:dyDescent="0.25">
      <c r="B33" s="47" t="s">
        <v>59</v>
      </c>
      <c r="E33" s="235"/>
      <c r="F33" s="235"/>
    </row>
    <row r="34" spans="1:10" x14ac:dyDescent="0.25">
      <c r="A34" s="71">
        <v>14</v>
      </c>
      <c r="B34" t="s">
        <v>61</v>
      </c>
      <c r="E34" s="41">
        <f>E21*F26</f>
        <v>0</v>
      </c>
      <c r="F34" s="83">
        <f>ROUND(E34*'Conversion Factors'!$E$108,0)</f>
        <v>0</v>
      </c>
    </row>
    <row r="35" spans="1:10" x14ac:dyDescent="0.25">
      <c r="A35" s="71">
        <v>15</v>
      </c>
      <c r="B35" t="s">
        <v>81</v>
      </c>
      <c r="E35" s="41">
        <f>E21*F28</f>
        <v>0</v>
      </c>
      <c r="F35" s="83">
        <f>ROUND(E35*'Conversion Factors'!$E$108,0)</f>
        <v>0</v>
      </c>
    </row>
    <row r="36" spans="1:10" x14ac:dyDescent="0.25">
      <c r="A36" s="71">
        <v>16</v>
      </c>
      <c r="B36" t="s">
        <v>60</v>
      </c>
      <c r="E36" s="45">
        <f>SUM(E34:E35)</f>
        <v>0</v>
      </c>
      <c r="F36" s="45">
        <f>SUM(F34:F35)</f>
        <v>0</v>
      </c>
      <c r="I36" s="83"/>
    </row>
    <row r="37" spans="1:10" s="79" customFormat="1" hidden="1" x14ac:dyDescent="0.25">
      <c r="A37" s="136"/>
      <c r="B37" s="47" t="s">
        <v>170</v>
      </c>
      <c r="E37" s="171"/>
      <c r="F37" s="171"/>
      <c r="I37" s="83"/>
    </row>
    <row r="38" spans="1:10" s="79" customFormat="1" hidden="1" x14ac:dyDescent="0.25">
      <c r="A38" s="136">
        <v>17</v>
      </c>
      <c r="B38" s="79" t="s">
        <v>61</v>
      </c>
      <c r="E38" s="171"/>
      <c r="F38" s="171"/>
      <c r="I38" s="83"/>
    </row>
    <row r="39" spans="1:10" s="79" customFormat="1" hidden="1" x14ac:dyDescent="0.25">
      <c r="A39" s="136">
        <v>18</v>
      </c>
      <c r="B39" s="79" t="s">
        <v>81</v>
      </c>
      <c r="E39" s="172"/>
      <c r="F39" s="171"/>
      <c r="I39" s="83"/>
    </row>
    <row r="40" spans="1:10" s="79" customFormat="1" hidden="1" x14ac:dyDescent="0.25">
      <c r="A40" s="136">
        <v>19</v>
      </c>
      <c r="B40" s="79" t="s">
        <v>60</v>
      </c>
      <c r="E40" s="171"/>
      <c r="F40" s="171"/>
      <c r="I40" s="83"/>
    </row>
    <row r="42" spans="1:10" ht="32.450000000000003" customHeight="1" x14ac:dyDescent="0.25">
      <c r="A42" s="71" t="s">
        <v>93</v>
      </c>
      <c r="B42" s="73" t="s">
        <v>65</v>
      </c>
      <c r="E42" s="86" t="s">
        <v>111</v>
      </c>
      <c r="F42" s="86" t="s">
        <v>112</v>
      </c>
      <c r="G42" s="86"/>
      <c r="J42" s="99"/>
    </row>
    <row r="43" spans="1:10" s="79" customFormat="1" ht="15" customHeight="1" x14ac:dyDescent="0.25">
      <c r="A43" s="86"/>
      <c r="B43" s="73"/>
      <c r="E43" s="86"/>
      <c r="F43" s="86"/>
      <c r="G43" s="86"/>
    </row>
    <row r="44" spans="1:10" s="79" customFormat="1" ht="30.6" customHeight="1" x14ac:dyDescent="0.25">
      <c r="A44" s="88">
        <v>1</v>
      </c>
      <c r="B44" s="236" t="s">
        <v>194</v>
      </c>
      <c r="C44" s="236"/>
      <c r="D44" s="89"/>
      <c r="E44" s="90">
        <f>E26</f>
        <v>212379394</v>
      </c>
      <c r="F44" s="90">
        <f>E28</f>
        <v>79730652</v>
      </c>
      <c r="G44" s="90"/>
      <c r="I44" s="63"/>
      <c r="J44" s="170"/>
    </row>
    <row r="45" spans="1:10" s="79" customFormat="1" ht="15" customHeight="1" x14ac:dyDescent="0.25">
      <c r="A45" s="86"/>
      <c r="B45" s="73"/>
      <c r="E45" s="86"/>
      <c r="F45" s="86"/>
      <c r="G45" s="86"/>
    </row>
    <row r="46" spans="1:10" ht="15" customHeight="1" x14ac:dyDescent="0.25">
      <c r="A46" s="71">
        <v>2</v>
      </c>
      <c r="B46" t="s">
        <v>195</v>
      </c>
      <c r="E46" s="70">
        <f>'Nat Gas 2024 Rate Calc'!E22</f>
        <v>137508341.50659853</v>
      </c>
      <c r="F46" s="70">
        <f>'Nat Gas 2024 Rate Calc'!K22</f>
        <v>65796470.590144619</v>
      </c>
      <c r="I46" s="63"/>
      <c r="J46" s="63"/>
    </row>
    <row r="47" spans="1:10" ht="15" customHeight="1" x14ac:dyDescent="0.25"/>
    <row r="48" spans="1:10" ht="15" customHeight="1" x14ac:dyDescent="0.25">
      <c r="A48" s="71">
        <v>3</v>
      </c>
      <c r="B48" t="s">
        <v>62</v>
      </c>
      <c r="E48" s="50">
        <f>'Nat Gas 2024 Rate Calc'!D28</f>
        <v>4.3909999999999998E-2</v>
      </c>
      <c r="F48" s="50">
        <f>'Nat Gas 2024 Rate Calc'!J28</f>
        <v>1.171E-2</v>
      </c>
    </row>
    <row r="49" spans="1:10" ht="15" customHeight="1" x14ac:dyDescent="0.25"/>
    <row r="50" spans="1:10" ht="15" customHeight="1" x14ac:dyDescent="0.25">
      <c r="A50" s="71">
        <v>4</v>
      </c>
      <c r="B50" t="s">
        <v>168</v>
      </c>
      <c r="D50" s="63"/>
      <c r="E50" s="163">
        <v>5.8700000000000002E-3</v>
      </c>
      <c r="F50" s="163">
        <v>3.9870000000000003E-2</v>
      </c>
      <c r="I50" s="161"/>
      <c r="J50" s="50"/>
    </row>
    <row r="51" spans="1:10" ht="15" customHeight="1" x14ac:dyDescent="0.25"/>
    <row r="52" spans="1:10" ht="15" customHeight="1" x14ac:dyDescent="0.25">
      <c r="A52" s="71">
        <v>5</v>
      </c>
      <c r="B52" t="s">
        <v>63</v>
      </c>
      <c r="E52" s="50">
        <f>E48-E50</f>
        <v>3.8039999999999997E-2</v>
      </c>
      <c r="F52" s="50">
        <f>F48-F50</f>
        <v>-2.8160000000000004E-2</v>
      </c>
    </row>
    <row r="53" spans="1:10" ht="15" customHeight="1" x14ac:dyDescent="0.25"/>
    <row r="54" spans="1:10" ht="15" customHeight="1" x14ac:dyDescent="0.25">
      <c r="A54" s="71">
        <v>6</v>
      </c>
      <c r="B54" t="s">
        <v>64</v>
      </c>
      <c r="E54" s="48">
        <f>E52*E46</f>
        <v>5230817.3109110082</v>
      </c>
      <c r="F54" s="48">
        <f>F52*F46</f>
        <v>-1852828.6118184729</v>
      </c>
      <c r="G54" s="48"/>
    </row>
    <row r="55" spans="1:10" ht="15" customHeight="1" x14ac:dyDescent="0.25">
      <c r="E55" s="48"/>
      <c r="F55" s="48"/>
    </row>
    <row r="56" spans="1:10" ht="15" customHeight="1" x14ac:dyDescent="0.25">
      <c r="A56" s="71">
        <v>7</v>
      </c>
      <c r="B56" t="s">
        <v>66</v>
      </c>
      <c r="E56" s="51">
        <f>E54/E44</f>
        <v>2.4629589586789236E-2</v>
      </c>
      <c r="F56" s="51">
        <f>F54/F44</f>
        <v>-2.323859852316864E-2</v>
      </c>
      <c r="G56" s="51"/>
    </row>
    <row r="57" spans="1:10" ht="15" customHeight="1" x14ac:dyDescent="0.25"/>
    <row r="58" spans="1:10" ht="15" customHeight="1" x14ac:dyDescent="0.25">
      <c r="A58" s="71">
        <v>8</v>
      </c>
      <c r="B58" t="s">
        <v>167</v>
      </c>
      <c r="E58" s="41">
        <f>IF(E56&gt;0.03,E44*0.03-E54,0)</f>
        <v>0</v>
      </c>
      <c r="F58" s="83">
        <f>IF(F56&gt;0.03,F44*0.03-F54,0)</f>
        <v>0</v>
      </c>
    </row>
    <row r="59" spans="1:10" ht="15" customHeight="1" x14ac:dyDescent="0.25"/>
    <row r="60" spans="1:10" ht="15" customHeight="1" x14ac:dyDescent="0.25">
      <c r="A60" s="71">
        <v>9</v>
      </c>
      <c r="B60" t="s">
        <v>67</v>
      </c>
      <c r="E60" s="50">
        <f>ROUND(E58/E46,5)</f>
        <v>0</v>
      </c>
      <c r="F60" s="50">
        <f>ROUND(F58/F46,5)</f>
        <v>0</v>
      </c>
    </row>
    <row r="61" spans="1:10" ht="15" customHeight="1" x14ac:dyDescent="0.25"/>
    <row r="62" spans="1:10" ht="15" customHeight="1" x14ac:dyDescent="0.25">
      <c r="A62" s="71">
        <v>10</v>
      </c>
      <c r="B62" t="s">
        <v>68</v>
      </c>
      <c r="E62" s="50">
        <f>E48+E60</f>
        <v>4.3909999999999998E-2</v>
      </c>
      <c r="F62" s="50">
        <f>F48+F60</f>
        <v>1.171E-2</v>
      </c>
    </row>
    <row r="63" spans="1:10" ht="15" customHeight="1" x14ac:dyDescent="0.25"/>
    <row r="64" spans="1:10" ht="15" customHeight="1" x14ac:dyDescent="0.25">
      <c r="A64" s="71">
        <v>11</v>
      </c>
      <c r="B64" t="s">
        <v>69</v>
      </c>
      <c r="E64" s="48">
        <f>(E62-E50)*E46</f>
        <v>5230817.3109110082</v>
      </c>
      <c r="F64" s="48">
        <f>(F62-F50)*F46</f>
        <v>-1852828.6118184729</v>
      </c>
      <c r="G64" s="53"/>
    </row>
    <row r="65" spans="1:8" ht="15" customHeight="1" x14ac:dyDescent="0.25">
      <c r="E65" s="53"/>
      <c r="F65" s="53"/>
    </row>
    <row r="66" spans="1:8" ht="15" customHeight="1" x14ac:dyDescent="0.25">
      <c r="A66" s="71">
        <v>12</v>
      </c>
      <c r="B66" t="s">
        <v>70</v>
      </c>
      <c r="E66" s="51">
        <f>E64/E44</f>
        <v>2.4629589586789236E-2</v>
      </c>
      <c r="F66" s="51">
        <f>F64/F44</f>
        <v>-2.323859852316864E-2</v>
      </c>
      <c r="G66" s="51"/>
    </row>
    <row r="67" spans="1:8" ht="15" customHeight="1" x14ac:dyDescent="0.25"/>
    <row r="68" spans="1:8" x14ac:dyDescent="0.25">
      <c r="B68" t="s">
        <v>74</v>
      </c>
    </row>
    <row r="69" spans="1:8" ht="38.25" customHeight="1" x14ac:dyDescent="0.25">
      <c r="A69" s="86"/>
      <c r="B69" s="237" t="s">
        <v>196</v>
      </c>
      <c r="C69" s="237"/>
      <c r="D69" s="237"/>
      <c r="E69" s="237"/>
      <c r="F69" s="237"/>
      <c r="G69" s="237"/>
      <c r="H69" s="237"/>
    </row>
    <row r="70" spans="1:8" ht="54.75" customHeight="1" x14ac:dyDescent="0.25">
      <c r="A70" s="86"/>
      <c r="B70" s="233" t="s">
        <v>166</v>
      </c>
      <c r="C70" s="233"/>
      <c r="D70" s="233"/>
      <c r="E70" s="233"/>
      <c r="F70" s="233"/>
      <c r="G70" s="233"/>
      <c r="H70" s="233"/>
    </row>
    <row r="71" spans="1:8" ht="15.75" customHeight="1" x14ac:dyDescent="0.25">
      <c r="B71" s="232"/>
      <c r="C71" s="232"/>
      <c r="D71" s="232"/>
      <c r="E71" s="232"/>
      <c r="F71" s="232"/>
      <c r="G71" s="232"/>
      <c r="H71" s="232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9">
    <mergeCell ref="B71:H71"/>
    <mergeCell ref="B70:H70"/>
    <mergeCell ref="B1:G1"/>
    <mergeCell ref="B2:G2"/>
    <mergeCell ref="B3:G3"/>
    <mergeCell ref="E32:E33"/>
    <mergeCell ref="F32:F33"/>
    <mergeCell ref="B44:C44"/>
    <mergeCell ref="B69:H69"/>
  </mergeCells>
  <printOptions horizontalCentered="1"/>
  <pageMargins left="0.7" right="0.7" top="0.75" bottom="0.75" header="0.3" footer="0.3"/>
  <pageSetup scale="95" firstPageNumber="6" orientation="portrait" useFirstPageNumber="1" r:id="rId3"/>
  <headerFooter scaleWithDoc="0">
    <oddFooter>&amp;CATTACHMENT A&amp;RPage &amp;P of 10</oddFooter>
  </headerFooter>
  <rowBreaks count="1" manualBreakCount="1">
    <brk id="41" max="6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topLeftCell="A89" zoomScaleNormal="100" workbookViewId="0">
      <selection activeCell="H116" sqref="H116"/>
    </sheetView>
  </sheetViews>
  <sheetFormatPr defaultRowHeight="15" x14ac:dyDescent="0.25"/>
  <cols>
    <col min="1" max="1" width="6.5703125" customWidth="1"/>
    <col min="2" max="2" width="2.42578125" customWidth="1"/>
    <col min="3" max="3" width="34.28515625" customWidth="1"/>
    <col min="4" max="4" width="8.85546875" customWidth="1"/>
    <col min="5" max="5" width="12.5703125" customWidth="1"/>
    <col min="6" max="6" width="3" customWidth="1"/>
    <col min="8" max="8" width="12.5703125" bestFit="1" customWidth="1"/>
  </cols>
  <sheetData>
    <row r="1" spans="1:5" hidden="1" x14ac:dyDescent="0.25">
      <c r="A1" s="238" t="s">
        <v>15</v>
      </c>
      <c r="B1" s="238"/>
      <c r="C1" s="238"/>
      <c r="D1" s="238"/>
      <c r="E1" s="238"/>
    </row>
    <row r="2" spans="1:5" ht="14.45" hidden="1" customHeight="1" x14ac:dyDescent="0.25">
      <c r="A2" s="1" t="s">
        <v>16</v>
      </c>
      <c r="B2" s="1"/>
      <c r="C2" s="1"/>
      <c r="D2" s="1"/>
      <c r="E2" s="2"/>
    </row>
    <row r="3" spans="1:5" ht="14.45" hidden="1" customHeight="1" x14ac:dyDescent="0.25">
      <c r="A3" s="1" t="s">
        <v>31</v>
      </c>
      <c r="B3" s="1"/>
      <c r="C3" s="1"/>
      <c r="D3" s="1"/>
      <c r="E3" s="2"/>
    </row>
    <row r="4" spans="1:5" ht="15.6" hidden="1" customHeight="1" x14ac:dyDescent="0.25">
      <c r="A4" s="1" t="s">
        <v>17</v>
      </c>
      <c r="B4" s="1"/>
      <c r="C4" s="1"/>
      <c r="D4" s="1"/>
      <c r="E4" s="2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18</v>
      </c>
      <c r="B6" s="5"/>
      <c r="C6" s="5"/>
      <c r="D6" s="5"/>
      <c r="E6" s="6"/>
    </row>
    <row r="7" spans="1:5" hidden="1" x14ac:dyDescent="0.25">
      <c r="A7" s="7" t="s">
        <v>19</v>
      </c>
      <c r="B7" s="5"/>
      <c r="C7" s="7" t="s">
        <v>20</v>
      </c>
      <c r="D7" s="8"/>
      <c r="E7" s="9" t="s">
        <v>21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22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23</v>
      </c>
      <c r="D11" s="14"/>
      <c r="E11" s="12"/>
    </row>
    <row r="12" spans="1:5" hidden="1" x14ac:dyDescent="0.25">
      <c r="A12" s="10">
        <v>2</v>
      </c>
      <c r="B12" s="3"/>
      <c r="C12" s="14" t="s">
        <v>24</v>
      </c>
      <c r="D12" s="14"/>
      <c r="E12" s="14">
        <v>4.8500000000000001E-3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25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26</v>
      </c>
      <c r="D16" s="14"/>
      <c r="E16" s="14">
        <v>3.8332999999999999E-2</v>
      </c>
    </row>
    <row r="17" spans="1:5" hidden="1" x14ac:dyDescent="0.25">
      <c r="A17" s="10"/>
      <c r="B17" s="3"/>
      <c r="C17" s="14"/>
      <c r="D17" s="14"/>
      <c r="E17" s="14"/>
    </row>
    <row r="18" spans="1:5" hidden="1" x14ac:dyDescent="0.25">
      <c r="A18" s="10">
        <v>5</v>
      </c>
      <c r="B18" s="3"/>
      <c r="C18" s="14" t="s">
        <v>27</v>
      </c>
      <c r="D18" s="14"/>
      <c r="E18" s="15">
        <f>SUM(E12:E16)</f>
        <v>4.5183000000000001E-2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28</v>
      </c>
      <c r="D20" s="14"/>
      <c r="E20" s="16">
        <f>E9-E18</f>
        <v>0.95481700000000003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29</v>
      </c>
      <c r="D22" s="17"/>
      <c r="E22" s="18">
        <f>ROUND(E20*0.35,6)</f>
        <v>0.33418599999999998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30</v>
      </c>
      <c r="D24" s="14"/>
      <c r="E24" s="20">
        <f>ROUND(E20-E22,5)</f>
        <v>0.62063000000000001</v>
      </c>
    </row>
    <row r="25" spans="1:5" ht="15.75" hidden="1" thickTop="1" x14ac:dyDescent="0.25"/>
    <row r="26" spans="1:5" hidden="1" x14ac:dyDescent="0.25">
      <c r="C26" t="s">
        <v>32</v>
      </c>
    </row>
    <row r="27" spans="1:5" hidden="1" x14ac:dyDescent="0.25">
      <c r="C27" t="s">
        <v>33</v>
      </c>
    </row>
    <row r="28" spans="1:5" hidden="1" x14ac:dyDescent="0.25">
      <c r="C28" t="s">
        <v>44</v>
      </c>
      <c r="E28">
        <f>1/E20</f>
        <v>1.0473211096995549</v>
      </c>
    </row>
    <row r="29" spans="1:5" hidden="1" x14ac:dyDescent="0.25"/>
    <row r="30" spans="1:5" hidden="1" x14ac:dyDescent="0.25">
      <c r="A30" s="238" t="s">
        <v>15</v>
      </c>
      <c r="B30" s="238"/>
      <c r="C30" s="238"/>
      <c r="D30" s="238"/>
      <c r="E30" s="238"/>
    </row>
    <row r="31" spans="1:5" ht="14.45" hidden="1" customHeight="1" x14ac:dyDescent="0.25">
      <c r="A31" s="1" t="s">
        <v>16</v>
      </c>
      <c r="B31" s="1"/>
      <c r="C31" s="1"/>
      <c r="D31" s="1"/>
      <c r="E31" s="2"/>
    </row>
    <row r="32" spans="1:5" ht="14.45" hidden="1" customHeight="1" x14ac:dyDescent="0.25">
      <c r="A32" s="1" t="s">
        <v>31</v>
      </c>
      <c r="B32" s="1"/>
      <c r="C32" s="1"/>
      <c r="D32" s="1"/>
      <c r="E32" s="2"/>
    </row>
    <row r="33" spans="1:5" ht="15.6" hidden="1" customHeight="1" x14ac:dyDescent="0.25">
      <c r="A33" s="1" t="s">
        <v>34</v>
      </c>
      <c r="B33" s="1"/>
      <c r="C33" s="1"/>
      <c r="D33" s="1"/>
      <c r="E33" s="2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18</v>
      </c>
      <c r="B35" s="5"/>
      <c r="C35" s="5"/>
      <c r="D35" s="5"/>
      <c r="E35" s="6"/>
    </row>
    <row r="36" spans="1:5" hidden="1" x14ac:dyDescent="0.25">
      <c r="A36" s="7" t="s">
        <v>19</v>
      </c>
      <c r="B36" s="5"/>
      <c r="C36" s="7" t="s">
        <v>20</v>
      </c>
      <c r="D36" s="8"/>
      <c r="E36" s="9" t="s">
        <v>21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22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23</v>
      </c>
      <c r="D40" s="14"/>
      <c r="E40" s="12"/>
    </row>
    <row r="41" spans="1:5" hidden="1" x14ac:dyDescent="0.25">
      <c r="A41" s="10">
        <v>2</v>
      </c>
      <c r="B41" s="3"/>
      <c r="C41" s="14" t="s">
        <v>24</v>
      </c>
      <c r="D41" s="14"/>
      <c r="E41" s="14">
        <v>4.4485628026109834E-3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25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26</v>
      </c>
      <c r="D45" s="14"/>
      <c r="E45" s="14">
        <v>3.8348641360843427E-2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35</v>
      </c>
      <c r="D47" s="14"/>
      <c r="E47" s="14">
        <v>0</v>
      </c>
    </row>
    <row r="48" spans="1:5" ht="15.75" hidden="1" thickBot="1" x14ac:dyDescent="0.3">
      <c r="A48" s="10"/>
      <c r="B48" s="3"/>
      <c r="C48" s="14"/>
      <c r="D48" s="14"/>
      <c r="E48" s="14"/>
    </row>
    <row r="49" spans="1:6" ht="15.75" hidden="1" thickBot="1" x14ac:dyDescent="0.3">
      <c r="A49" s="10">
        <v>6</v>
      </c>
      <c r="B49" s="3"/>
      <c r="C49" s="14" t="s">
        <v>27</v>
      </c>
      <c r="D49" s="14"/>
      <c r="E49" s="21">
        <f>SUM(E41:E47)</f>
        <v>4.479720416345441E-2</v>
      </c>
      <c r="F49" t="s">
        <v>37</v>
      </c>
    </row>
    <row r="50" spans="1:6" hidden="1" x14ac:dyDescent="0.25">
      <c r="A50" s="3"/>
      <c r="B50" s="3"/>
      <c r="C50" s="14"/>
      <c r="D50" s="14"/>
      <c r="E50" s="16"/>
    </row>
    <row r="51" spans="1:6" hidden="1" x14ac:dyDescent="0.25">
      <c r="A51" s="10">
        <v>7</v>
      </c>
      <c r="B51" s="3"/>
      <c r="C51" s="14" t="s">
        <v>28</v>
      </c>
      <c r="D51" s="14"/>
      <c r="E51" s="16">
        <f>E38-E49</f>
        <v>0.95520279583654555</v>
      </c>
    </row>
    <row r="52" spans="1:6" hidden="1" x14ac:dyDescent="0.25">
      <c r="A52" s="3"/>
      <c r="B52" s="3"/>
      <c r="C52" s="14"/>
      <c r="D52" s="14"/>
      <c r="E52" s="16"/>
    </row>
    <row r="53" spans="1:6" hidden="1" x14ac:dyDescent="0.25">
      <c r="A53" s="10">
        <v>8</v>
      </c>
      <c r="B53" s="3"/>
      <c r="C53" s="14" t="s">
        <v>29</v>
      </c>
      <c r="D53" s="17"/>
      <c r="E53" s="18">
        <f>ROUND(E51*0.35,6)</f>
        <v>0.33432099999999998</v>
      </c>
    </row>
    <row r="54" spans="1:6" hidden="1" x14ac:dyDescent="0.25">
      <c r="A54" s="3"/>
      <c r="B54" s="3"/>
      <c r="C54" s="14"/>
      <c r="D54" s="14"/>
      <c r="E54" s="16"/>
    </row>
    <row r="55" spans="1:6" ht="15.75" hidden="1" thickBot="1" x14ac:dyDescent="0.3">
      <c r="A55" s="10">
        <v>9</v>
      </c>
      <c r="B55" s="3"/>
      <c r="C55" s="13" t="s">
        <v>30</v>
      </c>
      <c r="D55" s="14"/>
      <c r="E55" s="20">
        <f>ROUND(E51-E53,5)</f>
        <v>0.62087999999999999</v>
      </c>
    </row>
    <row r="56" spans="1:6" ht="15.75" hidden="1" thickTop="1" x14ac:dyDescent="0.25">
      <c r="A56" s="19"/>
      <c r="B56" s="19"/>
      <c r="C56" s="19"/>
      <c r="D56" s="19"/>
      <c r="E56" s="19"/>
    </row>
    <row r="57" spans="1:6" hidden="1" x14ac:dyDescent="0.25">
      <c r="C57" t="s">
        <v>32</v>
      </c>
    </row>
    <row r="58" spans="1:6" hidden="1" x14ac:dyDescent="0.25">
      <c r="C58" t="s">
        <v>36</v>
      </c>
    </row>
    <row r="59" spans="1:6" hidden="1" x14ac:dyDescent="0.25">
      <c r="C59" t="s">
        <v>44</v>
      </c>
      <c r="E59">
        <f>1/E51</f>
        <v>1.0468981082956548</v>
      </c>
    </row>
    <row r="60" spans="1:6" hidden="1" x14ac:dyDescent="0.25"/>
    <row r="61" spans="1:6" ht="14.45" hidden="1" customHeight="1" x14ac:dyDescent="0.25">
      <c r="A61" s="22" t="s">
        <v>16</v>
      </c>
      <c r="B61" s="22"/>
      <c r="C61" s="22"/>
      <c r="D61" s="22"/>
      <c r="E61" s="23"/>
    </row>
    <row r="62" spans="1:6" ht="14.45" hidden="1" customHeight="1" x14ac:dyDescent="0.25">
      <c r="A62" s="1" t="s">
        <v>31</v>
      </c>
      <c r="B62" s="1"/>
      <c r="C62" s="1"/>
      <c r="D62" s="1"/>
      <c r="E62" s="2"/>
    </row>
    <row r="63" spans="1:6" ht="15.6" hidden="1" customHeight="1" x14ac:dyDescent="0.25">
      <c r="A63" s="240" t="s">
        <v>38</v>
      </c>
      <c r="B63" s="240"/>
      <c r="C63" s="240"/>
      <c r="D63" s="240"/>
      <c r="E63" s="240"/>
    </row>
    <row r="64" spans="1:6" hidden="1" x14ac:dyDescent="0.25">
      <c r="A64" s="3"/>
      <c r="B64" s="3"/>
      <c r="C64" s="3"/>
      <c r="D64" s="3"/>
      <c r="E64" s="4"/>
    </row>
    <row r="65" spans="1:5" hidden="1" x14ac:dyDescent="0.25">
      <c r="A65" s="5" t="s">
        <v>18</v>
      </c>
      <c r="B65" s="5"/>
      <c r="C65" s="5"/>
      <c r="D65" s="5"/>
      <c r="E65" s="6"/>
    </row>
    <row r="66" spans="1:5" hidden="1" x14ac:dyDescent="0.25">
      <c r="A66" s="7" t="s">
        <v>19</v>
      </c>
      <c r="B66" s="5"/>
      <c r="C66" s="7" t="s">
        <v>20</v>
      </c>
      <c r="D66" s="8"/>
      <c r="E66" s="9" t="s">
        <v>21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22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23</v>
      </c>
      <c r="D70" s="14"/>
      <c r="E70" s="12"/>
    </row>
    <row r="71" spans="1:5" hidden="1" x14ac:dyDescent="0.25">
      <c r="A71" s="10">
        <v>2</v>
      </c>
      <c r="B71" s="3"/>
      <c r="C71" s="14" t="s">
        <v>24</v>
      </c>
      <c r="D71" s="14"/>
      <c r="E71" s="14">
        <v>5.85543782177716E-3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25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26</v>
      </c>
      <c r="D75" s="14"/>
      <c r="E75" s="14">
        <v>3.8294448535105101E-2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27</v>
      </c>
      <c r="D77" s="14"/>
      <c r="E77" s="15">
        <f>SUM(E71:E75)</f>
        <v>4.6149886356882261E-2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28</v>
      </c>
      <c r="D79" s="14"/>
      <c r="E79" s="16">
        <f>E68-E77</f>
        <v>0.95385011364311778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29</v>
      </c>
      <c r="D81" s="17"/>
      <c r="E81" s="18">
        <f>E79*0.35</f>
        <v>0.33384753977509118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30</v>
      </c>
      <c r="D83" s="14"/>
      <c r="E83" s="24">
        <f>ROUND(E79-E81,6)</f>
        <v>0.62000299999999997</v>
      </c>
    </row>
    <row r="84" spans="1:5" ht="15.75" hidden="1" thickTop="1" x14ac:dyDescent="0.25">
      <c r="A84" s="19"/>
      <c r="B84" s="19"/>
      <c r="C84" s="19"/>
      <c r="D84" s="19"/>
      <c r="E84" s="19"/>
    </row>
    <row r="85" spans="1:5" hidden="1" x14ac:dyDescent="0.25">
      <c r="C85" t="s">
        <v>39</v>
      </c>
    </row>
    <row r="86" spans="1:5" hidden="1" x14ac:dyDescent="0.25">
      <c r="C86" t="s">
        <v>36</v>
      </c>
    </row>
    <row r="87" spans="1:5" hidden="1" x14ac:dyDescent="0.25">
      <c r="C87" t="s">
        <v>44</v>
      </c>
      <c r="E87">
        <f>1/E79</f>
        <v>1.0483827445180232</v>
      </c>
    </row>
    <row r="88" spans="1:5" hidden="1" x14ac:dyDescent="0.25"/>
    <row r="89" spans="1:5" ht="15.75" x14ac:dyDescent="0.25">
      <c r="A89" s="239" t="s">
        <v>15</v>
      </c>
      <c r="B89" s="239"/>
      <c r="C89" s="239"/>
      <c r="D89" s="239"/>
      <c r="E89" s="239"/>
    </row>
    <row r="90" spans="1:5" ht="15.75" x14ac:dyDescent="0.25">
      <c r="A90" s="239" t="s">
        <v>16</v>
      </c>
      <c r="B90" s="239"/>
      <c r="C90" s="239"/>
      <c r="D90" s="239"/>
      <c r="E90" s="239"/>
    </row>
    <row r="91" spans="1:5" ht="15.75" x14ac:dyDescent="0.25">
      <c r="A91" s="239" t="s">
        <v>40</v>
      </c>
      <c r="B91" s="239"/>
      <c r="C91" s="239"/>
      <c r="D91" s="239"/>
      <c r="E91" s="239"/>
    </row>
    <row r="92" spans="1:5" ht="15.75" x14ac:dyDescent="0.25">
      <c r="A92" s="239" t="s">
        <v>187</v>
      </c>
      <c r="B92" s="239"/>
      <c r="C92" s="239"/>
      <c r="D92" s="239"/>
      <c r="E92" s="239"/>
    </row>
    <row r="93" spans="1:5" x14ac:dyDescent="0.25">
      <c r="A93" s="3"/>
      <c r="B93" s="3"/>
      <c r="C93" s="25"/>
      <c r="D93" s="14"/>
      <c r="E93" s="4"/>
    </row>
    <row r="94" spans="1:5" x14ac:dyDescent="0.25">
      <c r="A94" s="25" t="s">
        <v>18</v>
      </c>
      <c r="B94" s="3"/>
      <c r="C94" s="25"/>
      <c r="D94" s="14"/>
      <c r="E94" s="25"/>
    </row>
    <row r="95" spans="1:5" x14ac:dyDescent="0.25">
      <c r="A95" s="26" t="s">
        <v>19</v>
      </c>
      <c r="B95" s="3"/>
      <c r="C95" s="26" t="s">
        <v>20</v>
      </c>
      <c r="D95" s="14"/>
      <c r="E95" s="26" t="s">
        <v>21</v>
      </c>
    </row>
    <row r="96" spans="1:5" x14ac:dyDescent="0.25">
      <c r="A96" s="25"/>
      <c r="B96" s="3"/>
      <c r="C96" s="14"/>
      <c r="D96" s="14"/>
      <c r="E96" s="14"/>
    </row>
    <row r="97" spans="1:8" ht="15.75" x14ac:dyDescent="0.25">
      <c r="A97" s="140">
        <v>1</v>
      </c>
      <c r="B97" s="141"/>
      <c r="C97" s="142" t="s">
        <v>22</v>
      </c>
      <c r="D97" s="143"/>
      <c r="E97" s="143">
        <v>1</v>
      </c>
      <c r="F97" s="144"/>
    </row>
    <row r="98" spans="1:8" ht="15.75" x14ac:dyDescent="0.25">
      <c r="A98" s="140"/>
      <c r="B98" s="141"/>
      <c r="C98" s="142"/>
      <c r="D98" s="143"/>
      <c r="E98" s="143"/>
      <c r="F98" s="144"/>
    </row>
    <row r="99" spans="1:8" ht="15.75" x14ac:dyDescent="0.25">
      <c r="A99" s="140"/>
      <c r="B99" s="141"/>
      <c r="C99" s="142" t="s">
        <v>23</v>
      </c>
      <c r="D99" s="143"/>
      <c r="E99" s="143"/>
      <c r="F99" s="144"/>
    </row>
    <row r="100" spans="1:8" ht="15.75" x14ac:dyDescent="0.25">
      <c r="A100" s="140">
        <v>2</v>
      </c>
      <c r="B100" s="145"/>
      <c r="C100" s="143" t="s">
        <v>41</v>
      </c>
      <c r="D100" s="143"/>
      <c r="E100" s="162">
        <v>3.326E-3</v>
      </c>
      <c r="F100" s="144"/>
    </row>
    <row r="101" spans="1:8" ht="15.75" x14ac:dyDescent="0.25">
      <c r="A101" s="140"/>
      <c r="B101" s="141"/>
      <c r="C101" s="143"/>
      <c r="D101" s="143"/>
      <c r="E101" s="152"/>
      <c r="F101" s="144"/>
    </row>
    <row r="102" spans="1:8" ht="15.75" x14ac:dyDescent="0.25">
      <c r="A102" s="140">
        <v>3</v>
      </c>
      <c r="B102" s="141"/>
      <c r="C102" s="143" t="s">
        <v>42</v>
      </c>
      <c r="D102" s="143"/>
      <c r="E102" s="162">
        <v>2E-3</v>
      </c>
      <c r="F102" s="144"/>
    </row>
    <row r="103" spans="1:8" ht="15.75" x14ac:dyDescent="0.25">
      <c r="A103" s="140"/>
      <c r="B103" s="141"/>
      <c r="C103" s="143"/>
      <c r="D103" s="143"/>
      <c r="E103" s="152"/>
      <c r="F103" s="144"/>
    </row>
    <row r="104" spans="1:8" ht="15.75" x14ac:dyDescent="0.25">
      <c r="A104" s="140">
        <v>4</v>
      </c>
      <c r="B104" s="141"/>
      <c r="C104" s="143" t="s">
        <v>43</v>
      </c>
      <c r="D104" s="143"/>
      <c r="E104" s="162">
        <v>3.8392000000000003E-2</v>
      </c>
      <c r="F104" s="144"/>
    </row>
    <row r="105" spans="1:8" ht="15.75" x14ac:dyDescent="0.25">
      <c r="A105" s="140"/>
      <c r="B105" s="141"/>
      <c r="C105" s="143"/>
      <c r="D105" s="143"/>
      <c r="E105" s="146"/>
      <c r="F105" s="144"/>
    </row>
    <row r="106" spans="1:8" ht="15.75" x14ac:dyDescent="0.25">
      <c r="A106" s="140">
        <v>5</v>
      </c>
      <c r="B106" s="141"/>
      <c r="C106" s="143" t="s">
        <v>27</v>
      </c>
      <c r="D106" s="143"/>
      <c r="E106" s="147">
        <f>ROUND(SUM(E100:E105),6)</f>
        <v>4.3718E-2</v>
      </c>
      <c r="F106" s="144"/>
    </row>
    <row r="107" spans="1:8" ht="15.75" x14ac:dyDescent="0.25">
      <c r="A107" s="140"/>
      <c r="B107" s="141"/>
      <c r="C107" s="143"/>
      <c r="D107" s="143"/>
      <c r="E107" s="143"/>
      <c r="F107" s="144"/>
    </row>
    <row r="108" spans="1:8" ht="15.75" x14ac:dyDescent="0.25">
      <c r="A108" s="140">
        <v>6</v>
      </c>
      <c r="B108" s="141"/>
      <c r="C108" s="143" t="s">
        <v>28</v>
      </c>
      <c r="D108" s="143"/>
      <c r="E108" s="143">
        <f>E97-E106</f>
        <v>0.95628199999999997</v>
      </c>
      <c r="F108" s="144"/>
      <c r="H108" s="87"/>
    </row>
    <row r="109" spans="1:8" ht="15.75" x14ac:dyDescent="0.25">
      <c r="A109" s="140"/>
      <c r="B109" s="141"/>
      <c r="C109" s="143"/>
      <c r="D109" s="143"/>
      <c r="E109" s="143"/>
      <c r="F109" s="144"/>
      <c r="H109" s="87"/>
    </row>
    <row r="110" spans="1:8" ht="15.75" x14ac:dyDescent="0.25">
      <c r="A110" s="140">
        <v>7</v>
      </c>
      <c r="B110" s="141"/>
      <c r="C110" s="143" t="s">
        <v>159</v>
      </c>
      <c r="D110" s="148"/>
      <c r="E110" s="143">
        <f>E108*0.21</f>
        <v>0.20081921999999999</v>
      </c>
      <c r="F110" s="144"/>
    </row>
    <row r="111" spans="1:8" ht="15.75" x14ac:dyDescent="0.25">
      <c r="A111" s="141"/>
      <c r="B111" s="141"/>
      <c r="C111" s="143"/>
      <c r="D111" s="143"/>
      <c r="E111" s="143"/>
      <c r="F111" s="144"/>
    </row>
    <row r="112" spans="1:8" ht="16.5" thickBot="1" x14ac:dyDescent="0.3">
      <c r="A112" s="140">
        <v>8</v>
      </c>
      <c r="B112" s="141"/>
      <c r="C112" s="143" t="s">
        <v>30</v>
      </c>
      <c r="D112" s="143"/>
      <c r="E112" s="149">
        <f>ROUND(E108-E110,6)</f>
        <v>0.755463</v>
      </c>
      <c r="F112" s="144"/>
    </row>
    <row r="113" spans="1:5" ht="15.75" thickTop="1" x14ac:dyDescent="0.25"/>
    <row r="114" spans="1:5" x14ac:dyDescent="0.25">
      <c r="A114" s="138">
        <v>9</v>
      </c>
      <c r="B114" s="139"/>
      <c r="C114" s="139" t="s">
        <v>44</v>
      </c>
      <c r="D114" s="139"/>
      <c r="E114" s="139">
        <f>ROUND(1/E108,6)</f>
        <v>1.045717</v>
      </c>
    </row>
    <row r="115" spans="1:5" x14ac:dyDescent="0.25">
      <c r="A115" s="139"/>
      <c r="B115" s="139"/>
      <c r="C115" s="139"/>
      <c r="D115" s="139"/>
      <c r="E115" s="139"/>
    </row>
    <row r="116" spans="1:5" x14ac:dyDescent="0.25">
      <c r="A116" s="174"/>
      <c r="B116" s="139"/>
      <c r="C116" s="139"/>
      <c r="D116" s="139"/>
      <c r="E116" s="139"/>
    </row>
    <row r="117" spans="1:5" x14ac:dyDescent="0.25">
      <c r="A117" s="139"/>
      <c r="B117" s="139"/>
      <c r="C117" s="139"/>
      <c r="D117" s="139"/>
      <c r="E117" s="139"/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firstPageNumber="8" orientation="portrait" useFirstPageNumber="1" r:id="rId3"/>
  <headerFooter scaleWithDoc="0">
    <oddFooter>&amp;CATTACHMENT A&amp;RPage 9 of 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41"/>
  <sheetViews>
    <sheetView tabSelected="1" zoomScale="80" zoomScaleNormal="80" workbookViewId="0">
      <selection activeCell="G20" sqref="G20"/>
    </sheetView>
  </sheetViews>
  <sheetFormatPr defaultColWidth="8.85546875" defaultRowHeight="15" x14ac:dyDescent="0.25"/>
  <cols>
    <col min="1" max="1" width="2.140625" style="79" customWidth="1"/>
    <col min="2" max="2" width="21.42578125" style="79" customWidth="1"/>
    <col min="3" max="3" width="10.7109375" style="79" customWidth="1"/>
    <col min="4" max="4" width="13.7109375" style="79" customWidth="1"/>
    <col min="5" max="5" width="11.28515625" style="79" customWidth="1"/>
    <col min="6" max="6" width="12.140625" style="79" customWidth="1"/>
    <col min="7" max="7" width="12.85546875" style="79" customWidth="1"/>
    <col min="8" max="8" width="12.7109375" style="79" customWidth="1"/>
    <col min="9" max="10" width="12.28515625" style="79" customWidth="1"/>
    <col min="11" max="11" width="2.5703125" style="79" customWidth="1"/>
    <col min="12" max="12" width="14.5703125" style="79" bestFit="1" customWidth="1"/>
    <col min="13" max="13" width="8.140625" style="79" customWidth="1"/>
    <col min="14" max="15" width="8.85546875" style="79"/>
    <col min="16" max="16" width="18.85546875" style="79" customWidth="1"/>
    <col min="17" max="17" width="31.28515625" style="79" bestFit="1" customWidth="1"/>
    <col min="18" max="18" width="18.85546875" style="79" bestFit="1" customWidth="1"/>
    <col min="19" max="19" width="19" style="79" customWidth="1"/>
    <col min="20" max="16384" width="8.85546875" style="79"/>
  </cols>
  <sheetData>
    <row r="1" spans="2:19" x14ac:dyDescent="0.25">
      <c r="B1" s="47" t="s">
        <v>0</v>
      </c>
    </row>
    <row r="2" spans="2:19" x14ac:dyDescent="0.25">
      <c r="B2" s="47" t="s">
        <v>117</v>
      </c>
    </row>
    <row r="3" spans="2:19" x14ac:dyDescent="0.25">
      <c r="B3" s="175" t="s">
        <v>173</v>
      </c>
    </row>
    <row r="4" spans="2:19" ht="15.75" thickBot="1" x14ac:dyDescent="0.3">
      <c r="B4" s="47" t="s">
        <v>46</v>
      </c>
    </row>
    <row r="5" spans="2:19" x14ac:dyDescent="0.25">
      <c r="P5" s="178" t="s">
        <v>180</v>
      </c>
      <c r="Q5" s="179"/>
      <c r="R5" s="179"/>
      <c r="S5" s="180"/>
    </row>
    <row r="6" spans="2:19" x14ac:dyDescent="0.25">
      <c r="D6" s="100" t="s">
        <v>118</v>
      </c>
      <c r="E6" s="100" t="s">
        <v>119</v>
      </c>
      <c r="F6" s="100" t="s">
        <v>120</v>
      </c>
      <c r="G6" s="100" t="s">
        <v>121</v>
      </c>
      <c r="H6" s="100" t="s">
        <v>122</v>
      </c>
      <c r="I6" s="100" t="s">
        <v>122</v>
      </c>
      <c r="J6" s="100" t="s">
        <v>123</v>
      </c>
      <c r="L6" s="100" t="s">
        <v>120</v>
      </c>
      <c r="P6" s="181"/>
      <c r="Q6" s="177"/>
      <c r="R6" s="30"/>
      <c r="S6" s="182"/>
    </row>
    <row r="7" spans="2:19" x14ac:dyDescent="0.25">
      <c r="B7" s="103" t="s">
        <v>124</v>
      </c>
      <c r="C7" s="103" t="s">
        <v>125</v>
      </c>
      <c r="D7" s="100" t="s">
        <v>126</v>
      </c>
      <c r="E7" s="100" t="s">
        <v>118</v>
      </c>
      <c r="F7" s="100" t="s">
        <v>118</v>
      </c>
      <c r="G7" s="100" t="s">
        <v>118</v>
      </c>
      <c r="H7" s="100" t="s">
        <v>118</v>
      </c>
      <c r="I7" s="100" t="s">
        <v>118</v>
      </c>
      <c r="J7" s="100" t="s">
        <v>127</v>
      </c>
      <c r="L7" s="100" t="s">
        <v>128</v>
      </c>
      <c r="P7" s="183"/>
      <c r="Q7" s="30"/>
      <c r="R7" s="30"/>
      <c r="S7" s="182"/>
    </row>
    <row r="8" spans="2:19" x14ac:dyDescent="0.25">
      <c r="B8" s="104" t="s">
        <v>129</v>
      </c>
      <c r="C8" s="104" t="s">
        <v>130</v>
      </c>
      <c r="D8" s="105" t="s">
        <v>131</v>
      </c>
      <c r="E8" s="105" t="s">
        <v>127</v>
      </c>
      <c r="F8" s="105" t="s">
        <v>132</v>
      </c>
      <c r="G8" s="105" t="s">
        <v>158</v>
      </c>
      <c r="H8" s="105" t="s">
        <v>132</v>
      </c>
      <c r="I8" s="105" t="s">
        <v>127</v>
      </c>
      <c r="J8" s="106" t="s">
        <v>133</v>
      </c>
      <c r="L8" s="107" t="s">
        <v>132</v>
      </c>
      <c r="P8" s="181" t="s">
        <v>179</v>
      </c>
      <c r="Q8" s="177" t="s">
        <v>181</v>
      </c>
      <c r="R8" s="30" t="s">
        <v>182</v>
      </c>
      <c r="S8" s="182" t="s">
        <v>183</v>
      </c>
    </row>
    <row r="9" spans="2:19" x14ac:dyDescent="0.25">
      <c r="B9" s="103" t="s">
        <v>134</v>
      </c>
      <c r="C9" s="103" t="s">
        <v>135</v>
      </c>
      <c r="D9" s="103" t="s">
        <v>136</v>
      </c>
      <c r="E9" s="103" t="s">
        <v>137</v>
      </c>
      <c r="F9" s="103" t="s">
        <v>138</v>
      </c>
      <c r="G9" s="103" t="s">
        <v>139</v>
      </c>
      <c r="H9" s="103" t="s">
        <v>140</v>
      </c>
      <c r="I9" s="103" t="s">
        <v>141</v>
      </c>
      <c r="J9" s="107" t="s">
        <v>142</v>
      </c>
      <c r="P9" s="183"/>
      <c r="Q9" s="30"/>
      <c r="R9" s="30"/>
      <c r="S9" s="182"/>
    </row>
    <row r="10" spans="2:19" x14ac:dyDescent="0.25">
      <c r="B10" s="108"/>
      <c r="C10" s="103"/>
      <c r="L10" s="63"/>
      <c r="P10" s="183"/>
      <c r="Q10" s="30"/>
      <c r="R10" s="30"/>
      <c r="S10" s="182"/>
    </row>
    <row r="11" spans="2:19" s="47" customFormat="1" x14ac:dyDescent="0.25">
      <c r="B11" s="128" t="s">
        <v>143</v>
      </c>
      <c r="C11" s="129" t="s">
        <v>144</v>
      </c>
      <c r="D11" s="130">
        <f>SUM('4 10 24 Forecast Usage by Sched'!C9:C20)</f>
        <v>137508341.50659853</v>
      </c>
      <c r="E11" s="167">
        <f>'Earnings Test and 3% Test'!E50</f>
        <v>5.8700000000000002E-3</v>
      </c>
      <c r="F11" s="131">
        <f>D11*E11</f>
        <v>807173.96464373346</v>
      </c>
      <c r="G11" s="131">
        <f>H11-F11</f>
        <v>5230817.3109110072</v>
      </c>
      <c r="H11" s="132">
        <f>D11*I11</f>
        <v>6037991.2755547408</v>
      </c>
      <c r="I11" s="111">
        <f>'Nat Gas 2024 Rate Calc'!D30</f>
        <v>4.3909999999999998E-2</v>
      </c>
      <c r="J11" s="133">
        <f>ROUND(I11-E11,5)</f>
        <v>3.8039999999999997E-2</v>
      </c>
      <c r="L11" s="213">
        <v>212379394</v>
      </c>
      <c r="M11" s="51">
        <f>G11/L11</f>
        <v>2.4629589586789232E-2</v>
      </c>
      <c r="P11" s="184">
        <v>19100</v>
      </c>
      <c r="Q11" s="185">
        <f>P11/L11</f>
        <v>8.9933395327420506E-5</v>
      </c>
      <c r="R11" s="185">
        <f>(P11+G11)/L11</f>
        <v>2.4719522982116653E-2</v>
      </c>
      <c r="S11" s="186">
        <v>1.3999999999999999E-4</v>
      </c>
    </row>
    <row r="12" spans="2:19" x14ac:dyDescent="0.25">
      <c r="B12" s="108"/>
      <c r="C12" s="103"/>
      <c r="E12" s="153"/>
      <c r="F12" s="48"/>
      <c r="G12" s="48"/>
      <c r="H12" s="83"/>
      <c r="I12" s="111"/>
      <c r="J12" s="112"/>
      <c r="L12" s="214"/>
      <c r="M12" s="39"/>
      <c r="P12" s="187"/>
      <c r="Q12" s="30"/>
      <c r="R12" s="30"/>
      <c r="S12" s="182"/>
    </row>
    <row r="13" spans="2:19" x14ac:dyDescent="0.25">
      <c r="B13" s="108" t="s">
        <v>145</v>
      </c>
      <c r="C13" s="113" t="s">
        <v>161</v>
      </c>
      <c r="D13" s="109">
        <f>SUM('4 10 24 Forecast Usage by Sched'!D9:E20)</f>
        <v>65796470.590144619</v>
      </c>
      <c r="E13" s="168">
        <f>'Earnings Test and 3% Test'!F50</f>
        <v>3.9870000000000003E-2</v>
      </c>
      <c r="F13" s="48">
        <f>D13*E13</f>
        <v>2623305.282429066</v>
      </c>
      <c r="G13" s="48">
        <f>H13-F13</f>
        <v>-1852828.6118184724</v>
      </c>
      <c r="H13" s="83">
        <f>D13*I13</f>
        <v>770476.67061059352</v>
      </c>
      <c r="I13" s="111">
        <f>'Nat Gas 2024 Rate Calc'!J30</f>
        <v>1.171E-2</v>
      </c>
      <c r="J13" s="112">
        <f>I13-E13</f>
        <v>-2.8160000000000004E-2</v>
      </c>
      <c r="L13" s="214">
        <v>79730652</v>
      </c>
      <c r="M13" s="39">
        <f>G13/L13</f>
        <v>-2.3238598523168636E-2</v>
      </c>
      <c r="P13" s="187">
        <v>7092</v>
      </c>
      <c r="Q13" s="188">
        <f>P13/L13</f>
        <v>8.8949479555240561E-5</v>
      </c>
      <c r="R13" s="188">
        <f>(P13+G13)/L13</f>
        <v>-2.3149649043613395E-2</v>
      </c>
      <c r="S13" s="182">
        <v>1.2E-4</v>
      </c>
    </row>
    <row r="14" spans="2:19" customFormat="1" x14ac:dyDescent="0.25">
      <c r="E14" s="63"/>
      <c r="L14" s="215"/>
      <c r="P14" s="187"/>
      <c r="Q14" s="189"/>
      <c r="R14" s="189"/>
      <c r="S14" s="182"/>
    </row>
    <row r="15" spans="2:19" x14ac:dyDescent="0.25">
      <c r="B15" s="108" t="s">
        <v>147</v>
      </c>
      <c r="C15" s="113">
        <v>131</v>
      </c>
      <c r="D15" s="109">
        <v>0</v>
      </c>
      <c r="E15" s="168">
        <f>'Earnings Test and 3% Test'!F50</f>
        <v>3.9870000000000003E-2</v>
      </c>
      <c r="F15" s="48">
        <f>D15*E15</f>
        <v>0</v>
      </c>
      <c r="G15" s="48">
        <f>H15-F15</f>
        <v>0</v>
      </c>
      <c r="H15" s="83">
        <f>D15*I15</f>
        <v>0</v>
      </c>
      <c r="I15" s="111">
        <f>I13</f>
        <v>1.171E-2</v>
      </c>
      <c r="J15" s="112">
        <f>I15-E15</f>
        <v>-2.8160000000000004E-2</v>
      </c>
      <c r="L15" s="214">
        <v>0</v>
      </c>
      <c r="M15" s="39">
        <v>0</v>
      </c>
      <c r="P15" s="187"/>
      <c r="Q15" s="188"/>
      <c r="R15" s="188"/>
      <c r="S15" s="182"/>
    </row>
    <row r="16" spans="2:19" x14ac:dyDescent="0.25">
      <c r="B16" s="108" t="s">
        <v>147</v>
      </c>
      <c r="C16" s="113">
        <v>132</v>
      </c>
      <c r="D16" s="114" t="s">
        <v>146</v>
      </c>
      <c r="E16" s="110"/>
      <c r="F16" s="48"/>
      <c r="G16" s="48"/>
      <c r="H16" s="83"/>
      <c r="I16" s="111"/>
      <c r="J16" s="112"/>
      <c r="L16" s="214">
        <v>1849539</v>
      </c>
      <c r="M16" s="39">
        <f>G16/L16</f>
        <v>0</v>
      </c>
      <c r="P16" s="187">
        <v>104</v>
      </c>
      <c r="Q16" s="188">
        <f>P16/L16</f>
        <v>5.6230228181184609E-5</v>
      </c>
      <c r="R16" s="188">
        <f>(P16+G16)/L16</f>
        <v>5.6230228181184609E-5</v>
      </c>
      <c r="S16" s="182">
        <v>4.0000000000000003E-5</v>
      </c>
    </row>
    <row r="17" spans="2:19" x14ac:dyDescent="0.25">
      <c r="B17" s="108" t="s">
        <v>148</v>
      </c>
      <c r="C17" s="113">
        <v>146</v>
      </c>
      <c r="D17" s="114" t="s">
        <v>146</v>
      </c>
      <c r="E17" s="110"/>
      <c r="F17" s="48"/>
      <c r="G17" s="48"/>
      <c r="H17" s="83"/>
      <c r="I17" s="111"/>
      <c r="J17" s="112"/>
      <c r="L17" s="214">
        <v>4717879</v>
      </c>
      <c r="M17" s="39">
        <f>G17/L17</f>
        <v>0</v>
      </c>
      <c r="P17" s="187">
        <v>13399</v>
      </c>
      <c r="Q17" s="188">
        <f>P17/L17</f>
        <v>2.8400474026569989E-3</v>
      </c>
      <c r="R17" s="188">
        <f>(P17+G17)/L17</f>
        <v>2.8400474026569989E-3</v>
      </c>
      <c r="S17" s="182">
        <v>4.2000000000000002E-4</v>
      </c>
    </row>
    <row r="18" spans="2:19" ht="26.25" x14ac:dyDescent="0.25">
      <c r="B18" s="115" t="s">
        <v>149</v>
      </c>
      <c r="C18" s="113">
        <v>148</v>
      </c>
      <c r="D18" s="114" t="s">
        <v>146</v>
      </c>
      <c r="E18" s="110"/>
      <c r="F18" s="48"/>
      <c r="G18" s="48"/>
      <c r="H18" s="83"/>
      <c r="I18" s="111"/>
      <c r="J18" s="112"/>
      <c r="L18" s="214">
        <v>1373282.58586</v>
      </c>
      <c r="M18" s="39">
        <v>0</v>
      </c>
      <c r="P18" s="183"/>
      <c r="Q18" s="30"/>
      <c r="R18" s="30"/>
      <c r="S18" s="182"/>
    </row>
    <row r="19" spans="2:19" x14ac:dyDescent="0.25">
      <c r="B19" s="108"/>
      <c r="C19" s="103"/>
      <c r="L19" s="62"/>
      <c r="M19" s="39"/>
      <c r="P19" s="183"/>
      <c r="Q19" s="30"/>
      <c r="R19" s="30"/>
      <c r="S19" s="182"/>
    </row>
    <row r="20" spans="2:19" x14ac:dyDescent="0.25">
      <c r="B20" s="116" t="s">
        <v>60</v>
      </c>
      <c r="C20" s="103"/>
      <c r="D20" s="109">
        <f>SUM(D11:D15)</f>
        <v>203304812.09674317</v>
      </c>
      <c r="F20" s="83">
        <f>SUM(F11:F15)</f>
        <v>3430479.2470727996</v>
      </c>
      <c r="G20" s="83">
        <f>SUM(G11:G15)</f>
        <v>3377988.6990925348</v>
      </c>
      <c r="H20" s="83">
        <f>SUM(H11:H15)</f>
        <v>6808467.9461653344</v>
      </c>
      <c r="L20" s="117">
        <f>SUM(L11:L18)</f>
        <v>300050746.58586001</v>
      </c>
      <c r="M20" s="39">
        <f>G20/L20</f>
        <v>1.1258057970290428E-2</v>
      </c>
      <c r="P20" s="183"/>
      <c r="Q20" s="30"/>
      <c r="R20" s="30"/>
      <c r="S20" s="182"/>
    </row>
    <row r="21" spans="2:19" x14ac:dyDescent="0.25">
      <c r="B21" s="116"/>
      <c r="C21" s="103"/>
      <c r="D21" s="109"/>
      <c r="F21" s="83"/>
      <c r="G21" s="83"/>
      <c r="H21" s="83"/>
      <c r="L21" s="117"/>
      <c r="M21" s="39"/>
      <c r="P21" s="183"/>
      <c r="Q21" s="30"/>
      <c r="R21" s="30"/>
      <c r="S21" s="182"/>
    </row>
    <row r="22" spans="2:19" s="47" customFormat="1" x14ac:dyDescent="0.25">
      <c r="B22" s="47" t="s">
        <v>150</v>
      </c>
      <c r="D22" s="130">
        <f>D13+D15</f>
        <v>65796470.590144619</v>
      </c>
      <c r="F22" s="132">
        <f>F13+F15</f>
        <v>2623305.282429066</v>
      </c>
      <c r="G22" s="132">
        <f>G13+G15</f>
        <v>-1852828.6118184724</v>
      </c>
      <c r="H22" s="132">
        <f>H13+H15</f>
        <v>770476.67061059352</v>
      </c>
      <c r="L22" s="132">
        <f>L13+L15</f>
        <v>79730652</v>
      </c>
      <c r="M22" s="51">
        <f>G22/L22</f>
        <v>-2.3238598523168636E-2</v>
      </c>
      <c r="P22" s="190"/>
      <c r="Q22" s="191"/>
      <c r="R22" s="191"/>
      <c r="S22" s="186"/>
    </row>
    <row r="23" spans="2:19" x14ac:dyDescent="0.25">
      <c r="P23" s="183"/>
      <c r="Q23" s="30"/>
      <c r="R23" s="30"/>
      <c r="S23" s="182"/>
    </row>
    <row r="24" spans="2:19" x14ac:dyDescent="0.25">
      <c r="B24"/>
      <c r="C24"/>
      <c r="D24"/>
      <c r="E24"/>
      <c r="G24" s="39"/>
      <c r="H24" s="100" t="s">
        <v>151</v>
      </c>
      <c r="J24" s="170" t="s">
        <v>197</v>
      </c>
      <c r="K24" s="118"/>
      <c r="P24" s="183"/>
      <c r="Q24" s="34" t="s">
        <v>151</v>
      </c>
      <c r="R24" s="30"/>
      <c r="S24" s="192" t="s">
        <v>197</v>
      </c>
    </row>
    <row r="25" spans="2:19" x14ac:dyDescent="0.25">
      <c r="B25"/>
      <c r="C25"/>
      <c r="D25"/>
      <c r="E25"/>
      <c r="G25" s="119"/>
      <c r="H25" s="120" t="s">
        <v>152</v>
      </c>
      <c r="I25" s="169">
        <v>-1.87</v>
      </c>
      <c r="J25" s="121">
        <f>I25</f>
        <v>-1.87</v>
      </c>
      <c r="K25" s="118"/>
      <c r="L25" s="95"/>
      <c r="P25" s="183"/>
      <c r="Q25" s="34" t="s">
        <v>152</v>
      </c>
      <c r="R25" s="193">
        <f>I25</f>
        <v>-1.87</v>
      </c>
      <c r="S25" s="194">
        <f>R25</f>
        <v>-1.87</v>
      </c>
    </row>
    <row r="26" spans="2:19" x14ac:dyDescent="0.25">
      <c r="B26"/>
      <c r="C26"/>
      <c r="D26"/>
      <c r="E26"/>
      <c r="G26" s="39"/>
      <c r="H26" s="120" t="s">
        <v>153</v>
      </c>
      <c r="I26" s="212">
        <v>1.5185599999999999</v>
      </c>
      <c r="J26" s="127">
        <f>ROUND(66*I26,2)</f>
        <v>100.22</v>
      </c>
      <c r="L26" s="50"/>
      <c r="P26" s="183"/>
      <c r="Q26" s="34" t="s">
        <v>153</v>
      </c>
      <c r="R26" s="195">
        <f>I26</f>
        <v>1.5185599999999999</v>
      </c>
      <c r="S26" s="196">
        <f>ROUND(66*R26,2)</f>
        <v>100.22</v>
      </c>
    </row>
    <row r="27" spans="2:19" x14ac:dyDescent="0.25">
      <c r="B27"/>
      <c r="C27"/>
      <c r="D27"/>
      <c r="E27"/>
      <c r="H27" s="120" t="s">
        <v>154</v>
      </c>
      <c r="I27" s="212">
        <v>1.6704000000000001</v>
      </c>
      <c r="J27" s="121">
        <f>ROUND(0*I27,2)</f>
        <v>0</v>
      </c>
      <c r="L27" s="50"/>
      <c r="P27" s="183"/>
      <c r="Q27" s="34" t="s">
        <v>154</v>
      </c>
      <c r="R27" s="195">
        <f>I27</f>
        <v>1.6704000000000001</v>
      </c>
      <c r="S27" s="194">
        <f>ROUND(0*R27,2)</f>
        <v>0</v>
      </c>
    </row>
    <row r="28" spans="2:19" x14ac:dyDescent="0.25">
      <c r="B28"/>
      <c r="C28"/>
      <c r="D28"/>
      <c r="E28"/>
      <c r="H28" s="100" t="s">
        <v>188</v>
      </c>
      <c r="J28" s="122">
        <f>SUM(J25:J27)</f>
        <v>98.35</v>
      </c>
      <c r="P28" s="183"/>
      <c r="Q28" s="34" t="s">
        <v>169</v>
      </c>
      <c r="R28" s="30"/>
      <c r="S28" s="197">
        <f>SUM(S25:S27)</f>
        <v>98.35</v>
      </c>
    </row>
    <row r="29" spans="2:19" x14ac:dyDescent="0.25">
      <c r="B29"/>
      <c r="C29"/>
      <c r="D29"/>
      <c r="E29"/>
      <c r="H29" s="120" t="s">
        <v>155</v>
      </c>
      <c r="I29" s="112">
        <f>J11</f>
        <v>3.8039999999999997E-2</v>
      </c>
      <c r="J29" s="121">
        <f>ROUND(I29*66,2)</f>
        <v>2.5099999999999998</v>
      </c>
      <c r="P29" s="183"/>
      <c r="Q29" s="34" t="s">
        <v>184</v>
      </c>
      <c r="R29" s="198">
        <f>S11</f>
        <v>1.3999999999999999E-4</v>
      </c>
      <c r="S29" s="194">
        <f>ROUND(R29*67,2)</f>
        <v>0.01</v>
      </c>
    </row>
    <row r="30" spans="2:19" x14ac:dyDescent="0.25">
      <c r="B30"/>
      <c r="C30"/>
      <c r="D30"/>
      <c r="E30"/>
      <c r="H30" s="100" t="s">
        <v>156</v>
      </c>
      <c r="J30" s="122">
        <f>J28+J29</f>
        <v>100.86</v>
      </c>
      <c r="P30" s="183"/>
      <c r="Q30" s="34" t="s">
        <v>175</v>
      </c>
      <c r="R30" s="198">
        <f>I29</f>
        <v>3.8039999999999997E-2</v>
      </c>
      <c r="S30" s="194">
        <f>ROUND(R30*66,2)</f>
        <v>2.5099999999999998</v>
      </c>
    </row>
    <row r="31" spans="2:19" x14ac:dyDescent="0.25">
      <c r="B31"/>
      <c r="C31"/>
      <c r="D31"/>
      <c r="E31"/>
      <c r="H31" s="100" t="s">
        <v>160</v>
      </c>
      <c r="J31" s="39">
        <f>J29/J28</f>
        <v>2.5521098118962887E-2</v>
      </c>
      <c r="L31" s="118"/>
      <c r="P31" s="183"/>
      <c r="Q31" s="34" t="s">
        <v>156</v>
      </c>
      <c r="R31" s="30"/>
      <c r="S31" s="197">
        <f>S28+S29+S30</f>
        <v>100.87</v>
      </c>
    </row>
    <row r="32" spans="2:19" x14ac:dyDescent="0.25">
      <c r="B32"/>
      <c r="C32"/>
      <c r="D32"/>
      <c r="E32"/>
      <c r="J32" s="123"/>
      <c r="P32" s="183"/>
      <c r="Q32" s="34" t="s">
        <v>160</v>
      </c>
      <c r="R32" s="30"/>
      <c r="S32" s="199">
        <f>(S31-S28)/S28</f>
        <v>2.5622775800711848E-2</v>
      </c>
    </row>
    <row r="33" spans="2:19" x14ac:dyDescent="0.25">
      <c r="B33"/>
      <c r="C33"/>
      <c r="D33"/>
      <c r="E33"/>
      <c r="J33" s="123"/>
      <c r="P33" s="183"/>
      <c r="Q33" s="30"/>
      <c r="R33" s="30"/>
      <c r="S33" s="182"/>
    </row>
    <row r="34" spans="2:19" x14ac:dyDescent="0.25">
      <c r="B34"/>
      <c r="C34"/>
      <c r="D34"/>
      <c r="E34"/>
      <c r="J34" s="95"/>
      <c r="P34" s="183"/>
      <c r="Q34" s="30"/>
      <c r="R34" s="30"/>
      <c r="S34" s="182"/>
    </row>
    <row r="35" spans="2:19" x14ac:dyDescent="0.25">
      <c r="B35"/>
      <c r="C35"/>
      <c r="D35"/>
      <c r="E35"/>
      <c r="L35" s="39"/>
      <c r="P35" s="183"/>
      <c r="Q35" s="34" t="s">
        <v>176</v>
      </c>
      <c r="R35" s="30"/>
      <c r="S35" s="182"/>
    </row>
    <row r="36" spans="2:19" x14ac:dyDescent="0.25">
      <c r="B36"/>
      <c r="C36"/>
      <c r="D36"/>
      <c r="E36"/>
      <c r="P36" s="183"/>
      <c r="Q36" s="34" t="s">
        <v>153</v>
      </c>
      <c r="R36" s="200">
        <f>R26+R29+R30</f>
        <v>1.55674</v>
      </c>
      <c r="S36" s="182"/>
    </row>
    <row r="37" spans="2:19" ht="15.75" thickBot="1" x14ac:dyDescent="0.3">
      <c r="B37"/>
      <c r="C37"/>
      <c r="D37"/>
      <c r="E37"/>
      <c r="P37" s="201"/>
      <c r="Q37" s="202" t="s">
        <v>154</v>
      </c>
      <c r="R37" s="203">
        <f>R27+R29+R30</f>
        <v>1.7085800000000002</v>
      </c>
      <c r="S37" s="204"/>
    </row>
    <row r="38" spans="2:19" x14ac:dyDescent="0.25">
      <c r="B38"/>
      <c r="C38"/>
      <c r="D38"/>
      <c r="E38"/>
    </row>
    <row r="39" spans="2:19" x14ac:dyDescent="0.25">
      <c r="B39"/>
      <c r="C39"/>
      <c r="D39"/>
      <c r="E39"/>
    </row>
    <row r="40" spans="2:19" x14ac:dyDescent="0.25">
      <c r="B40"/>
      <c r="C40"/>
      <c r="D40"/>
      <c r="E40"/>
    </row>
    <row r="41" spans="2:19" x14ac:dyDescent="0.25">
      <c r="B41"/>
      <c r="C41"/>
      <c r="D41"/>
      <c r="E41"/>
    </row>
  </sheetData>
  <printOptions horizontalCentered="1"/>
  <pageMargins left="0.45" right="0.45" top="0.75" bottom="0.75" header="0.3" footer="0.55000000000000004"/>
  <pageSetup scale="75" firstPageNumber="9" orientation="landscape" useFirstPageNumber="1" r:id="rId1"/>
  <headerFooter scaleWithDoc="0">
    <oddFooter>&amp;CATTACHMENT A&amp;RPage 10 of 10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298CC16D669E47A1D7EBDD4B98815A" ma:contentTypeVersion="16" ma:contentTypeDescription="" ma:contentTypeScope="" ma:versionID="39f1523f24e254069af28829ad0eb7f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240414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577305-0B20-4F54-B7EF-8D5F92DBD09D}"/>
</file>

<file path=customXml/itemProps2.xml><?xml version="1.0" encoding="utf-8"?>
<ds:datastoreItem xmlns:ds="http://schemas.openxmlformats.org/officeDocument/2006/customXml" ds:itemID="{D1972628-DE1F-4F90-AE4C-A98DEB7E2EA9}"/>
</file>

<file path=customXml/itemProps3.xml><?xml version="1.0" encoding="utf-8"?>
<ds:datastoreItem xmlns:ds="http://schemas.openxmlformats.org/officeDocument/2006/customXml" ds:itemID="{EAEFAD69-2AA6-472A-AF0C-1A45944319C4}"/>
</file>

<file path=customXml/itemProps4.xml><?xml version="1.0" encoding="utf-8"?>
<ds:datastoreItem xmlns:ds="http://schemas.openxmlformats.org/officeDocument/2006/customXml" ds:itemID="{AB23B7E4-9BFC-4301-A001-18A9B75347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10 24 Forecast Usage by Sched</vt:lpstr>
      <vt:lpstr>Nat Gas 2024 Rate Calc</vt:lpstr>
      <vt:lpstr>Prior Year Amortization</vt:lpstr>
      <vt:lpstr>Earnings Test and 3% Test</vt:lpstr>
      <vt:lpstr>Conversion Factors</vt:lpstr>
      <vt:lpstr>Bill Impact</vt:lpstr>
      <vt:lpstr>'Bill Impact'!Print_Area</vt:lpstr>
      <vt:lpstr>'Conversion Factors'!Print_Area</vt:lpstr>
      <vt:lpstr>'Earnings Test and 3% Test'!Print_Area</vt:lpstr>
      <vt:lpstr>'Nat Gas 2024 Rate Calc'!Print_Area</vt:lpstr>
      <vt:lpstr>'Prior Year Amortization'!Print_Area</vt:lpstr>
      <vt:lpstr>'Earnings Test and 3% Test'!Print_Titles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2024-05-28T23:16:03Z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0x0101006E56B4D1795A2E4DB2F0B01679ED314A001D298CC16D669E47A1D7EBDD4B98815A</vt:lpwstr>
  </property>
  <property fmtid="{D5CDD505-2E9C-101B-9397-08002B2CF9AE}" pid="3" name="_docset_NoMedatataSyncRequired">
    <vt:lpwstr>False</vt:lpwstr>
  </property>
</Properties>
</file>