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9AEFC4C-3DC4-4328-BAC3-39040B17DF9F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4 10 24 Forecast Usage by Sched" sheetId="13" r:id="rId1"/>
    <sheet name="Electric 2024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2024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2024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2024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2024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2024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2024 Rate Calc'!$1:$3</definedName>
    <definedName name="Z_6A207E9B_31ED_4215_AD4F_ABB2957B65E4_.wvu.Rows" localSheetId="4" hidden="1">'Conversion Factor'!$1:$88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4" l="1"/>
  <c r="G23" i="15" l="1"/>
  <c r="D14" i="6" l="1"/>
  <c r="H37" i="14" l="1"/>
  <c r="H36" i="14"/>
  <c r="H35" i="14"/>
  <c r="H34" i="14"/>
  <c r="H20" i="14"/>
  <c r="H19" i="14"/>
  <c r="H18" i="14"/>
  <c r="H17" i="14"/>
  <c r="Q5" i="13"/>
  <c r="R5" i="13"/>
  <c r="L19" i="15" l="1"/>
  <c r="Q6" i="13" l="1"/>
  <c r="E29" i="14" l="1"/>
  <c r="D26" i="14"/>
  <c r="F26" i="14" s="1"/>
  <c r="C27" i="14" s="1"/>
  <c r="C26" i="14"/>
  <c r="D9" i="14"/>
  <c r="F9" i="14" s="1"/>
  <c r="C10" i="14" s="1"/>
  <c r="D27" i="14" l="1"/>
  <c r="F27" i="14" s="1"/>
  <c r="C28" i="14" s="1"/>
  <c r="D10" i="14"/>
  <c r="F10" i="14" s="1"/>
  <c r="C11" i="14" s="1"/>
  <c r="D28" i="14" l="1"/>
  <c r="F28" i="14" s="1"/>
  <c r="C29" i="14" s="1"/>
  <c r="D11" i="14"/>
  <c r="F11" i="14" s="1"/>
  <c r="C12" i="14" s="1"/>
  <c r="D12" i="14" s="1"/>
  <c r="J30" i="15" l="1"/>
  <c r="L25" i="15" l="1"/>
  <c r="L23" i="15"/>
  <c r="J29" i="15"/>
  <c r="D29" i="4" l="1"/>
  <c r="E17" i="14"/>
  <c r="E33" i="14" l="1"/>
  <c r="E32" i="14"/>
  <c r="E31" i="14"/>
  <c r="E30" i="14"/>
  <c r="D13" i="6" l="1"/>
  <c r="D15" i="15" l="1"/>
  <c r="D13" i="15"/>
  <c r="R9" i="13"/>
  <c r="R7" i="13" l="1"/>
  <c r="R8" i="13"/>
  <c r="R10" i="13"/>
  <c r="R11" i="13"/>
  <c r="R12" i="13"/>
  <c r="R13" i="13"/>
  <c r="R14" i="13"/>
  <c r="R15" i="13"/>
  <c r="R16" i="13"/>
  <c r="R17" i="13"/>
  <c r="R18" i="13"/>
  <c r="R19" i="13"/>
  <c r="R20" i="13"/>
  <c r="R6" i="13"/>
  <c r="E34" i="14" s="1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D11" i="15" l="1"/>
  <c r="F11" i="15" s="1"/>
  <c r="I73" i="4"/>
  <c r="C73" i="4" l="1"/>
  <c r="J31" i="15" l="1"/>
  <c r="E17" i="15" l="1"/>
  <c r="E15" i="15"/>
  <c r="E13" i="15"/>
  <c r="E11" i="15"/>
  <c r="D28" i="6" l="1"/>
  <c r="D26" i="6"/>
  <c r="D30" i="6" l="1"/>
  <c r="E26" i="6" s="1"/>
  <c r="E39" i="6" l="1"/>
  <c r="E106" i="2" l="1"/>
  <c r="D17" i="15" l="1"/>
  <c r="D23" i="15" s="1"/>
  <c r="F57" i="4" l="1"/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28" i="15"/>
  <c r="D25" i="15"/>
  <c r="F17" i="15"/>
  <c r="F15" i="15"/>
  <c r="F13" i="15"/>
  <c r="J32" i="15" l="1"/>
  <c r="F53" i="4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B15" i="14" l="1"/>
  <c r="B31" i="14"/>
  <c r="B16" i="14" l="1"/>
  <c r="B32" i="14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G27" i="14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G33" i="14" l="1"/>
  <c r="F62" i="4"/>
  <c r="L61" i="4"/>
  <c r="G34" i="14" l="1"/>
  <c r="G18" i="14"/>
  <c r="F63" i="4"/>
  <c r="L62" i="4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G41" i="6"/>
  <c r="G28" i="6"/>
  <c r="D29" i="14" l="1"/>
  <c r="G36" i="14"/>
  <c r="G20" i="14"/>
  <c r="G37" i="14" s="1"/>
  <c r="F65" i="4"/>
  <c r="L64" i="4"/>
  <c r="D30" i="2"/>
  <c r="F29" i="14" l="1"/>
  <c r="C30" i="14" s="1"/>
  <c r="F66" i="4"/>
  <c r="L65" i="4"/>
  <c r="D30" i="14" l="1"/>
  <c r="F30" i="14" s="1"/>
  <c r="F67" i="4"/>
  <c r="L66" i="4"/>
  <c r="E18" i="14"/>
  <c r="C31" i="14" l="1"/>
  <c r="D31" i="14" s="1"/>
  <c r="F31" i="14" s="1"/>
  <c r="C32" i="14" s="1"/>
  <c r="D32" i="14" s="1"/>
  <c r="F32" i="14" s="1"/>
  <c r="C33" i="14" s="1"/>
  <c r="D33" i="14" s="1"/>
  <c r="K14" i="4"/>
  <c r="E15" i="4"/>
  <c r="E19" i="4"/>
  <c r="K19" i="4"/>
  <c r="E18" i="4"/>
  <c r="E12" i="4"/>
  <c r="E16" i="4"/>
  <c r="E20" i="4"/>
  <c r="K18" i="4"/>
  <c r="K16" i="4"/>
  <c r="K20" i="4"/>
  <c r="K15" i="4"/>
  <c r="K12" i="4"/>
  <c r="E13" i="4"/>
  <c r="E17" i="4"/>
  <c r="E14" i="4"/>
  <c r="K13" i="4"/>
  <c r="K17" i="4"/>
  <c r="K10" i="4"/>
  <c r="E11" i="4"/>
  <c r="K11" i="4"/>
  <c r="K9" i="4"/>
  <c r="E10" i="4"/>
  <c r="E9" i="4"/>
  <c r="F68" i="4"/>
  <c r="L68" i="4" s="1"/>
  <c r="L67" i="4"/>
  <c r="K22" i="4" l="1"/>
  <c r="E22" i="4"/>
  <c r="F33" i="14"/>
  <c r="C34" i="14" s="1"/>
  <c r="J7" i="4"/>
  <c r="G30" i="6" l="1"/>
  <c r="H28" i="6" l="1"/>
  <c r="G35" i="6" s="1"/>
  <c r="H26" i="6"/>
  <c r="H30" i="6" l="1"/>
  <c r="G34" i="6"/>
  <c r="E28" i="6"/>
  <c r="E30" i="6" s="1"/>
  <c r="G36" i="6" l="1"/>
  <c r="D15" i="6" l="1"/>
  <c r="D17" i="6" s="1"/>
  <c r="G13" i="6"/>
  <c r="G15" i="6" s="1"/>
  <c r="G17" i="6" l="1"/>
  <c r="G19" i="6" s="1"/>
  <c r="H42" i="4" l="1"/>
  <c r="B42" i="4"/>
  <c r="D41" i="6"/>
  <c r="E41" i="6" l="1"/>
  <c r="G49" i="6" l="1"/>
  <c r="G59" i="6" l="1"/>
  <c r="E108" i="2" l="1"/>
  <c r="E114" i="2" s="1"/>
  <c r="E35" i="14" l="1"/>
  <c r="D34" i="14"/>
  <c r="F34" i="14" s="1"/>
  <c r="C35" i="14" s="1"/>
  <c r="E19" i="14"/>
  <c r="E36" i="14"/>
  <c r="E37" i="14"/>
  <c r="E20" i="14"/>
  <c r="D27" i="4"/>
  <c r="J27" i="4" s="1"/>
  <c r="E110" i="2"/>
  <c r="E112" i="2" s="1"/>
  <c r="D18" i="6" s="1"/>
  <c r="D19" i="6" s="1"/>
  <c r="D21" i="6" s="1"/>
  <c r="D35" i="14" l="1"/>
  <c r="F35" i="14" s="1"/>
  <c r="C36" i="14" s="1"/>
  <c r="D36" i="14" s="1"/>
  <c r="F36" i="14" s="1"/>
  <c r="C37" i="14" s="1"/>
  <c r="D34" i="6"/>
  <c r="E34" i="6" s="1"/>
  <c r="D35" i="6"/>
  <c r="E77" i="2"/>
  <c r="E79" i="2" s="1"/>
  <c r="E87" i="2" s="1"/>
  <c r="D37" i="14" l="1"/>
  <c r="F37" i="14" s="1"/>
  <c r="E35" i="6"/>
  <c r="I47" i="4" s="1"/>
  <c r="D36" i="6"/>
  <c r="E81" i="2"/>
  <c r="E83" i="2" s="1"/>
  <c r="I56" i="4" l="1"/>
  <c r="I75" i="4" s="1"/>
  <c r="I48" i="4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I7" i="4" s="1"/>
  <c r="D54" i="4" l="1"/>
  <c r="C54" i="4" s="1"/>
  <c r="D55" i="4" l="1"/>
  <c r="C55" i="4" s="1"/>
  <c r="E18" i="2"/>
  <c r="E20" i="2" s="1"/>
  <c r="E28" i="2" s="1"/>
  <c r="E22" i="2" l="1"/>
  <c r="E24" i="2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J22" i="4" l="1"/>
  <c r="J24" i="4" s="1"/>
  <c r="J26" i="4" s="1"/>
  <c r="J28" i="4" s="1"/>
  <c r="E43" i="6" l="1"/>
  <c r="E47" i="6" s="1"/>
  <c r="E49" i="6" l="1"/>
  <c r="E51" i="6" s="1"/>
  <c r="E53" i="6" s="1"/>
  <c r="E55" i="6" s="1"/>
  <c r="J29" i="4" l="1"/>
  <c r="J30" i="4" s="1"/>
  <c r="E57" i="6"/>
  <c r="I79" i="4" l="1"/>
  <c r="J31" i="4"/>
  <c r="K64" i="4" s="1"/>
  <c r="E59" i="6"/>
  <c r="E61" i="6" s="1"/>
  <c r="I13" i="15"/>
  <c r="H13" i="15" s="1"/>
  <c r="K30" i="4"/>
  <c r="I15" i="15" l="1"/>
  <c r="J13" i="15"/>
  <c r="K66" i="4"/>
  <c r="K67" i="4"/>
  <c r="K65" i="4"/>
  <c r="K62" i="4"/>
  <c r="K59" i="4"/>
  <c r="K60" i="4"/>
  <c r="K63" i="4"/>
  <c r="K68" i="4"/>
  <c r="K57" i="4"/>
  <c r="J57" i="4" s="1"/>
  <c r="K58" i="4"/>
  <c r="K61" i="4"/>
  <c r="I57" i="4" l="1"/>
  <c r="J58" i="4" s="1"/>
  <c r="G13" i="15"/>
  <c r="I17" i="15"/>
  <c r="H17" i="15" s="1"/>
  <c r="H15" i="15"/>
  <c r="J15" i="15"/>
  <c r="K70" i="4"/>
  <c r="G15" i="15" l="1"/>
  <c r="M15" i="15" s="1"/>
  <c r="H25" i="15"/>
  <c r="J17" i="15"/>
  <c r="G17" i="15"/>
  <c r="M17" i="15" s="1"/>
  <c r="M13" i="15"/>
  <c r="I58" i="4"/>
  <c r="J59" i="4" s="1"/>
  <c r="G25" i="15" l="1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l="1"/>
  <c r="I76" i="4" s="1"/>
  <c r="I68" i="4"/>
  <c r="I78" i="4" l="1"/>
  <c r="I80" i="4" s="1"/>
  <c r="J32" i="4"/>
  <c r="F12" i="14" l="1"/>
  <c r="C13" i="14" s="1"/>
  <c r="D13" i="14" s="1"/>
  <c r="F13" i="14" s="1"/>
  <c r="C14" i="14" s="1"/>
  <c r="D14" i="14" l="1"/>
  <c r="F14" i="14" s="1"/>
  <c r="C15" i="14" s="1"/>
  <c r="D15" i="14" l="1"/>
  <c r="F15" i="14" s="1"/>
  <c r="C16" i="14" s="1"/>
  <c r="D16" i="14" l="1"/>
  <c r="F16" i="14" s="1"/>
  <c r="C17" i="14" s="1"/>
  <c r="D17" i="14" l="1"/>
  <c r="F17" i="14" l="1"/>
  <c r="C18" i="14" s="1"/>
  <c r="D18" i="14" s="1"/>
  <c r="F18" i="14" s="1"/>
  <c r="C19" i="14" s="1"/>
  <c r="D19" i="14" l="1"/>
  <c r="F19" i="14" s="1"/>
  <c r="C20" i="14" s="1"/>
  <c r="D20" i="14" l="1"/>
  <c r="F20" i="14" s="1"/>
  <c r="C56" i="4" l="1"/>
  <c r="C8" i="4" s="1"/>
  <c r="C75" i="4" l="1"/>
  <c r="C7" i="4"/>
  <c r="D9" i="4" s="1"/>
  <c r="C9" i="4" l="1"/>
  <c r="D10" i="4" s="1"/>
  <c r="C10" i="4" s="1"/>
  <c r="D25" i="4"/>
  <c r="B35" i="4" s="1"/>
  <c r="D11" i="4" l="1"/>
  <c r="C11" i="4" s="1"/>
  <c r="D12" i="4" l="1"/>
  <c r="C12" i="4" s="1"/>
  <c r="D13" i="4" l="1"/>
  <c r="C13" i="4" s="1"/>
  <c r="D14" i="4" l="1"/>
  <c r="C14" i="4" s="1"/>
  <c r="D15" i="4" l="1"/>
  <c r="C15" i="4" s="1"/>
  <c r="D16" i="4" l="1"/>
  <c r="C16" i="4" s="1"/>
  <c r="D17" i="4" l="1"/>
  <c r="C17" i="4" s="1"/>
  <c r="D18" i="4" l="1"/>
  <c r="C18" i="4" s="1"/>
  <c r="D19" i="4" l="1"/>
  <c r="C19" i="4" s="1"/>
  <c r="D20" i="4" l="1"/>
  <c r="D22" i="4" l="1"/>
  <c r="D24" i="4" s="1"/>
  <c r="D26" i="4" s="1"/>
  <c r="D28" i="4" s="1"/>
  <c r="C20" i="4"/>
  <c r="D43" i="6" l="1"/>
  <c r="D30" i="4"/>
  <c r="D57" i="6" l="1"/>
  <c r="D59" i="6" s="1"/>
  <c r="D47" i="6"/>
  <c r="D49" i="6" l="1"/>
  <c r="D51" i="6" s="1"/>
  <c r="D53" i="6" s="1"/>
  <c r="D61" i="6"/>
  <c r="C79" i="4" l="1"/>
  <c r="D31" i="4"/>
  <c r="E30" i="4"/>
  <c r="I11" i="15"/>
  <c r="H11" i="15" l="1"/>
  <c r="G11" i="15" s="1"/>
  <c r="M11" i="15" s="1"/>
  <c r="J11" i="15"/>
  <c r="I33" i="15" s="1"/>
  <c r="J33" i="15" s="1"/>
  <c r="E68" i="4"/>
  <c r="E57" i="4"/>
  <c r="D57" i="4" s="1"/>
  <c r="C57" i="4" s="1"/>
  <c r="E67" i="4"/>
  <c r="E61" i="4"/>
  <c r="E60" i="4"/>
  <c r="E66" i="4"/>
  <c r="E65" i="4"/>
  <c r="E62" i="4"/>
  <c r="E63" i="4"/>
  <c r="E59" i="4"/>
  <c r="E58" i="4"/>
  <c r="E64" i="4"/>
  <c r="H23" i="15" l="1"/>
  <c r="J34" i="15"/>
  <c r="E70" i="4"/>
  <c r="M23" i="15"/>
  <c r="J35" i="15" l="1"/>
  <c r="D58" i="4"/>
  <c r="C58" i="4" l="1"/>
  <c r="D59" i="4" s="1"/>
  <c r="C59" i="4" s="1"/>
  <c r="D60" i="4" l="1"/>
  <c r="C60" i="4" l="1"/>
  <c r="D61" i="4" l="1"/>
  <c r="C61" i="4" s="1"/>
  <c r="D62" i="4" l="1"/>
  <c r="C62" i="4" s="1"/>
  <c r="D63" i="4" l="1"/>
  <c r="C63" i="4" s="1"/>
  <c r="D64" i="4" l="1"/>
  <c r="C64" i="4" s="1"/>
  <c r="D65" i="4" l="1"/>
  <c r="C65" i="4" s="1"/>
  <c r="D66" i="4" l="1"/>
  <c r="C66" i="4" s="1"/>
  <c r="D67" i="4" l="1"/>
  <c r="C67" i="4" s="1"/>
  <c r="D68" i="4" l="1"/>
  <c r="D70" i="4" s="1"/>
  <c r="C76" i="4" s="1"/>
  <c r="C68" i="4" l="1"/>
  <c r="C77" i="4" s="1"/>
  <c r="D32" i="4" l="1"/>
  <c r="C78" i="4"/>
  <c r="C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55" authorId="0" shapeId="0" xr:uid="{CE7E756F-1B05-4596-80D9-EB92FF197F5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rate adjustment from a rebate to a smaller rebate.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2021 normalized billing determinants at present billing rates effective 4/1/2022</t>
        </r>
      </text>
    </comment>
  </commentList>
</comments>
</file>

<file path=xl/sharedStrings.xml><?xml version="1.0" encoding="utf-8"?>
<sst xmlns="http://schemas.openxmlformats.org/spreadsheetml/2006/main" count="330" uniqueCount="203">
  <si>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</si>
  <si>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</si>
  <si>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</si>
  <si>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</si>
  <si>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</si>
  <si>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</si>
  <si>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</si>
  <si>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</si>
  <si>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</si>
  <si>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</si>
  <si>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</si>
  <si>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</si>
  <si>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</si>
  <si>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</si>
  <si>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</si>
  <si>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</si>
  <si>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</si>
  <si>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</si>
  <si>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</si>
  <si>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</si>
  <si>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</si>
  <si>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</si>
  <si>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</si>
  <si>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</si>
  <si>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</si>
  <si>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</si>
  <si>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</si>
  <si>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</si>
  <si>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</si>
  <si>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</si>
  <si>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</si>
  <si>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</si>
  <si>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</si>
  <si>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</si>
  <si>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</si>
  <si>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</si>
  <si>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</si>
  <si>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</si>
  <si>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</si>
  <si>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</si>
  <si>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</si>
  <si>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</si>
  <si>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</si>
  <si>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</si>
  <si>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</si>
  <si>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</si>
  <si>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</si>
  <si>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</si>
  <si>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</si>
  <si>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</si>
  <si>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</si>
  <si>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</si>
  <si>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</si>
  <si>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</si>
  <si>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</si>
  <si>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</si>
  <si>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</si>
  <si>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</si>
  <si>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</si>
  <si>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</si>
  <si>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</si>
  <si>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</si>
  <si>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</si>
  <si>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</si>
  <si>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</si>
  <si>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</si>
  <si>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</si>
  <si>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</si>
  <si>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</si>
  <si>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</si>
  <si>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</si>
  <si>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</si>
  <si>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</si>
  <si>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</si>
  <si>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</si>
  <si>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</si>
  <si>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</si>
  <si>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</si>
  <si>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</si>
  <si>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</si>
  <si>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</si>
  <si>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</si>
  <si>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</si>
  <si>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</si>
  <si>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</si>
  <si>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</si>
  <si>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</si>
  <si>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</si>
  <si>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</si>
  <si>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</si>
  <si>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</si>
  <si>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</si>
  <si>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</si>
  <si>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</si>
  <si>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</si>
  <si>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</si>
  <si>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</si>
  <si>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</si>
  <si>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</si>
  <si>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</si>
  <si>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</si>
  <si>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</si>
  <si>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</si>
  <si>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</si>
  <si>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</si>
  <si>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</si>
  <si>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</si>
  <si>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</si>
  <si>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</si>
  <si>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</si>
  <si>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</si>
  <si>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</si>
  <si>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</si>
  <si>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</si>
  <si>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</si>
  <si>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</si>
  <si>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</si>
  <si>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</si>
  <si>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</si>
  <si>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</si>
  <si>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</si>
  <si>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</si>
  <si>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</si>
  <si>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</si>
  <si>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</si>
  <si>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</si>
  <si>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</si>
  <si>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</si>
  <si>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</si>
  <si>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</si>
  <si>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</si>
  <si>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</si>
  <si>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</si>
  <si>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</si>
  <si>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</si>
  <si>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</si>
  <si>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</si>
  <si>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</si>
  <si>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</si>
  <si>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</si>
  <si>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</si>
  <si>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</si>
  <si>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</si>
  <si>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</si>
  <si>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</si>
  <si>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</si>
  <si>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</si>
  <si>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</si>
  <si>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</si>
  <si>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</si>
  <si>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</si>
  <si>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</si>
  <si>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</si>
  <si>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</si>
  <si>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</si>
  <si>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</si>
  <si>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</si>
  <si>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</si>
  <si>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</si>
  <si>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</si>
  <si>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</si>
  <si>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</si>
  <si>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</si>
  <si>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</si>
  <si>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</si>
  <si>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</si>
  <si>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</si>
  <si>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</si>
  <si>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</si>
  <si>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</si>
  <si>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11/12/13</t>
  </si>
  <si>
    <t>21/22/23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</si>
  <si>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</si>
  <si>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</si>
  <si>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</si>
  <si>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Residential Bill at 4/1/2022 rates</t>
  </si>
  <si>
    <t>Bill Determinant</t>
  </si>
  <si>
    <t>3% Test Adjustment (Note 2)</t>
  </si>
  <si>
    <t>Docket No. UE-200900</t>
  </si>
  <si>
    <t>2021 Total Earnings Test Sharing</t>
  </si>
  <si>
    <t>Revenue From 2021 Normalized Loads and Customers at Present Billing Rates</t>
  </si>
  <si>
    <t>Revenue From 2021 Normalized Loads and Customers at Present Billing Rates (Note 1)</t>
  </si>
  <si>
    <t>August 2022 - July 2023 Usage (kWhs)</t>
  </si>
  <si>
    <t>WA002</t>
  </si>
  <si>
    <t>WA013</t>
  </si>
  <si>
    <t>WA023</t>
  </si>
  <si>
    <t>WA025P</t>
  </si>
  <si>
    <t>Effective August 1, 2023 - July 31, 2024</t>
  </si>
  <si>
    <t>TWELVE MONTHS ENDED September 30, 2021</t>
  </si>
  <si>
    <t>(1)  Revenue from 2022 normalized loads and customers at present billing rates effective since December 21, 2022.</t>
  </si>
  <si>
    <t>2023 Decoupling Schedule 75 Filing</t>
  </si>
  <si>
    <t>2022 General Rate Case conversion factor, see page 8 of  Attachment A.</t>
  </si>
  <si>
    <t>Effective August 1, 2024 - July 31, 2025</t>
  </si>
  <si>
    <t>Calculate Estimated Monthly Balances through July 2025</t>
  </si>
  <si>
    <t>2023 Washington Electric Deferrals</t>
  </si>
  <si>
    <t>2023 Commission Basis Earnings Test for Decoupling</t>
  </si>
  <si>
    <t>Acct 456329</t>
  </si>
  <si>
    <t>Acct 456339</t>
  </si>
  <si>
    <t>EREV April Mid-month_4 10 24 Load Update</t>
  </si>
  <si>
    <t>Proposed Percent Increase</t>
  </si>
  <si>
    <t xml:space="preserve"> @945 kWhs</t>
  </si>
  <si>
    <t>2023 Deferred Revenue</t>
  </si>
  <si>
    <t>Add Interest through 7/31/2025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</si>
</sst>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  <numFmt numFmtId="176" formatCode="_(* #,##0.0000_);_(* \(#,##0.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7" fontId="0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0" fontId="14" fillId="0" borderId="0" xfId="0" applyNumberFormat="1" applyFont="1" applyFill="1" applyBorder="1" applyAlignment="1">
      <alignment horizontal="center" wrapText="1"/>
    </xf>
    <xf numFmtId="10" fontId="14" fillId="0" borderId="0" xfId="0" applyNumberFormat="1" applyFont="1" applyBorder="1" applyAlignment="1">
      <alignment horizontal="center" wrapText="1"/>
    </xf>
    <xf numFmtId="17" fontId="14" fillId="0" borderId="0" xfId="0" applyNumberFormat="1" applyFont="1" applyBorder="1"/>
    <xf numFmtId="169" fontId="18" fillId="0" borderId="0" xfId="0" applyNumberFormat="1" applyFont="1" applyFill="1"/>
    <xf numFmtId="5" fontId="14" fillId="0" borderId="0" xfId="0" applyNumberFormat="1" applyFont="1" applyFill="1" applyBorder="1"/>
    <xf numFmtId="44" fontId="14" fillId="0" borderId="0" xfId="5" applyNumberFormat="1" applyFont="1" applyFill="1"/>
    <xf numFmtId="169" fontId="14" fillId="0" borderId="0" xfId="0" applyNumberFormat="1" applyFont="1" applyFill="1"/>
    <xf numFmtId="169" fontId="14" fillId="0" borderId="0" xfId="5" applyNumberFormat="1" applyFont="1" applyFill="1"/>
    <xf numFmtId="170" fontId="14" fillId="0" borderId="0" xfId="0" applyNumberFormat="1" applyFont="1" applyFill="1"/>
    <xf numFmtId="166" fontId="19" fillId="0" borderId="0" xfId="0" applyNumberFormat="1" applyFont="1" applyFill="1" applyBorder="1"/>
    <xf numFmtId="172" fontId="20" fillId="0" borderId="0" xfId="5" applyNumberFormat="1" applyFont="1" applyFill="1"/>
    <xf numFmtId="172" fontId="8" fillId="0" borderId="0" xfId="5" applyNumberFormat="1" applyFont="1" applyFill="1"/>
    <xf numFmtId="164" fontId="0" fillId="0" borderId="0" xfId="5" applyNumberFormat="1" applyFont="1"/>
    <xf numFmtId="171" fontId="0" fillId="0" borderId="0" xfId="0" applyNumberFormat="1" applyFill="1"/>
    <xf numFmtId="7" fontId="14" fillId="0" borderId="0" xfId="5" applyNumberFormat="1" applyFont="1" applyFill="1"/>
    <xf numFmtId="169" fontId="21" fillId="0" borderId="0" xfId="0" applyNumberFormat="1" applyFont="1"/>
    <xf numFmtId="17" fontId="0" fillId="0" borderId="0" xfId="0" applyNumberFormat="1" applyFill="1" applyBorder="1"/>
    <xf numFmtId="17" fontId="14" fillId="0" borderId="0" xfId="0" applyNumberFormat="1" applyFont="1" applyFill="1" applyBorder="1"/>
    <xf numFmtId="0" fontId="9" fillId="0" borderId="0" xfId="0" applyFont="1" applyFill="1" applyAlignment="1"/>
    <xf numFmtId="164" fontId="22" fillId="0" borderId="0" xfId="5" applyNumberFormat="1" applyFont="1"/>
    <xf numFmtId="169" fontId="0" fillId="0" borderId="0" xfId="0" applyNumberFormat="1" applyFill="1"/>
    <xf numFmtId="10" fontId="0" fillId="0" borderId="0" xfId="2" applyNumberFormat="1" applyFont="1" applyFill="1"/>
    <xf numFmtId="169" fontId="0" fillId="0" borderId="0" xfId="0" applyNumberFormat="1" applyFill="1" applyAlignment="1">
      <alignment horizontal="center"/>
    </xf>
    <xf numFmtId="10" fontId="14" fillId="0" borderId="0" xfId="0" applyNumberFormat="1" applyFont="1"/>
    <xf numFmtId="176" fontId="0" fillId="0" borderId="0" xfId="0" applyNumberFormat="1" applyBorder="1"/>
    <xf numFmtId="169" fontId="21" fillId="0" borderId="0" xfId="5" applyNumberFormat="1" applyFont="1" applyFill="1"/>
    <xf numFmtId="164" fontId="0" fillId="0" borderId="0" xfId="1" applyNumberFormat="1" applyFont="1" applyAlignment="1">
      <alignment horizontal="center"/>
    </xf>
    <xf numFmtId="10" fontId="14" fillId="0" borderId="0" xfId="2" applyNumberFormat="1" applyFont="1" applyFill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8</xdr:row>
      <xdr:rowOff>142875</xdr:rowOff>
    </xdr:from>
    <xdr:to>
      <xdr:col>10</xdr:col>
      <xdr:colOff>1133476</xdr:colOff>
      <xdr:row>10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3A4A79-61F6-34AD-93B3-A054CB44664C}"/>
            </a:ext>
          </a:extLst>
        </xdr:cNvPr>
        <xdr:cNvSpPr txBox="1"/>
      </xdr:nvSpPr>
      <xdr:spPr>
        <a:xfrm>
          <a:off x="5762626" y="1666875"/>
          <a:ext cx="34861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We aren't over, but I think</a:t>
          </a:r>
          <a:r>
            <a:rPr lang="en-US" sz="1100" baseline="0"/>
            <a:t> the calc could be updated</a:t>
          </a:r>
          <a:endParaRPr lang="en-US" sz="1100"/>
        </a:p>
      </xdr:txBody>
    </xdr:sp>
    <xdr:clientData/>
  </xdr:twoCellAnchor>
  <xdr:twoCellAnchor editAs="oneCell">
    <xdr:from>
      <xdr:col>11</xdr:col>
      <xdr:colOff>123825</xdr:colOff>
      <xdr:row>6</xdr:row>
      <xdr:rowOff>95250</xdr:rowOff>
    </xdr:from>
    <xdr:to>
      <xdr:col>16</xdr:col>
      <xdr:colOff>886631</xdr:colOff>
      <xdr:row>20</xdr:row>
      <xdr:rowOff>200413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BFA512-0B1D-7867-34CC-6E3D3737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2125" y="1238250"/>
          <a:ext cx="5772956" cy="278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3"/>
  <sheetViews>
    <sheetView zoomScaleNormal="100" workbookViewId="0">
      <selection activeCell="Q5" sqref="Q5"/>
    </sheetView>
  </sheetViews>
  <sheetFormatPr defaultRowHeight="15" outlineLevelCol="1" x14ac:dyDescent="0.25"/>
  <cols>
    <col min="2" max="2" width="2.7109375" customWidth="1"/>
    <col min="3" max="4" width="13.42578125" customWidth="1" outlineLevel="1"/>
    <col min="5" max="5" width="12.28515625" customWidth="1" outlineLevel="1"/>
    <col min="6" max="7" width="11.85546875" customWidth="1" outlineLevel="1"/>
    <col min="8" max="8" width="14.140625" customWidth="1" outlineLevel="1"/>
    <col min="9" max="10" width="10.5703125" customWidth="1" outlineLevel="1"/>
    <col min="11" max="11" width="12" customWidth="1" outlineLevel="1"/>
    <col min="12" max="13" width="11.85546875" customWidth="1" outlineLevel="1"/>
    <col min="14" max="15" width="11.5703125" customWidth="1" outlineLevel="1"/>
    <col min="16" max="16" width="2.5703125" customWidth="1"/>
    <col min="17" max="18" width="14.28515625" bestFit="1" customWidth="1"/>
    <col min="20" max="34" width="16" bestFit="1" customWidth="1"/>
    <col min="35" max="35" width="11.28515625" bestFit="1" customWidth="1"/>
  </cols>
  <sheetData>
    <row r="1" spans="1:35" x14ac:dyDescent="0.25">
      <c r="A1" s="167"/>
      <c r="B1" s="65" t="s">
        <v>198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35" x14ac:dyDescent="0.25">
      <c r="A2" s="167"/>
      <c r="B2" t="s">
        <v>176</v>
      </c>
    </row>
    <row r="3" spans="1:35" ht="14.45" customHeight="1" x14ac:dyDescent="0.25">
      <c r="A3" s="63"/>
      <c r="C3" s="68" t="s">
        <v>80</v>
      </c>
      <c r="D3" s="68"/>
      <c r="Q3" s="168" t="s">
        <v>81</v>
      </c>
      <c r="R3" s="169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</row>
    <row r="4" spans="1:35" x14ac:dyDescent="0.25">
      <c r="C4" s="69" t="s">
        <v>82</v>
      </c>
      <c r="D4" s="99" t="s">
        <v>183</v>
      </c>
      <c r="E4" s="69" t="s">
        <v>83</v>
      </c>
      <c r="F4" s="69" t="s">
        <v>84</v>
      </c>
      <c r="G4" s="99" t="s">
        <v>184</v>
      </c>
      <c r="H4" s="69" t="s">
        <v>85</v>
      </c>
      <c r="I4" s="69" t="s">
        <v>86</v>
      </c>
      <c r="J4" s="99" t="s">
        <v>185</v>
      </c>
      <c r="K4" s="69" t="s">
        <v>87</v>
      </c>
      <c r="L4" s="69" t="s">
        <v>88</v>
      </c>
      <c r="M4" s="69" t="s">
        <v>89</v>
      </c>
      <c r="N4" s="69" t="s">
        <v>90</v>
      </c>
      <c r="O4" s="99" t="s">
        <v>186</v>
      </c>
      <c r="Q4" s="66" t="s">
        <v>78</v>
      </c>
      <c r="R4" s="67" t="s">
        <v>79</v>
      </c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</row>
    <row r="5" spans="1:35" x14ac:dyDescent="0.25">
      <c r="A5" s="152">
        <v>45412</v>
      </c>
      <c r="C5" s="165">
        <v>190974480.04255751</v>
      </c>
      <c r="D5" s="165">
        <v>0</v>
      </c>
      <c r="E5" s="165">
        <v>44505030.740235828</v>
      </c>
      <c r="F5" s="165">
        <v>5198903.1001128182</v>
      </c>
      <c r="G5" s="165">
        <v>48461.522387760371</v>
      </c>
      <c r="H5" s="165">
        <v>89428573.588562652</v>
      </c>
      <c r="I5" s="165">
        <v>2235043.5875412175</v>
      </c>
      <c r="J5" s="165">
        <v>179993.29368</v>
      </c>
      <c r="K5" s="165">
        <v>47825712</v>
      </c>
      <c r="L5" s="165">
        <v>5502618.6885915119</v>
      </c>
      <c r="M5" s="165">
        <v>433206.66839990241</v>
      </c>
      <c r="N5" s="165">
        <v>1302550.6210047223</v>
      </c>
      <c r="O5" s="165">
        <v>36822962</v>
      </c>
      <c r="Q5" s="87">
        <f>SUM(C5:D5)</f>
        <v>190974480.04255751</v>
      </c>
      <c r="R5" s="87">
        <f>SUM(E5:J5,L5:M5)</f>
        <v>147531831.18951172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</row>
    <row r="6" spans="1:35" x14ac:dyDescent="0.25">
      <c r="A6" s="152">
        <v>45413</v>
      </c>
      <c r="B6" s="65"/>
      <c r="C6" s="87">
        <v>176113563.99794334</v>
      </c>
      <c r="D6" s="87">
        <v>0</v>
      </c>
      <c r="E6" s="87">
        <v>45319752.312614642</v>
      </c>
      <c r="F6" s="87">
        <v>4753714.6548626544</v>
      </c>
      <c r="G6" s="87">
        <v>47609.697628676557</v>
      </c>
      <c r="H6" s="87">
        <v>99113820.379948333</v>
      </c>
      <c r="I6" s="87">
        <v>2155873.5991906486</v>
      </c>
      <c r="J6" s="87">
        <v>185451.66932933332</v>
      </c>
      <c r="K6" s="87">
        <v>51462423</v>
      </c>
      <c r="L6" s="87">
        <v>12395651.244028438</v>
      </c>
      <c r="M6" s="87">
        <v>715765.16138855903</v>
      </c>
      <c r="N6" s="87">
        <v>1337105.588589699</v>
      </c>
      <c r="O6" s="87">
        <v>38444830</v>
      </c>
      <c r="P6" s="65"/>
      <c r="Q6" s="87">
        <f>SUM(C6:D6)</f>
        <v>176113563.99794334</v>
      </c>
      <c r="R6" s="87">
        <f>SUM(E6:J6,L6:M6)</f>
        <v>164687638.71899131</v>
      </c>
      <c r="T6" s="49"/>
      <c r="U6" s="49"/>
      <c r="V6" s="49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35" x14ac:dyDescent="0.25">
      <c r="A7" s="152">
        <f>A6+31</f>
        <v>45444</v>
      </c>
      <c r="B7" s="65"/>
      <c r="C7" s="87">
        <v>176459747.14482352</v>
      </c>
      <c r="D7" s="87">
        <v>0</v>
      </c>
      <c r="E7" s="87">
        <v>46610336.537707575</v>
      </c>
      <c r="F7" s="87">
        <v>4164591.0766567746</v>
      </c>
      <c r="G7" s="87">
        <v>46924.943581981388</v>
      </c>
      <c r="H7" s="87">
        <v>106352506.09328224</v>
      </c>
      <c r="I7" s="87">
        <v>2118786.8980851681</v>
      </c>
      <c r="J7" s="87">
        <v>186471.46202219996</v>
      </c>
      <c r="K7" s="87">
        <v>52844203</v>
      </c>
      <c r="L7" s="87">
        <v>19701055.938252218</v>
      </c>
      <c r="M7" s="87">
        <v>1032900.5713213077</v>
      </c>
      <c r="N7" s="87">
        <v>1331504.852722174</v>
      </c>
      <c r="O7" s="87">
        <v>38253213</v>
      </c>
      <c r="P7" s="65"/>
      <c r="Q7" s="87">
        <f t="shared" ref="Q7:Q20" si="0">SUM(C7:D7)</f>
        <v>176459747.14482352</v>
      </c>
      <c r="R7" s="87">
        <f t="shared" ref="R7:R20" si="1">SUM(E7:J7,L7:M7)</f>
        <v>180213573.52090946</v>
      </c>
      <c r="T7" s="49"/>
      <c r="U7" s="49"/>
      <c r="V7" s="49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35" x14ac:dyDescent="0.25">
      <c r="A8" s="152">
        <f t="shared" ref="A8:A20" si="2">A7+31</f>
        <v>45475</v>
      </c>
      <c r="B8" s="65"/>
      <c r="C8" s="87">
        <v>204494293.77636918</v>
      </c>
      <c r="D8" s="87">
        <v>0</v>
      </c>
      <c r="E8" s="87">
        <v>54261410.599342637</v>
      </c>
      <c r="F8" s="87">
        <v>4883066.2147459351</v>
      </c>
      <c r="G8" s="87">
        <v>48337.599910880206</v>
      </c>
      <c r="H8" s="87">
        <v>117071370.08318955</v>
      </c>
      <c r="I8" s="87">
        <v>2480446.9103859947</v>
      </c>
      <c r="J8" s="87">
        <v>202449.14192908257</v>
      </c>
      <c r="K8" s="87">
        <v>52609038</v>
      </c>
      <c r="L8" s="87">
        <v>23673980.601589113</v>
      </c>
      <c r="M8" s="87">
        <v>1736520.6804898917</v>
      </c>
      <c r="N8" s="87">
        <v>1333836.0243040216</v>
      </c>
      <c r="O8" s="87">
        <v>33280210</v>
      </c>
      <c r="P8" s="65"/>
      <c r="Q8" s="87">
        <f t="shared" si="0"/>
        <v>204494293.77636918</v>
      </c>
      <c r="R8" s="87">
        <f t="shared" si="1"/>
        <v>204357581.83158308</v>
      </c>
      <c r="T8" s="49"/>
      <c r="U8" s="49"/>
      <c r="V8" s="49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1:35" x14ac:dyDescent="0.25">
      <c r="A9" s="152">
        <f t="shared" si="2"/>
        <v>45506</v>
      </c>
      <c r="B9" s="65"/>
      <c r="C9" s="87">
        <v>206259283.56051493</v>
      </c>
      <c r="D9" s="87">
        <v>0</v>
      </c>
      <c r="E9" s="87">
        <v>53136040.025286131</v>
      </c>
      <c r="F9" s="87">
        <v>4653699.7262009671</v>
      </c>
      <c r="G9" s="87">
        <v>49790.57545462437</v>
      </c>
      <c r="H9" s="87">
        <v>108747891.86583877</v>
      </c>
      <c r="I9" s="87">
        <v>2330295.1245238213</v>
      </c>
      <c r="J9" s="87">
        <v>200266.62002546733</v>
      </c>
      <c r="K9" s="87">
        <v>59236945</v>
      </c>
      <c r="L9" s="87">
        <v>26583414.787156716</v>
      </c>
      <c r="M9" s="87">
        <v>1940120.8696675238</v>
      </c>
      <c r="N9" s="87">
        <v>1334110.298731857</v>
      </c>
      <c r="O9" s="87">
        <v>36585435</v>
      </c>
      <c r="P9" s="65"/>
      <c r="Q9" s="87">
        <f t="shared" si="0"/>
        <v>206259283.56051493</v>
      </c>
      <c r="R9" s="87">
        <f>SUM(E9:J9,L9:M9)</f>
        <v>197641519.594154</v>
      </c>
      <c r="T9" s="49"/>
      <c r="U9" s="49"/>
      <c r="V9" s="49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1:35" x14ac:dyDescent="0.25">
      <c r="A10" s="152">
        <f t="shared" si="2"/>
        <v>45537</v>
      </c>
      <c r="B10" s="65"/>
      <c r="C10" s="87">
        <v>159643326.96820152</v>
      </c>
      <c r="D10" s="87">
        <v>0</v>
      </c>
      <c r="E10" s="87">
        <v>46541171.155685663</v>
      </c>
      <c r="F10" s="87">
        <v>4223070.0060625216</v>
      </c>
      <c r="G10" s="87">
        <v>53455.225045724161</v>
      </c>
      <c r="H10" s="87">
        <v>96497166.434410408</v>
      </c>
      <c r="I10" s="87">
        <v>2058838.7299511994</v>
      </c>
      <c r="J10" s="87">
        <v>183089.43756432566</v>
      </c>
      <c r="K10" s="87">
        <v>49822212</v>
      </c>
      <c r="L10" s="87">
        <v>21256596.556735978</v>
      </c>
      <c r="M10" s="87">
        <v>1074978.7405488463</v>
      </c>
      <c r="N10" s="87">
        <v>1302325.5008865951</v>
      </c>
      <c r="O10" s="87">
        <v>37109668</v>
      </c>
      <c r="P10" s="65"/>
      <c r="Q10" s="87">
        <f t="shared" si="0"/>
        <v>159643326.96820152</v>
      </c>
      <c r="R10" s="87">
        <f t="shared" si="1"/>
        <v>171888366.28600466</v>
      </c>
      <c r="T10" s="49"/>
      <c r="U10" s="49"/>
      <c r="V10" s="49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1:35" x14ac:dyDescent="0.25">
      <c r="A11" s="152">
        <f t="shared" si="2"/>
        <v>45568</v>
      </c>
      <c r="B11" s="65"/>
      <c r="C11" s="87">
        <v>178363982.37041521</v>
      </c>
      <c r="D11" s="87">
        <v>0</v>
      </c>
      <c r="E11" s="87">
        <v>47886683.041062959</v>
      </c>
      <c r="F11" s="87">
        <v>4890603.1796568315</v>
      </c>
      <c r="G11" s="87">
        <v>52564.831686201615</v>
      </c>
      <c r="H11" s="87">
        <v>109097265.18839911</v>
      </c>
      <c r="I11" s="87">
        <v>2228802.5798980366</v>
      </c>
      <c r="J11" s="87">
        <v>182633.57681210921</v>
      </c>
      <c r="K11" s="87">
        <v>51363419</v>
      </c>
      <c r="L11" s="87">
        <v>11530327.64336041</v>
      </c>
      <c r="M11" s="87">
        <v>566946.94127663749</v>
      </c>
      <c r="N11" s="87">
        <v>1306182.7894858946</v>
      </c>
      <c r="O11" s="87">
        <v>34770564</v>
      </c>
      <c r="P11" s="65"/>
      <c r="Q11" s="87">
        <f t="shared" si="0"/>
        <v>178363982.37041521</v>
      </c>
      <c r="R11" s="87">
        <f t="shared" si="1"/>
        <v>176435826.98215228</v>
      </c>
      <c r="T11" s="49"/>
      <c r="U11" s="49"/>
      <c r="V11" s="49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spans="1:35" x14ac:dyDescent="0.25">
      <c r="A12" s="152">
        <f t="shared" si="2"/>
        <v>45599</v>
      </c>
      <c r="B12" s="65"/>
      <c r="C12" s="87">
        <v>242351481.9950045</v>
      </c>
      <c r="D12" s="87">
        <v>0</v>
      </c>
      <c r="E12" s="87">
        <v>53332265.977024563</v>
      </c>
      <c r="F12" s="87">
        <v>6780978.4173007645</v>
      </c>
      <c r="G12" s="87">
        <v>51256.334415148762</v>
      </c>
      <c r="H12" s="87">
        <v>112608199.61196499</v>
      </c>
      <c r="I12" s="87">
        <v>2711962.6916996525</v>
      </c>
      <c r="J12" s="87">
        <v>196264.7341010996</v>
      </c>
      <c r="K12" s="87">
        <v>49248530</v>
      </c>
      <c r="L12" s="87">
        <v>2476142.828225363</v>
      </c>
      <c r="M12" s="87">
        <v>351734.29980728577</v>
      </c>
      <c r="N12" s="87">
        <v>1320266.0382451359</v>
      </c>
      <c r="O12" s="87">
        <v>35823113</v>
      </c>
      <c r="P12" s="65"/>
      <c r="Q12" s="87">
        <f t="shared" si="0"/>
        <v>242351481.9950045</v>
      </c>
      <c r="R12" s="87">
        <f t="shared" si="1"/>
        <v>178508804.89453885</v>
      </c>
      <c r="T12" s="49"/>
      <c r="U12" s="49"/>
      <c r="V12" s="49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35" x14ac:dyDescent="0.25">
      <c r="A13" s="152">
        <f t="shared" si="2"/>
        <v>45630</v>
      </c>
      <c r="B13" s="65"/>
      <c r="C13" s="87">
        <v>307050289.00418437</v>
      </c>
      <c r="D13" s="87">
        <v>0</v>
      </c>
      <c r="E13" s="87">
        <v>58497747.134299822</v>
      </c>
      <c r="F13" s="87">
        <v>8818978.6222678348</v>
      </c>
      <c r="G13" s="87">
        <v>48603.374858187948</v>
      </c>
      <c r="H13" s="87">
        <v>107840814.19530877</v>
      </c>
      <c r="I13" s="87">
        <v>3473548.7871100623</v>
      </c>
      <c r="J13" s="87">
        <v>196340.78057245479</v>
      </c>
      <c r="K13" s="87">
        <v>49427123</v>
      </c>
      <c r="L13" s="87">
        <v>3386382.4626985262</v>
      </c>
      <c r="M13" s="87">
        <v>403359.49138146872</v>
      </c>
      <c r="N13" s="87">
        <v>1319835.5894288972</v>
      </c>
      <c r="O13" s="87">
        <v>36584911</v>
      </c>
      <c r="P13" s="65"/>
      <c r="Q13" s="87">
        <f t="shared" si="0"/>
        <v>307050289.00418437</v>
      </c>
      <c r="R13" s="87">
        <f t="shared" si="1"/>
        <v>182665774.84849709</v>
      </c>
      <c r="T13" s="49"/>
      <c r="U13" s="49"/>
      <c r="V13" s="49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</row>
    <row r="14" spans="1:35" x14ac:dyDescent="0.25">
      <c r="A14" s="152">
        <f t="shared" si="2"/>
        <v>45661</v>
      </c>
      <c r="B14" s="65"/>
      <c r="C14" s="87">
        <v>317280238.33108574</v>
      </c>
      <c r="D14" s="87">
        <v>0</v>
      </c>
      <c r="E14" s="87">
        <v>60205061.836916625</v>
      </c>
      <c r="F14" s="87">
        <v>9009819.280999897</v>
      </c>
      <c r="G14" s="87">
        <v>49212.536531993901</v>
      </c>
      <c r="H14" s="87">
        <v>110565483.50506565</v>
      </c>
      <c r="I14" s="87">
        <v>3544813.6089474373</v>
      </c>
      <c r="J14" s="87">
        <v>196071.77628796455</v>
      </c>
      <c r="K14" s="87">
        <v>55614734</v>
      </c>
      <c r="L14" s="87">
        <v>4447959.0894974768</v>
      </c>
      <c r="M14" s="87">
        <v>483332.62511772581</v>
      </c>
      <c r="N14" s="87">
        <v>1312052.5670342222</v>
      </c>
      <c r="O14" s="87">
        <v>37391600</v>
      </c>
      <c r="P14" s="65"/>
      <c r="Q14" s="87">
        <f t="shared" si="0"/>
        <v>317280238.33108574</v>
      </c>
      <c r="R14" s="87">
        <f t="shared" si="1"/>
        <v>188501754.25936478</v>
      </c>
      <c r="T14" s="49"/>
      <c r="U14" s="49"/>
      <c r="V14" s="49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5" x14ac:dyDescent="0.25">
      <c r="A15" s="152">
        <f t="shared" si="2"/>
        <v>45692</v>
      </c>
      <c r="B15" s="65"/>
      <c r="C15" s="87">
        <v>250037504.83744782</v>
      </c>
      <c r="D15" s="87">
        <v>0</v>
      </c>
      <c r="E15" s="87">
        <v>50590770.642111346</v>
      </c>
      <c r="F15" s="87">
        <v>6965651.118934704</v>
      </c>
      <c r="G15" s="87">
        <v>49905.954076148548</v>
      </c>
      <c r="H15" s="87">
        <v>93803579.448655635</v>
      </c>
      <c r="I15" s="87">
        <v>2802666.3636500253</v>
      </c>
      <c r="J15" s="87">
        <v>193596.59330891623</v>
      </c>
      <c r="K15" s="87">
        <v>47598641</v>
      </c>
      <c r="L15" s="87">
        <v>3261283.3623971911</v>
      </c>
      <c r="M15" s="87">
        <v>385613.46701266052</v>
      </c>
      <c r="N15" s="87">
        <v>1282781.9397454073</v>
      </c>
      <c r="O15" s="87">
        <v>35111801</v>
      </c>
      <c r="P15" s="65"/>
      <c r="Q15" s="87">
        <f t="shared" si="0"/>
        <v>250037504.83744782</v>
      </c>
      <c r="R15" s="87">
        <f t="shared" si="1"/>
        <v>158053066.95014665</v>
      </c>
      <c r="T15" s="49"/>
      <c r="U15" s="49"/>
      <c r="V15" s="49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 x14ac:dyDescent="0.25">
      <c r="A16" s="152">
        <f t="shared" si="2"/>
        <v>45723</v>
      </c>
      <c r="B16" s="65"/>
      <c r="C16" s="87">
        <v>235738741.94394654</v>
      </c>
      <c r="D16" s="87">
        <v>0</v>
      </c>
      <c r="E16" s="87">
        <v>50261447.613757968</v>
      </c>
      <c r="F16" s="87">
        <v>6928542.2236513831</v>
      </c>
      <c r="G16" s="87">
        <v>50450.083326513843</v>
      </c>
      <c r="H16" s="87">
        <v>97389724.527919933</v>
      </c>
      <c r="I16" s="87">
        <v>2708555.8741516685</v>
      </c>
      <c r="J16" s="87">
        <v>191590.66644561035</v>
      </c>
      <c r="K16" s="87">
        <v>53469196</v>
      </c>
      <c r="L16" s="87">
        <v>4359897.3973822482</v>
      </c>
      <c r="M16" s="87">
        <v>380771.24035729188</v>
      </c>
      <c r="N16" s="87">
        <v>1346978.8782308577</v>
      </c>
      <c r="O16" s="87">
        <v>36043336</v>
      </c>
      <c r="P16" s="65"/>
      <c r="Q16" s="87">
        <f t="shared" si="0"/>
        <v>235738741.94394654</v>
      </c>
      <c r="R16" s="87">
        <f t="shared" si="1"/>
        <v>162270979.62699261</v>
      </c>
      <c r="T16" s="49"/>
      <c r="U16" s="49"/>
      <c r="V16" s="49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spans="1:35" x14ac:dyDescent="0.25">
      <c r="A17" s="152">
        <f t="shared" si="2"/>
        <v>45754</v>
      </c>
      <c r="B17" s="65"/>
      <c r="C17" s="87">
        <v>203081802.9519473</v>
      </c>
      <c r="D17" s="87">
        <v>0</v>
      </c>
      <c r="E17" s="87">
        <v>46208921.193996951</v>
      </c>
      <c r="F17" s="87">
        <v>5496875.195919849</v>
      </c>
      <c r="G17" s="87">
        <v>50520.879712055008</v>
      </c>
      <c r="H17" s="87">
        <v>91818317.228006646</v>
      </c>
      <c r="I17" s="87">
        <v>2286440.5295534027</v>
      </c>
      <c r="J17" s="87">
        <v>191969.60731424994</v>
      </c>
      <c r="K17" s="87">
        <v>48593642</v>
      </c>
      <c r="L17" s="87">
        <v>5428370.6720306799</v>
      </c>
      <c r="M17" s="87">
        <v>422763.30122404272</v>
      </c>
      <c r="N17" s="87">
        <v>1282521.0688841238</v>
      </c>
      <c r="O17" s="87">
        <v>36841235</v>
      </c>
      <c r="P17" s="65"/>
      <c r="Q17" s="87">
        <f t="shared" si="0"/>
        <v>203081802.9519473</v>
      </c>
      <c r="R17" s="87">
        <f t="shared" si="1"/>
        <v>151904178.6077579</v>
      </c>
      <c r="T17" s="49"/>
      <c r="U17" s="49"/>
      <c r="V17" s="49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</row>
    <row r="18" spans="1:35" x14ac:dyDescent="0.25">
      <c r="A18" s="152">
        <f t="shared" si="2"/>
        <v>45785</v>
      </c>
      <c r="B18" s="65"/>
      <c r="C18" s="87">
        <v>179305893.01266021</v>
      </c>
      <c r="D18" s="87">
        <v>0</v>
      </c>
      <c r="E18" s="87">
        <v>44941470.828402027</v>
      </c>
      <c r="F18" s="87">
        <v>4759346.7977888845</v>
      </c>
      <c r="G18" s="87">
        <v>50526.196660210269</v>
      </c>
      <c r="H18" s="87">
        <v>97734975.771400809</v>
      </c>
      <c r="I18" s="87">
        <v>2089542.0450797365</v>
      </c>
      <c r="J18" s="87">
        <v>192270.51916535987</v>
      </c>
      <c r="K18" s="87">
        <v>51505608</v>
      </c>
      <c r="L18" s="87">
        <v>12126309.068046305</v>
      </c>
      <c r="M18" s="87">
        <v>642450.63953124778</v>
      </c>
      <c r="N18" s="87">
        <v>1322804.2761951154</v>
      </c>
      <c r="O18" s="87">
        <v>35372228</v>
      </c>
      <c r="P18" s="65"/>
      <c r="Q18" s="87">
        <f t="shared" si="0"/>
        <v>179305893.01266021</v>
      </c>
      <c r="R18" s="87">
        <f t="shared" si="1"/>
        <v>162536891.86607459</v>
      </c>
      <c r="T18" s="49"/>
      <c r="U18" s="49"/>
      <c r="V18" s="49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</row>
    <row r="19" spans="1:35" x14ac:dyDescent="0.25">
      <c r="A19" s="152">
        <f t="shared" si="2"/>
        <v>45816</v>
      </c>
      <c r="B19" s="65"/>
      <c r="C19" s="87">
        <v>174831177.44667855</v>
      </c>
      <c r="D19" s="87">
        <v>0</v>
      </c>
      <c r="E19" s="87">
        <v>46626698.818491243</v>
      </c>
      <c r="F19" s="87">
        <v>4291474.5597085208</v>
      </c>
      <c r="G19" s="87">
        <v>50514.239066556489</v>
      </c>
      <c r="H19" s="87">
        <v>104366294.88677663</v>
      </c>
      <c r="I19" s="87">
        <v>2080682.6791560946</v>
      </c>
      <c r="J19" s="87">
        <v>192436.0632666958</v>
      </c>
      <c r="K19" s="87">
        <v>52323263</v>
      </c>
      <c r="L19" s="87">
        <v>19713389.648264095</v>
      </c>
      <c r="M19" s="87">
        <v>974755.5847225138</v>
      </c>
      <c r="N19" s="87">
        <v>1311334.1459539002</v>
      </c>
      <c r="O19" s="87">
        <v>35675190</v>
      </c>
      <c r="P19" s="65"/>
      <c r="Q19" s="87">
        <f t="shared" si="0"/>
        <v>174831177.44667855</v>
      </c>
      <c r="R19" s="87">
        <f t="shared" si="1"/>
        <v>178296246.47945237</v>
      </c>
      <c r="T19" s="49"/>
      <c r="U19" s="49"/>
      <c r="V19" s="49"/>
      <c r="W19" s="49"/>
    </row>
    <row r="20" spans="1:35" x14ac:dyDescent="0.25">
      <c r="A20" s="152">
        <f t="shared" si="2"/>
        <v>45847</v>
      </c>
      <c r="B20" s="65"/>
      <c r="C20" s="87">
        <v>201206856.72398505</v>
      </c>
      <c r="D20" s="87">
        <v>0</v>
      </c>
      <c r="E20" s="87">
        <v>53987155.322187297</v>
      </c>
      <c r="F20" s="87">
        <v>4926580.2223867774</v>
      </c>
      <c r="G20" s="87">
        <v>50383.142803406125</v>
      </c>
      <c r="H20" s="87">
        <v>114322032.83067955</v>
      </c>
      <c r="I20" s="87">
        <v>2453455.9105025874</v>
      </c>
      <c r="J20" s="87">
        <v>192574.59191777013</v>
      </c>
      <c r="K20" s="87">
        <v>52611678</v>
      </c>
      <c r="L20" s="87">
        <v>24561593.9447411</v>
      </c>
      <c r="M20" s="87">
        <v>1669118.4514649927</v>
      </c>
      <c r="N20" s="87">
        <v>1318291.5221090443</v>
      </c>
      <c r="O20" s="87">
        <v>35874371</v>
      </c>
      <c r="P20" s="65"/>
      <c r="Q20" s="87">
        <f t="shared" si="0"/>
        <v>201206856.72398505</v>
      </c>
      <c r="R20" s="87">
        <f t="shared" si="1"/>
        <v>202162894.4166835</v>
      </c>
      <c r="T20" s="49"/>
      <c r="U20" s="49"/>
      <c r="V20" s="49"/>
      <c r="W20" s="49"/>
    </row>
    <row r="21" spans="1:35" x14ac:dyDescent="0.25">
      <c r="A21" s="6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Q21" s="49"/>
      <c r="R21" s="49"/>
      <c r="T21" s="49"/>
      <c r="U21" s="49"/>
      <c r="V21" s="49"/>
      <c r="W21" s="49"/>
    </row>
    <row r="22" spans="1:35" x14ac:dyDescent="0.25">
      <c r="A22" s="6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Q22" s="49"/>
      <c r="R22" s="49"/>
    </row>
    <row r="23" spans="1:35" x14ac:dyDescent="0.25">
      <c r="A23" s="62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Q23" s="49"/>
      <c r="R23" s="49"/>
    </row>
    <row r="24" spans="1:35" x14ac:dyDescent="0.25">
      <c r="A24" s="6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Q24" s="49"/>
      <c r="R24" s="49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</row>
    <row r="25" spans="1:35" x14ac:dyDescent="0.25"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</row>
    <row r="26" spans="1:35" x14ac:dyDescent="0.25"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5" x14ac:dyDescent="0.25"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</row>
    <row r="28" spans="1:35" x14ac:dyDescent="0.25"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</row>
    <row r="29" spans="1:35" x14ac:dyDescent="0.25"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</row>
    <row r="30" spans="1:35" x14ac:dyDescent="0.25"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</row>
    <row r="31" spans="1:35" x14ac:dyDescent="0.25"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</row>
    <row r="32" spans="1:35" x14ac:dyDescent="0.25"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</row>
    <row r="33" spans="1:34" x14ac:dyDescent="0.25"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</row>
    <row r="34" spans="1:34" x14ac:dyDescent="0.25"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</row>
    <row r="35" spans="1:34" x14ac:dyDescent="0.25"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</row>
    <row r="36" spans="1:34" x14ac:dyDescent="0.25"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</row>
    <row r="38" spans="1:34" x14ac:dyDescent="0.25">
      <c r="C38" s="44"/>
      <c r="D38" s="44"/>
      <c r="E38" s="44"/>
      <c r="F38" s="44"/>
      <c r="G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34" x14ac:dyDescent="0.25">
      <c r="C39" s="44"/>
      <c r="D39" s="44"/>
      <c r="E39" s="44"/>
      <c r="F39" s="44"/>
      <c r="G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34" x14ac:dyDescent="0.25">
      <c r="C40" s="44"/>
      <c r="D40" s="44"/>
      <c r="E40" s="44"/>
      <c r="F40" s="44"/>
      <c r="G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34" x14ac:dyDescent="0.25">
      <c r="P41" s="44"/>
      <c r="Q41" s="44"/>
      <c r="R41" s="44"/>
      <c r="S41" s="44"/>
      <c r="T41" s="44"/>
      <c r="U41" s="44"/>
    </row>
    <row r="42" spans="1:34" x14ac:dyDescent="0.25">
      <c r="P42" s="44"/>
      <c r="Q42" s="44"/>
      <c r="R42" s="44"/>
      <c r="S42" s="44"/>
      <c r="T42" s="44"/>
      <c r="U42" s="44"/>
    </row>
    <row r="43" spans="1:34" x14ac:dyDescent="0.25">
      <c r="P43" s="44"/>
      <c r="Q43" s="44"/>
      <c r="R43" s="44"/>
      <c r="S43" s="44"/>
      <c r="T43" s="44"/>
      <c r="U43" s="44"/>
    </row>
    <row r="44" spans="1:34" x14ac:dyDescent="0.25">
      <c r="P44" s="44"/>
      <c r="Q44" s="44"/>
      <c r="R44" s="44"/>
      <c r="S44" s="44"/>
      <c r="T44" s="44"/>
      <c r="U44" s="44"/>
    </row>
    <row r="45" spans="1:34" x14ac:dyDescent="0.25">
      <c r="P45" s="44"/>
      <c r="Q45" s="44"/>
      <c r="R45" s="44"/>
      <c r="S45" s="44"/>
      <c r="T45" s="44"/>
      <c r="U45" s="44"/>
    </row>
    <row r="46" spans="1:34" x14ac:dyDescent="0.25">
      <c r="A46" s="116"/>
      <c r="P46" s="44"/>
      <c r="Q46" s="44"/>
      <c r="R46" s="44"/>
      <c r="S46" s="44"/>
      <c r="T46" s="44"/>
      <c r="U46" s="44"/>
    </row>
    <row r="59" spans="3:15" x14ac:dyDescent="0.25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</row>
    <row r="60" spans="3:15" x14ac:dyDescent="0.25"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3:15" x14ac:dyDescent="0.25"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</row>
    <row r="62" spans="3:15" x14ac:dyDescent="0.25"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</row>
    <row r="63" spans="3:15" x14ac:dyDescent="0.25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</row>
    <row r="64" spans="3:15" x14ac:dyDescent="0.25"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</row>
    <row r="65" spans="3:15" x14ac:dyDescent="0.25"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</row>
    <row r="66" spans="3:15" x14ac:dyDescent="0.25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</row>
    <row r="67" spans="3:15" x14ac:dyDescent="0.25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</row>
    <row r="68" spans="3:15" x14ac:dyDescent="0.25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</row>
    <row r="69" spans="3:15" x14ac:dyDescent="0.25"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</row>
    <row r="70" spans="3:15" x14ac:dyDescent="0.25"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</row>
    <row r="71" spans="3:15" x14ac:dyDescent="0.25"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</row>
    <row r="72" spans="3:15" x14ac:dyDescent="0.25"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</row>
    <row r="73" spans="3:15" x14ac:dyDescent="0.25"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</row>
  </sheetData>
  <mergeCells count="2">
    <mergeCell ref="A1:A2"/>
    <mergeCell ref="Q3:R3"/>
  </mergeCells>
  <phoneticPr fontId="23" type="noConversion"/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tabSelected="1" topLeftCell="A40" zoomScale="80" zoomScaleNormal="80" workbookViewId="0">
      <selection activeCell="I73" sqref="I73:I80"/>
    </sheetView>
  </sheetViews>
  <sheetFormatPr defaultRowHeight="15" x14ac:dyDescent="0.25"/>
  <cols>
    <col min="1" max="1" width="4.5703125" customWidth="1"/>
    <col min="2" max="2" width="32.140625" customWidth="1"/>
    <col min="3" max="3" width="16.85546875" customWidth="1"/>
    <col min="4" max="4" width="16" customWidth="1"/>
    <col min="5" max="5" width="16.7109375" customWidth="1"/>
    <col min="6" max="6" width="8.28515625" customWidth="1"/>
    <col min="7" max="7" width="4.85546875" customWidth="1"/>
    <col min="8" max="8" width="31.85546875" customWidth="1"/>
    <col min="9" max="9" width="18" customWidth="1"/>
    <col min="10" max="10" width="16.28515625" customWidth="1"/>
    <col min="11" max="11" width="16.7109375" customWidth="1"/>
    <col min="13" max="14" width="11.7109375" customWidth="1"/>
    <col min="15" max="15" width="10.42578125" customWidth="1"/>
    <col min="16" max="16" width="12.7109375" customWidth="1"/>
  </cols>
  <sheetData>
    <row r="1" spans="1:12" x14ac:dyDescent="0.25">
      <c r="B1" s="172" t="s">
        <v>0</v>
      </c>
      <c r="C1" s="172"/>
      <c r="D1" s="172"/>
      <c r="E1" s="172"/>
      <c r="F1" s="50"/>
      <c r="G1" s="50"/>
      <c r="H1" s="172" t="s">
        <v>0</v>
      </c>
      <c r="I1" s="172"/>
      <c r="J1" s="172"/>
      <c r="K1" s="172"/>
    </row>
    <row r="2" spans="1:12" x14ac:dyDescent="0.25">
      <c r="B2" s="172" t="s">
        <v>1</v>
      </c>
      <c r="C2" s="172"/>
      <c r="D2" s="172"/>
      <c r="E2" s="172"/>
      <c r="F2" s="50"/>
      <c r="G2" s="50"/>
      <c r="H2" s="172" t="s">
        <v>1</v>
      </c>
      <c r="I2" s="172"/>
      <c r="J2" s="172"/>
      <c r="K2" s="172"/>
    </row>
    <row r="3" spans="1:12" x14ac:dyDescent="0.25">
      <c r="B3" s="172" t="s">
        <v>192</v>
      </c>
      <c r="C3" s="172"/>
      <c r="D3" s="172"/>
      <c r="E3" s="172"/>
      <c r="F3" s="50"/>
      <c r="G3" s="50"/>
      <c r="H3" s="172" t="str">
        <f>B3</f>
        <v>Effective August 1, 2024 - July 31, 2025</v>
      </c>
      <c r="I3" s="172"/>
      <c r="J3" s="172"/>
      <c r="K3" s="172"/>
    </row>
    <row r="5" spans="1:12" ht="18.75" x14ac:dyDescent="0.3">
      <c r="B5" s="179" t="s">
        <v>38</v>
      </c>
      <c r="C5" s="179"/>
      <c r="D5" s="179"/>
      <c r="E5" s="179"/>
      <c r="F5" s="59"/>
      <c r="G5" s="26"/>
      <c r="H5" s="179" t="s">
        <v>39</v>
      </c>
      <c r="I5" s="179"/>
      <c r="J5" s="179"/>
      <c r="K5" s="179"/>
    </row>
    <row r="6" spans="1:12" ht="29.45" customHeight="1" x14ac:dyDescent="0.25">
      <c r="A6" s="73" t="s">
        <v>91</v>
      </c>
      <c r="B6" s="58" t="s">
        <v>2</v>
      </c>
      <c r="C6" s="58" t="s">
        <v>5</v>
      </c>
      <c r="D6" s="58" t="s">
        <v>6</v>
      </c>
      <c r="E6" s="70" t="s">
        <v>105</v>
      </c>
      <c r="F6" s="58"/>
      <c r="G6" s="73" t="s">
        <v>91</v>
      </c>
      <c r="H6" s="58" t="s">
        <v>2</v>
      </c>
      <c r="I6" s="58" t="s">
        <v>5</v>
      </c>
      <c r="J6" s="58" t="s">
        <v>6</v>
      </c>
      <c r="K6" s="70" t="s">
        <v>105</v>
      </c>
    </row>
    <row r="7" spans="1:12" x14ac:dyDescent="0.25">
      <c r="A7" s="74">
        <v>1</v>
      </c>
      <c r="B7" s="58"/>
      <c r="C7" s="72">
        <f>ROUND(C8/E22,5)</f>
        <v>-7.2999999999999996E-4</v>
      </c>
      <c r="D7" s="139">
        <v>8.5000000000000006E-2</v>
      </c>
      <c r="E7" s="58"/>
      <c r="F7" s="58"/>
      <c r="G7" s="74">
        <v>1</v>
      </c>
      <c r="H7" s="58"/>
      <c r="I7" s="58">
        <f>ROUND(I8/K22,5)</f>
        <v>1.31E-3</v>
      </c>
      <c r="J7" s="140">
        <f>D7</f>
        <v>8.5000000000000006E-2</v>
      </c>
      <c r="K7" s="58"/>
      <c r="L7" s="65"/>
    </row>
    <row r="8" spans="1:12" x14ac:dyDescent="0.25">
      <c r="A8" s="74">
        <v>2</v>
      </c>
      <c r="B8" s="141">
        <v>45493</v>
      </c>
      <c r="C8" s="25">
        <f>C55+C56</f>
        <v>-1946248.1130488098</v>
      </c>
      <c r="D8" s="25"/>
      <c r="E8" s="26"/>
      <c r="F8" s="26"/>
      <c r="G8" s="74">
        <v>2</v>
      </c>
      <c r="H8" s="51">
        <f>B8</f>
        <v>45493</v>
      </c>
      <c r="I8" s="25">
        <f>I55+I56</f>
        <v>2758983.2083178163</v>
      </c>
      <c r="J8" s="25"/>
      <c r="K8" s="26"/>
    </row>
    <row r="9" spans="1:12" x14ac:dyDescent="0.25">
      <c r="A9" s="74">
        <v>3</v>
      </c>
      <c r="B9" s="51">
        <f>B8+31</f>
        <v>45524</v>
      </c>
      <c r="C9" s="25">
        <f>C8+D9-$C$7*E9</f>
        <v>-1808931.4939943575</v>
      </c>
      <c r="D9" s="25">
        <f>(C8-$C$7*E9/2)*$D$7/12</f>
        <v>-13252.657944723656</v>
      </c>
      <c r="E9" s="31">
        <f>'4 10 24 Forecast Usage by Sched'!Q9</f>
        <v>206259283.56051493</v>
      </c>
      <c r="F9" s="31"/>
      <c r="G9" s="74">
        <v>3</v>
      </c>
      <c r="H9" s="51">
        <f t="shared" ref="H9:H20" si="0">B9</f>
        <v>45524</v>
      </c>
      <c r="I9" s="25">
        <f>I8+J9-$I$7*K9</f>
        <v>2518698.6410747753</v>
      </c>
      <c r="J9" s="25">
        <f>(I8-$I$7*K9/2)*$J$7/12</f>
        <v>18625.823425300823</v>
      </c>
      <c r="K9" s="31">
        <f>'4 10 24 Forecast Usage by Sched'!R9</f>
        <v>197641519.594154</v>
      </c>
    </row>
    <row r="10" spans="1:12" x14ac:dyDescent="0.25">
      <c r="A10" s="74">
        <v>4</v>
      </c>
      <c r="B10" s="51">
        <f t="shared" ref="B10:B20" si="1">B9+31</f>
        <v>45555</v>
      </c>
      <c r="C10" s="25">
        <f t="shared" ref="C10:C20" si="2">C9+D10-$C$7*E10</f>
        <v>-1704792.3855384314</v>
      </c>
      <c r="D10" s="25">
        <f t="shared" ref="D10:D20" si="3">(C9-$C$7*E10/2)*$D$7/12</f>
        <v>-12400.520230860995</v>
      </c>
      <c r="E10" s="31">
        <f>'4 10 24 Forecast Usage by Sched'!Q10</f>
        <v>159643326.96820152</v>
      </c>
      <c r="F10" s="31"/>
      <c r="G10" s="74">
        <v>4</v>
      </c>
      <c r="H10" s="51">
        <f t="shared" si="0"/>
        <v>45555</v>
      </c>
      <c r="I10" s="25">
        <f t="shared" ref="I10:I20" si="4">I9+J10-$I$7*K10</f>
        <v>2310568.172881641</v>
      </c>
      <c r="J10" s="25">
        <f t="shared" ref="J10:J20" si="5">(I9-$I$7*K10/2)*$J$7/12</f>
        <v>17043.291641531887</v>
      </c>
      <c r="K10" s="31">
        <f>'4 10 24 Forecast Usage by Sched'!R10</f>
        <v>171888366.28600466</v>
      </c>
    </row>
    <row r="11" spans="1:12" x14ac:dyDescent="0.25">
      <c r="A11" s="74">
        <v>5</v>
      </c>
      <c r="B11" s="51">
        <f t="shared" si="1"/>
        <v>45586</v>
      </c>
      <c r="C11" s="25">
        <f t="shared" si="2"/>
        <v>-1586201.1459261721</v>
      </c>
      <c r="D11" s="25">
        <f t="shared" si="3"/>
        <v>-11614.467518143712</v>
      </c>
      <c r="E11" s="31">
        <f>'4 10 24 Forecast Usage by Sched'!Q11</f>
        <v>178363982.37041521</v>
      </c>
      <c r="F11" s="31"/>
      <c r="G11" s="74">
        <v>5</v>
      </c>
      <c r="H11" s="51">
        <f t="shared" si="0"/>
        <v>45586</v>
      </c>
      <c r="I11" s="25">
        <f t="shared" si="4"/>
        <v>2094985.1753706639</v>
      </c>
      <c r="J11" s="25">
        <f t="shared" si="5"/>
        <v>15547.935835642347</v>
      </c>
      <c r="K11" s="31">
        <f>'4 10 24 Forecast Usage by Sched'!R11</f>
        <v>176435826.98215228</v>
      </c>
    </row>
    <row r="12" spans="1:12" x14ac:dyDescent="0.25">
      <c r="A12" s="74">
        <v>6</v>
      </c>
      <c r="B12" s="51">
        <f t="shared" si="1"/>
        <v>45617</v>
      </c>
      <c r="C12" s="25">
        <f t="shared" si="2"/>
        <v>-1419893.5759593882</v>
      </c>
      <c r="D12" s="25">
        <f t="shared" si="3"/>
        <v>-10609.011889569136</v>
      </c>
      <c r="E12" s="31">
        <f>'4 10 24 Forecast Usage by Sched'!Q12</f>
        <v>242351481.9950045</v>
      </c>
      <c r="F12" s="31"/>
      <c r="G12" s="74">
        <v>6</v>
      </c>
      <c r="H12" s="51">
        <f t="shared" si="0"/>
        <v>45617</v>
      </c>
      <c r="I12" s="25">
        <f t="shared" si="4"/>
        <v>1875149.9128083184</v>
      </c>
      <c r="J12" s="25">
        <f t="shared" si="5"/>
        <v>14011.27184950025</v>
      </c>
      <c r="K12" s="31">
        <f>'4 10 24 Forecast Usage by Sched'!R12</f>
        <v>178508804.89453885</v>
      </c>
    </row>
    <row r="13" spans="1:12" x14ac:dyDescent="0.25">
      <c r="A13" s="74">
        <v>7</v>
      </c>
      <c r="B13" s="51">
        <f t="shared" si="1"/>
        <v>45648</v>
      </c>
      <c r="C13" s="25">
        <f t="shared" si="2"/>
        <v>-1205010.5915480163</v>
      </c>
      <c r="D13" s="25">
        <f t="shared" si="3"/>
        <v>-9263.7265616827644</v>
      </c>
      <c r="E13" s="31">
        <f>'4 10 24 Forecast Usage by Sched'!Q13</f>
        <v>307050289.00418437</v>
      </c>
      <c r="F13" s="31"/>
      <c r="G13" s="74">
        <v>7</v>
      </c>
      <c r="H13" s="51">
        <f t="shared" si="0"/>
        <v>45648</v>
      </c>
      <c r="I13" s="25">
        <f t="shared" si="4"/>
        <v>1648292.5665546218</v>
      </c>
      <c r="J13" s="25">
        <f t="shared" si="5"/>
        <v>12434.818797834751</v>
      </c>
      <c r="K13" s="31">
        <f>'4 10 24 Forecast Usage by Sched'!R13</f>
        <v>182665774.84849709</v>
      </c>
    </row>
    <row r="14" spans="1:12" x14ac:dyDescent="0.25">
      <c r="A14" s="74">
        <v>8</v>
      </c>
      <c r="B14" s="51">
        <f t="shared" si="1"/>
        <v>45679</v>
      </c>
      <c r="C14" s="25">
        <f t="shared" si="2"/>
        <v>-981111.20764027047</v>
      </c>
      <c r="D14" s="25">
        <f t="shared" si="3"/>
        <v>-7715.1900739466219</v>
      </c>
      <c r="E14" s="31">
        <f>'4 10 24 Forecast Usage by Sched'!Q14</f>
        <v>317280238.33108574</v>
      </c>
      <c r="F14" s="31"/>
      <c r="G14" s="74">
        <v>8</v>
      </c>
      <c r="H14" s="51">
        <f t="shared" si="0"/>
        <v>45679</v>
      </c>
      <c r="I14" s="25">
        <f t="shared" si="4"/>
        <v>1412156.1045572502</v>
      </c>
      <c r="J14" s="25">
        <f t="shared" si="5"/>
        <v>10800.836082396061</v>
      </c>
      <c r="K14" s="31">
        <f>'4 10 24 Forecast Usage by Sched'!R14</f>
        <v>188501754.25936478</v>
      </c>
    </row>
    <row r="15" spans="1:12" x14ac:dyDescent="0.25">
      <c r="A15" s="74">
        <v>9</v>
      </c>
      <c r="B15" s="51">
        <f t="shared" si="1"/>
        <v>45710</v>
      </c>
      <c r="C15" s="25">
        <f t="shared" si="2"/>
        <v>-804886.91569742037</v>
      </c>
      <c r="D15" s="25">
        <f t="shared" si="3"/>
        <v>-6303.0865884867644</v>
      </c>
      <c r="E15" s="31">
        <f>'4 10 24 Forecast Usage by Sched'!Q15</f>
        <v>250037504.83744782</v>
      </c>
      <c r="F15" s="31"/>
      <c r="G15" s="74">
        <v>9</v>
      </c>
      <c r="H15" s="51">
        <f t="shared" si="0"/>
        <v>45710</v>
      </c>
      <c r="I15" s="25">
        <f t="shared" si="4"/>
        <v>1214376.0588846346</v>
      </c>
      <c r="J15" s="25">
        <f t="shared" si="5"/>
        <v>9269.4720320764045</v>
      </c>
      <c r="K15" s="31">
        <f>'4 10 24 Forecast Usage by Sched'!R15</f>
        <v>158053066.95014665</v>
      </c>
    </row>
    <row r="16" spans="1:12" x14ac:dyDescent="0.25">
      <c r="A16" s="74">
        <v>10</v>
      </c>
      <c r="B16" s="51">
        <f t="shared" si="1"/>
        <v>45741</v>
      </c>
      <c r="C16" s="25">
        <f t="shared" si="2"/>
        <v>-637889.43352546194</v>
      </c>
      <c r="D16" s="25">
        <f t="shared" si="3"/>
        <v>-5091.7994471224829</v>
      </c>
      <c r="E16" s="31">
        <f>'4 10 24 Forecast Usage by Sched'!Q16</f>
        <v>235738741.94394654</v>
      </c>
      <c r="F16" s="31"/>
      <c r="G16" s="74">
        <v>10</v>
      </c>
      <c r="H16" s="51">
        <f t="shared" si="0"/>
        <v>45741</v>
      </c>
      <c r="I16" s="25">
        <f t="shared" si="4"/>
        <v>1009650.0362578126</v>
      </c>
      <c r="J16" s="25">
        <f t="shared" si="5"/>
        <v>7848.9606845384287</v>
      </c>
      <c r="K16" s="31">
        <f>'4 10 24 Forecast Usage by Sched'!R16</f>
        <v>162270979.62699261</v>
      </c>
    </row>
    <row r="17" spans="1:11" x14ac:dyDescent="0.25">
      <c r="A17" s="74">
        <v>11</v>
      </c>
      <c r="B17" s="51">
        <f t="shared" si="1"/>
        <v>45772</v>
      </c>
      <c r="C17" s="25">
        <f t="shared" si="2"/>
        <v>-493633.04977996374</v>
      </c>
      <c r="D17" s="25">
        <f t="shared" si="3"/>
        <v>-3993.3324094233417</v>
      </c>
      <c r="E17" s="31">
        <f>'4 10 24 Forecast Usage by Sched'!Q17</f>
        <v>203081802.9519473</v>
      </c>
      <c r="F17" s="31"/>
      <c r="G17" s="74">
        <v>11</v>
      </c>
      <c r="H17" s="51">
        <f t="shared" si="0"/>
        <v>45772</v>
      </c>
      <c r="I17" s="25">
        <f t="shared" si="4"/>
        <v>817102.47794314369</v>
      </c>
      <c r="J17" s="25">
        <f t="shared" si="5"/>
        <v>6446.9156614939302</v>
      </c>
      <c r="K17" s="31">
        <f>'4 10 24 Forecast Usage by Sched'!R17</f>
        <v>151904178.6077579</v>
      </c>
    </row>
    <row r="18" spans="1:11" x14ac:dyDescent="0.25">
      <c r="A18" s="74">
        <v>12</v>
      </c>
      <c r="B18" s="51">
        <f t="shared" si="1"/>
        <v>45803</v>
      </c>
      <c r="C18" s="25">
        <f t="shared" si="2"/>
        <v>-365772.73487243673</v>
      </c>
      <c r="D18" s="25">
        <f t="shared" si="3"/>
        <v>-3032.9869917149281</v>
      </c>
      <c r="E18" s="31">
        <f>'4 10 24 Forecast Usage by Sched'!Q18</f>
        <v>179305893.01266021</v>
      </c>
      <c r="F18" s="31"/>
      <c r="G18" s="74">
        <v>12</v>
      </c>
      <c r="H18" s="51">
        <f t="shared" si="0"/>
        <v>45803</v>
      </c>
      <c r="I18" s="25">
        <f t="shared" si="4"/>
        <v>609212.85536279634</v>
      </c>
      <c r="J18" s="25">
        <f t="shared" si="5"/>
        <v>5033.7057642102927</v>
      </c>
      <c r="K18" s="31">
        <f>'4 10 24 Forecast Usage by Sched'!R18</f>
        <v>162536891.86607459</v>
      </c>
    </row>
    <row r="19" spans="1:11" x14ac:dyDescent="0.25">
      <c r="A19" s="74">
        <v>13</v>
      </c>
      <c r="B19" s="51">
        <f t="shared" si="1"/>
        <v>45834</v>
      </c>
      <c r="C19" s="25">
        <f t="shared" si="2"/>
        <v>-240284.85410168424</v>
      </c>
      <c r="D19" s="25">
        <f t="shared" si="3"/>
        <v>-2138.8787653228269</v>
      </c>
      <c r="E19" s="31">
        <f>'4 10 24 Forecast Usage by Sched'!Q19</f>
        <v>174831177.44667855</v>
      </c>
      <c r="F19" s="31"/>
      <c r="G19" s="74">
        <v>13</v>
      </c>
      <c r="H19" s="51">
        <f t="shared" si="0"/>
        <v>45834</v>
      </c>
      <c r="I19" s="25">
        <f t="shared" si="4"/>
        <v>379132.80990663823</v>
      </c>
      <c r="J19" s="25">
        <f t="shared" si="5"/>
        <v>3488.0374319245152</v>
      </c>
      <c r="K19" s="31">
        <f>'4 10 24 Forecast Usage by Sched'!R19</f>
        <v>178296246.47945237</v>
      </c>
    </row>
    <row r="20" spans="1:11" x14ac:dyDescent="0.25">
      <c r="A20" s="74">
        <v>14</v>
      </c>
      <c r="B20" s="51">
        <f t="shared" si="1"/>
        <v>45865</v>
      </c>
      <c r="C20" s="25">
        <f t="shared" si="2"/>
        <v>-94585.662848906941</v>
      </c>
      <c r="D20" s="25">
        <f t="shared" si="3"/>
        <v>-1181.8141557317938</v>
      </c>
      <c r="E20" s="31">
        <f>'4 10 24 Forecast Usage by Sched'!Q20</f>
        <v>201206856.72398505</v>
      </c>
      <c r="F20" s="31"/>
      <c r="G20" s="74">
        <v>14</v>
      </c>
      <c r="H20" s="51">
        <f t="shared" si="0"/>
        <v>45865</v>
      </c>
      <c r="I20" s="25">
        <f t="shared" si="4"/>
        <v>116046.9906954008</v>
      </c>
      <c r="J20" s="25">
        <f t="shared" si="5"/>
        <v>1747.5724746179496</v>
      </c>
      <c r="K20" s="31">
        <f>'4 10 24 Forecast Usage by Sched'!R20</f>
        <v>202162894.4166835</v>
      </c>
    </row>
    <row r="21" spans="1:11" x14ac:dyDescent="0.25">
      <c r="B21" s="26"/>
      <c r="C21" s="26"/>
      <c r="D21" s="26"/>
      <c r="E21" s="26"/>
      <c r="F21" s="26"/>
      <c r="G21" s="74"/>
      <c r="H21" s="26"/>
      <c r="I21" s="26"/>
      <c r="J21" s="26"/>
      <c r="K21" s="26"/>
    </row>
    <row r="22" spans="1:11" x14ac:dyDescent="0.25">
      <c r="A22" s="74">
        <v>15</v>
      </c>
      <c r="B22" s="26" t="s">
        <v>4</v>
      </c>
      <c r="C22" s="26"/>
      <c r="D22" s="25">
        <f>SUM(D9:D21)</f>
        <v>-86597.472576729007</v>
      </c>
      <c r="E22" s="32">
        <f>SUM(E9:E21)</f>
        <v>2655150579.1460719</v>
      </c>
      <c r="F22" s="32"/>
      <c r="G22" s="74">
        <v>15</v>
      </c>
      <c r="H22" s="26" t="s">
        <v>4</v>
      </c>
      <c r="I22" s="26"/>
      <c r="J22" s="25">
        <f>SUM(J9:J21)</f>
        <v>122298.64168106762</v>
      </c>
      <c r="K22" s="32">
        <f>SUM(K9:K21)</f>
        <v>2110866304.8118193</v>
      </c>
    </row>
    <row r="23" spans="1:11" x14ac:dyDescent="0.25">
      <c r="B23" s="26"/>
      <c r="C23" s="26"/>
      <c r="D23" s="25"/>
      <c r="E23" s="32"/>
      <c r="F23" s="32"/>
      <c r="G23" s="74"/>
      <c r="H23" s="26"/>
      <c r="I23" s="26"/>
      <c r="J23" s="25"/>
      <c r="K23" s="32"/>
    </row>
    <row r="24" spans="1:11" ht="28.15" customHeight="1" x14ac:dyDescent="0.25">
      <c r="A24" s="74">
        <v>16</v>
      </c>
      <c r="B24" s="175" t="s">
        <v>8</v>
      </c>
      <c r="C24" s="175"/>
      <c r="D24" s="27">
        <f>ROUND(D22/E22,5)</f>
        <v>-3.0000000000000001E-5</v>
      </c>
      <c r="E24" s="32"/>
      <c r="F24" s="32"/>
      <c r="G24" s="74">
        <v>16</v>
      </c>
      <c r="H24" s="175" t="s">
        <v>8</v>
      </c>
      <c r="I24" s="175"/>
      <c r="J24" s="27">
        <f>ROUND(J22/K22,5)</f>
        <v>6.0000000000000002E-5</v>
      </c>
      <c r="K24" s="32"/>
    </row>
    <row r="25" spans="1:11" ht="28.15" customHeight="1" x14ac:dyDescent="0.25">
      <c r="A25" s="74">
        <v>17</v>
      </c>
      <c r="B25" s="175" t="s">
        <v>9</v>
      </c>
      <c r="C25" s="175"/>
      <c r="D25" s="27">
        <f>C7</f>
        <v>-7.2999999999999996E-4</v>
      </c>
      <c r="E25" s="32"/>
      <c r="F25" s="32"/>
      <c r="G25" s="74">
        <v>17</v>
      </c>
      <c r="H25" s="175" t="s">
        <v>9</v>
      </c>
      <c r="I25" s="175"/>
      <c r="J25" s="27">
        <f>I7</f>
        <v>1.31E-3</v>
      </c>
      <c r="K25" s="32"/>
    </row>
    <row r="26" spans="1:11" ht="28.9" customHeight="1" x14ac:dyDescent="0.25">
      <c r="A26" s="74">
        <v>18</v>
      </c>
      <c r="B26" s="175" t="s">
        <v>10</v>
      </c>
      <c r="C26" s="175"/>
      <c r="D26" s="27">
        <f>D24+D25</f>
        <v>-7.5999999999999993E-4</v>
      </c>
      <c r="E26" s="33"/>
      <c r="F26" s="33"/>
      <c r="G26" s="74">
        <v>18</v>
      </c>
      <c r="H26" s="175" t="s">
        <v>10</v>
      </c>
      <c r="I26" s="175"/>
      <c r="J26" s="27">
        <f>J24+J25</f>
        <v>1.3699999999999999E-3</v>
      </c>
      <c r="K26" s="33"/>
    </row>
    <row r="27" spans="1:11" ht="28.9" customHeight="1" x14ac:dyDescent="0.25">
      <c r="A27" s="74">
        <v>19</v>
      </c>
      <c r="B27" s="177" t="s">
        <v>11</v>
      </c>
      <c r="C27" s="177"/>
      <c r="D27" s="28">
        <f>'Conversion Factor'!$E$114</f>
        <v>1.0459499999999999</v>
      </c>
      <c r="E27" s="32"/>
      <c r="F27" s="32"/>
      <c r="G27" s="74">
        <v>19</v>
      </c>
      <c r="H27" s="177" t="s">
        <v>11</v>
      </c>
      <c r="I27" s="177"/>
      <c r="J27" s="28">
        <f>D27</f>
        <v>1.0459499999999999</v>
      </c>
      <c r="K27" s="32"/>
    </row>
    <row r="28" spans="1:11" ht="30" customHeight="1" x14ac:dyDescent="0.25">
      <c r="A28" s="74">
        <v>20</v>
      </c>
      <c r="B28" s="26" t="s">
        <v>74</v>
      </c>
      <c r="C28" s="26"/>
      <c r="D28" s="27">
        <f>ROUND(D26*D27,5)</f>
        <v>-7.9000000000000001E-4</v>
      </c>
      <c r="E28" s="32"/>
      <c r="F28" s="32"/>
      <c r="G28" s="74">
        <v>20</v>
      </c>
      <c r="H28" s="26" t="s">
        <v>74</v>
      </c>
      <c r="I28" s="26"/>
      <c r="J28" s="27">
        <f>ROUND(J26*J27,5)</f>
        <v>1.4300000000000001E-3</v>
      </c>
      <c r="K28" s="32"/>
    </row>
    <row r="29" spans="1:11" ht="27.6" customHeight="1" x14ac:dyDescent="0.25">
      <c r="A29" s="74">
        <v>21</v>
      </c>
      <c r="B29" s="26" t="s">
        <v>67</v>
      </c>
      <c r="C29" s="26"/>
      <c r="D29" s="27">
        <f>'Earnings Test and 3% Test'!D55</f>
        <v>0</v>
      </c>
      <c r="E29" s="32"/>
      <c r="F29" s="32"/>
      <c r="G29" s="74">
        <v>21</v>
      </c>
      <c r="H29" s="26" t="s">
        <v>67</v>
      </c>
      <c r="I29" s="26"/>
      <c r="J29" s="27">
        <f>'Earnings Test and 3% Test'!E55</f>
        <v>0</v>
      </c>
      <c r="K29" s="32"/>
    </row>
    <row r="30" spans="1:11" ht="27.6" customHeight="1" x14ac:dyDescent="0.25">
      <c r="A30" s="74">
        <v>22</v>
      </c>
      <c r="B30" s="26" t="s">
        <v>68</v>
      </c>
      <c r="C30" s="26"/>
      <c r="D30" s="27">
        <f>D28+D29</f>
        <v>-7.9000000000000001E-4</v>
      </c>
      <c r="E30" s="32" t="str">
        <f>IF(D30&lt;0,"Rebate Rate","Surcharge Rate")</f>
        <v>Rebate Rate</v>
      </c>
      <c r="F30" s="32"/>
      <c r="G30" s="74">
        <v>22</v>
      </c>
      <c r="H30" s="26" t="s">
        <v>68</v>
      </c>
      <c r="I30" s="26"/>
      <c r="J30" s="27">
        <f>J28+J29</f>
        <v>1.4300000000000001E-3</v>
      </c>
      <c r="K30" s="32" t="str">
        <f>IF(J30&lt;0,"Rebate Rate","Surcharge Rate")</f>
        <v>Surcharge Rate</v>
      </c>
    </row>
    <row r="31" spans="1:11" ht="28.15" customHeight="1" x14ac:dyDescent="0.25">
      <c r="A31" s="74">
        <v>23</v>
      </c>
      <c r="B31" s="26"/>
      <c r="C31" s="29" t="s">
        <v>71</v>
      </c>
      <c r="D31" s="27">
        <f>ROUND(D30*'Conversion Factor'!$E$108,5)</f>
        <v>-7.6000000000000004E-4</v>
      </c>
      <c r="E31" s="32" t="s">
        <v>12</v>
      </c>
      <c r="F31" s="32"/>
      <c r="G31" s="74">
        <v>23</v>
      </c>
      <c r="H31" s="26"/>
      <c r="I31" s="29" t="s">
        <v>71</v>
      </c>
      <c r="J31" s="27">
        <f>ROUND(J30*'Conversion Factor'!$E$108,5)</f>
        <v>1.3699999999999999E-3</v>
      </c>
      <c r="K31" s="32" t="s">
        <v>12</v>
      </c>
    </row>
    <row r="32" spans="1:11" ht="29.45" customHeight="1" x14ac:dyDescent="0.25">
      <c r="A32" s="74">
        <v>24</v>
      </c>
      <c r="B32" s="26" t="s">
        <v>73</v>
      </c>
      <c r="C32" s="26"/>
      <c r="D32" s="25">
        <f>IF(D29=0,0,C68)</f>
        <v>0</v>
      </c>
      <c r="E32" s="163"/>
      <c r="F32" s="32"/>
      <c r="G32" s="74">
        <v>24</v>
      </c>
      <c r="H32" s="26" t="s">
        <v>73</v>
      </c>
      <c r="I32" s="26"/>
      <c r="J32" s="25">
        <f>IF(J29=0,0,I68)</f>
        <v>0</v>
      </c>
      <c r="K32" s="32"/>
    </row>
    <row r="33" spans="1:12" ht="18" customHeight="1" x14ac:dyDescent="0.25">
      <c r="B33" s="26"/>
      <c r="C33" s="26"/>
      <c r="D33" s="34"/>
      <c r="E33" s="26"/>
      <c r="F33" s="26"/>
      <c r="G33" s="26"/>
      <c r="H33" s="177"/>
      <c r="I33" s="177"/>
      <c r="J33" s="34"/>
      <c r="K33" s="26"/>
    </row>
    <row r="34" spans="1:12" ht="16.149999999999999" customHeight="1" x14ac:dyDescent="0.25">
      <c r="A34" s="52" t="s">
        <v>69</v>
      </c>
      <c r="B34" s="52"/>
      <c r="C34" s="26"/>
      <c r="D34" s="34"/>
      <c r="E34" s="26"/>
      <c r="F34" s="26"/>
      <c r="G34" s="52" t="s">
        <v>69</v>
      </c>
      <c r="H34" s="52"/>
      <c r="I34" s="26"/>
      <c r="J34" s="34"/>
      <c r="K34" s="26"/>
    </row>
    <row r="35" spans="1:12" ht="43.15" customHeight="1" x14ac:dyDescent="0.25">
      <c r="A35" s="82" t="s">
        <v>98</v>
      </c>
      <c r="B35" s="173" t="str">
        <f>"Deferral balance at the end of the month, Rate of "&amp;TEXT(D25,"$0.00000")&amp;" to recover the July 2024 balance of "&amp;TEXT(C8,"$000,000")&amp;" over 12 months.  See page 2 and 5 of Attachment A for July 2024 balance calculation."</f>
        <v>Deferral balance at the end of the month, Rate of -$0.00073 to recover the July 2024 balance of -$1,946,248 over 12 months.  See page 2 and 5 of Attachment A for July 2024 balance calculation.</v>
      </c>
      <c r="C35" s="173"/>
      <c r="D35" s="173"/>
      <c r="E35" s="173"/>
      <c r="F35" s="26"/>
      <c r="G35" s="82" t="s">
        <v>98</v>
      </c>
      <c r="H35" s="173" t="str">
        <f>"Deferral balance at the end of the month, Rate of "&amp;TEXT(J25,"$0.00000")&amp;" to recover the July 2024 balance of "&amp;TEXT(I8,"$000,000")&amp;" over 12 months.  See page 4 and 5 of Attachment A for July 2024 balance calculation."</f>
        <v>Deferral balance at the end of the month, Rate of $0.00131 to recover the July 2024 balance of $2,758,983 over 12 months.  See page 4 and 5 of Attachment A for July 2024 balance calculation.</v>
      </c>
      <c r="I35" s="173"/>
      <c r="J35" s="173"/>
      <c r="K35" s="173"/>
    </row>
    <row r="36" spans="1:12" ht="28.9" customHeight="1" x14ac:dyDescent="0.25">
      <c r="A36" s="82" t="s">
        <v>99</v>
      </c>
      <c r="B36" s="174" t="s">
        <v>100</v>
      </c>
      <c r="C36" s="174"/>
      <c r="D36" s="174"/>
      <c r="E36" s="174"/>
      <c r="F36" s="26"/>
      <c r="G36" s="82" t="s">
        <v>99</v>
      </c>
      <c r="H36" s="174" t="s">
        <v>100</v>
      </c>
      <c r="I36" s="174"/>
      <c r="J36" s="174"/>
      <c r="K36" s="174"/>
    </row>
    <row r="37" spans="1:12" ht="15.6" customHeight="1" x14ac:dyDescent="0.25">
      <c r="B37" s="56" t="s">
        <v>72</v>
      </c>
      <c r="C37" s="57"/>
      <c r="D37" s="57"/>
      <c r="E37" s="57"/>
      <c r="F37" s="26"/>
      <c r="H37" s="56" t="s">
        <v>72</v>
      </c>
      <c r="I37" s="79"/>
      <c r="J37" s="79"/>
      <c r="K37" s="79"/>
    </row>
    <row r="38" spans="1:12" ht="18" customHeight="1" x14ac:dyDescent="0.25">
      <c r="A38" s="97" t="s">
        <v>101</v>
      </c>
      <c r="B38" s="170" t="s">
        <v>191</v>
      </c>
      <c r="C38" s="170"/>
      <c r="D38" s="170"/>
      <c r="E38" s="170"/>
      <c r="F38" s="26"/>
      <c r="G38" s="97" t="s">
        <v>101</v>
      </c>
      <c r="H38" s="170" t="s">
        <v>191</v>
      </c>
      <c r="I38" s="170"/>
      <c r="J38" s="170"/>
      <c r="K38" s="170"/>
    </row>
    <row r="39" spans="1:12" ht="18" customHeight="1" x14ac:dyDescent="0.25">
      <c r="A39" s="97" t="s">
        <v>102</v>
      </c>
      <c r="B39" s="171" t="s">
        <v>117</v>
      </c>
      <c r="C39" s="171"/>
      <c r="D39" s="171"/>
      <c r="E39" s="171"/>
      <c r="F39" s="26"/>
      <c r="G39" s="97" t="s">
        <v>102</v>
      </c>
      <c r="H39" s="171" t="s">
        <v>117</v>
      </c>
      <c r="I39" s="171"/>
      <c r="J39" s="171"/>
      <c r="K39" s="171"/>
    </row>
    <row r="40" spans="1:12" ht="18" customHeight="1" x14ac:dyDescent="0.25">
      <c r="A40" s="97" t="s">
        <v>103</v>
      </c>
      <c r="B40" s="171" t="s">
        <v>104</v>
      </c>
      <c r="C40" s="171"/>
      <c r="D40" s="171"/>
      <c r="E40" s="171"/>
      <c r="F40" s="26"/>
      <c r="G40" s="97" t="s">
        <v>103</v>
      </c>
      <c r="H40" s="171" t="s">
        <v>118</v>
      </c>
      <c r="I40" s="171"/>
      <c r="J40" s="171"/>
      <c r="K40" s="171"/>
    </row>
    <row r="41" spans="1:12" ht="14.45" customHeight="1" x14ac:dyDescent="0.25">
      <c r="B41" s="60"/>
      <c r="C41" s="60"/>
      <c r="D41" s="34"/>
      <c r="E41" s="26"/>
      <c r="F41" s="26"/>
      <c r="G41" s="26"/>
      <c r="H41" s="60"/>
      <c r="I41" s="60"/>
      <c r="J41" s="34"/>
      <c r="K41" s="26"/>
    </row>
    <row r="42" spans="1:12" ht="27.6" customHeight="1" x14ac:dyDescent="0.3">
      <c r="B42" s="178" t="str">
        <f>B5</f>
        <v>Residential Electric</v>
      </c>
      <c r="C42" s="178"/>
      <c r="D42" s="178"/>
      <c r="E42" s="178"/>
      <c r="F42" s="58"/>
      <c r="G42" s="26"/>
      <c r="H42" s="178" t="str">
        <f>H5</f>
        <v>Non-Residential Electric</v>
      </c>
      <c r="I42" s="178"/>
      <c r="J42" s="178"/>
      <c r="K42" s="178"/>
    </row>
    <row r="43" spans="1:12" x14ac:dyDescent="0.25">
      <c r="B43" s="176" t="s">
        <v>193</v>
      </c>
      <c r="C43" s="176"/>
      <c r="D43" s="176"/>
      <c r="E43" s="176"/>
      <c r="F43" s="26"/>
      <c r="G43" s="26"/>
      <c r="H43" s="176" t="str">
        <f>B43</f>
        <v>Calculate Estimated Monthly Balances through July 2025</v>
      </c>
      <c r="I43" s="176"/>
      <c r="J43" s="176"/>
      <c r="K43" s="176"/>
    </row>
    <row r="44" spans="1:12" ht="27.6" customHeight="1" x14ac:dyDescent="0.25">
      <c r="A44" s="75" t="s">
        <v>91</v>
      </c>
      <c r="B44" s="26"/>
      <c r="C44" s="58" t="s">
        <v>7</v>
      </c>
      <c r="D44" s="58" t="s">
        <v>3</v>
      </c>
      <c r="E44" s="59" t="s">
        <v>70</v>
      </c>
      <c r="F44" s="120" t="s">
        <v>116</v>
      </c>
      <c r="G44" s="75" t="s">
        <v>91</v>
      </c>
      <c r="H44" s="26"/>
      <c r="I44" s="58" t="s">
        <v>7</v>
      </c>
      <c r="J44" s="58" t="s">
        <v>3</v>
      </c>
      <c r="K44" s="61" t="s">
        <v>70</v>
      </c>
      <c r="L44" s="120" t="s">
        <v>116</v>
      </c>
    </row>
    <row r="45" spans="1:12" x14ac:dyDescent="0.25">
      <c r="B45" s="26"/>
      <c r="C45" s="26"/>
      <c r="D45" s="55"/>
      <c r="E45" s="26"/>
      <c r="F45" s="26"/>
      <c r="G45" s="26"/>
      <c r="H45" s="26"/>
      <c r="I45" s="26"/>
      <c r="J45" s="55"/>
      <c r="K45" s="26"/>
    </row>
    <row r="46" spans="1:12" x14ac:dyDescent="0.25">
      <c r="A46" s="76">
        <v>1</v>
      </c>
      <c r="B46" s="156">
        <v>45261</v>
      </c>
      <c r="C46" s="143">
        <v>-2011655</v>
      </c>
      <c r="D46" s="26"/>
      <c r="E46" s="26"/>
      <c r="F46" s="26"/>
      <c r="G46" s="76">
        <v>1</v>
      </c>
      <c r="H46" s="155">
        <f>B46</f>
        <v>45261</v>
      </c>
      <c r="I46" s="143">
        <v>2721987</v>
      </c>
      <c r="J46" s="26"/>
      <c r="K46" s="26"/>
    </row>
    <row r="47" spans="1:12" x14ac:dyDescent="0.25">
      <c r="A47" s="76">
        <v>2</v>
      </c>
      <c r="B47" s="51" t="s">
        <v>75</v>
      </c>
      <c r="C47" s="25">
        <f>-'Earnings Test and 3% Test'!E34</f>
        <v>0</v>
      </c>
      <c r="D47" s="26"/>
      <c r="E47" s="26"/>
      <c r="F47" s="26"/>
      <c r="G47" s="76">
        <v>2</v>
      </c>
      <c r="H47" s="51" t="s">
        <v>75</v>
      </c>
      <c r="I47" s="25">
        <f>-'Earnings Test and 3% Test'!E35</f>
        <v>0</v>
      </c>
      <c r="J47" s="26"/>
      <c r="K47" s="26"/>
    </row>
    <row r="48" spans="1:12" x14ac:dyDescent="0.25">
      <c r="A48" s="76">
        <v>3</v>
      </c>
      <c r="B48" s="51" t="s">
        <v>76</v>
      </c>
      <c r="C48" s="25">
        <f>C46+C47</f>
        <v>-2011655</v>
      </c>
      <c r="D48" s="26"/>
      <c r="E48" s="26"/>
      <c r="F48" s="26"/>
      <c r="G48" s="76">
        <v>3</v>
      </c>
      <c r="H48" s="51" t="s">
        <v>76</v>
      </c>
      <c r="I48" s="25">
        <f>I46+I47</f>
        <v>2721987</v>
      </c>
      <c r="J48" s="26"/>
      <c r="K48" s="26"/>
    </row>
    <row r="49" spans="1:13" x14ac:dyDescent="0.25">
      <c r="A49" s="76">
        <v>4</v>
      </c>
      <c r="B49" s="141">
        <v>45292</v>
      </c>
      <c r="C49" s="25">
        <f>C48+D49-E49</f>
        <v>-2025904.2229166667</v>
      </c>
      <c r="D49" s="25">
        <f>(C48-E49/2)*F49/12</f>
        <v>-14249.222916666668</v>
      </c>
      <c r="E49" s="26"/>
      <c r="F49" s="34">
        <v>8.5000000000000006E-2</v>
      </c>
      <c r="G49" s="76">
        <v>4</v>
      </c>
      <c r="H49" s="51">
        <f>B49</f>
        <v>45292</v>
      </c>
      <c r="I49" s="25">
        <f>I48+J49-K49</f>
        <v>2741267.74125</v>
      </c>
      <c r="J49" s="25">
        <f>(I48-K49/2)*L49/12</f>
        <v>19280.741250000003</v>
      </c>
      <c r="K49" s="26"/>
      <c r="L49" s="36">
        <f>F49</f>
        <v>8.5000000000000006E-2</v>
      </c>
    </row>
    <row r="50" spans="1:13" x14ac:dyDescent="0.25">
      <c r="A50" s="76">
        <v>5</v>
      </c>
      <c r="B50" s="51">
        <f>B49+31</f>
        <v>45323</v>
      </c>
      <c r="C50" s="25">
        <f t="shared" ref="C50:C55" si="6">C49+D50-E50</f>
        <v>-2040254.3778289931</v>
      </c>
      <c r="D50" s="25">
        <f t="shared" ref="D50:D55" si="7">(C49-E50/2)*F50/12</f>
        <v>-14350.15491232639</v>
      </c>
      <c r="E50" s="26"/>
      <c r="F50" s="121">
        <f>F49</f>
        <v>8.5000000000000006E-2</v>
      </c>
      <c r="G50" s="76">
        <v>5</v>
      </c>
      <c r="H50" s="51">
        <f t="shared" ref="H50:H68" si="8">B50</f>
        <v>45323</v>
      </c>
      <c r="I50" s="25">
        <f t="shared" ref="I50:I55" si="9">I49+J50-K50</f>
        <v>2760685.0544171873</v>
      </c>
      <c r="J50" s="25">
        <f t="shared" ref="J50:J55" si="10">(I49-K50/2)*L50/12</f>
        <v>19417.313167187502</v>
      </c>
      <c r="K50" s="26"/>
      <c r="L50" s="36">
        <f t="shared" ref="L50:L68" si="11">F50</f>
        <v>8.5000000000000006E-2</v>
      </c>
    </row>
    <row r="51" spans="1:13" x14ac:dyDescent="0.25">
      <c r="A51" s="76">
        <v>6</v>
      </c>
      <c r="B51" s="51">
        <f t="shared" ref="B51:B55" si="12">B50+31</f>
        <v>45354</v>
      </c>
      <c r="C51" s="25">
        <f t="shared" si="6"/>
        <v>-2054706.1796719485</v>
      </c>
      <c r="D51" s="25">
        <f t="shared" si="7"/>
        <v>-14451.801842955369</v>
      </c>
      <c r="E51" s="26"/>
      <c r="F51" s="121">
        <f t="shared" ref="F51:F54" si="13">F50</f>
        <v>8.5000000000000006E-2</v>
      </c>
      <c r="G51" s="76">
        <v>6</v>
      </c>
      <c r="H51" s="51">
        <f t="shared" si="8"/>
        <v>45354</v>
      </c>
      <c r="I51" s="25">
        <f t="shared" si="9"/>
        <v>2780239.906885976</v>
      </c>
      <c r="J51" s="25">
        <f t="shared" si="10"/>
        <v>19554.852468788413</v>
      </c>
      <c r="K51" s="26"/>
      <c r="L51" s="36">
        <f t="shared" si="11"/>
        <v>8.5000000000000006E-2</v>
      </c>
    </row>
    <row r="52" spans="1:13" x14ac:dyDescent="0.25">
      <c r="A52" s="76">
        <v>7</v>
      </c>
      <c r="B52" s="51">
        <f t="shared" si="12"/>
        <v>45385</v>
      </c>
      <c r="C52" s="25">
        <f t="shared" si="6"/>
        <v>-2069260.3484446248</v>
      </c>
      <c r="D52" s="25">
        <f t="shared" si="7"/>
        <v>-14554.168772676303</v>
      </c>
      <c r="E52" s="26"/>
      <c r="F52" s="121">
        <v>8.5000000000000006E-2</v>
      </c>
      <c r="G52" s="76">
        <v>7</v>
      </c>
      <c r="H52" s="51">
        <f t="shared" si="8"/>
        <v>45385</v>
      </c>
      <c r="I52" s="25">
        <f t="shared" si="9"/>
        <v>2799933.2728930851</v>
      </c>
      <c r="J52" s="25">
        <f t="shared" si="10"/>
        <v>19693.366007108998</v>
      </c>
      <c r="K52" s="26"/>
      <c r="L52" s="36">
        <f t="shared" si="11"/>
        <v>8.5000000000000006E-2</v>
      </c>
      <c r="M52" s="65"/>
    </row>
    <row r="53" spans="1:13" x14ac:dyDescent="0.25">
      <c r="A53" s="76">
        <v>8</v>
      </c>
      <c r="B53" s="51">
        <f t="shared" si="12"/>
        <v>45416</v>
      </c>
      <c r="C53" s="25">
        <f t="shared" si="6"/>
        <v>-2083917.6092461075</v>
      </c>
      <c r="D53" s="25">
        <f t="shared" si="7"/>
        <v>-14657.260801482758</v>
      </c>
      <c r="E53" s="26"/>
      <c r="F53" s="121">
        <f t="shared" si="13"/>
        <v>8.5000000000000006E-2</v>
      </c>
      <c r="G53" s="76">
        <v>8</v>
      </c>
      <c r="H53" s="51">
        <f t="shared" si="8"/>
        <v>45416</v>
      </c>
      <c r="I53" s="25">
        <f t="shared" si="9"/>
        <v>2819766.1335760779</v>
      </c>
      <c r="J53" s="25">
        <f t="shared" si="10"/>
        <v>19832.86068299269</v>
      </c>
      <c r="K53" s="26"/>
      <c r="L53" s="36">
        <f t="shared" si="11"/>
        <v>8.5000000000000006E-2</v>
      </c>
    </row>
    <row r="54" spans="1:13" x14ac:dyDescent="0.25">
      <c r="A54" s="76">
        <v>9</v>
      </c>
      <c r="B54" s="51">
        <f t="shared" si="12"/>
        <v>45447</v>
      </c>
      <c r="C54" s="25">
        <f t="shared" si="6"/>
        <v>-2098678.6923116008</v>
      </c>
      <c r="D54" s="25">
        <f t="shared" si="7"/>
        <v>-14761.083065493263</v>
      </c>
      <c r="E54" s="26"/>
      <c r="F54" s="121">
        <f t="shared" si="13"/>
        <v>8.5000000000000006E-2</v>
      </c>
      <c r="G54" s="76">
        <v>9</v>
      </c>
      <c r="H54" s="51">
        <f t="shared" si="8"/>
        <v>45447</v>
      </c>
      <c r="I54" s="25">
        <f t="shared" si="9"/>
        <v>2839739.4770222418</v>
      </c>
      <c r="J54" s="25">
        <f t="shared" si="10"/>
        <v>19973.343446163886</v>
      </c>
      <c r="K54" s="26"/>
      <c r="L54" s="36">
        <f t="shared" si="11"/>
        <v>8.5000000000000006E-2</v>
      </c>
    </row>
    <row r="55" spans="1:13" x14ac:dyDescent="0.25">
      <c r="A55" s="76">
        <v>10</v>
      </c>
      <c r="B55" s="53">
        <f t="shared" si="12"/>
        <v>45478</v>
      </c>
      <c r="C55" s="54">
        <f t="shared" si="6"/>
        <v>-2113544.3330488079</v>
      </c>
      <c r="D55" s="25">
        <f t="shared" si="7"/>
        <v>-14865.640737207172</v>
      </c>
      <c r="E55" s="26"/>
      <c r="F55" s="121">
        <v>8.5000000000000006E-2</v>
      </c>
      <c r="G55" s="76">
        <v>10</v>
      </c>
      <c r="H55" s="53">
        <f t="shared" si="8"/>
        <v>45478</v>
      </c>
      <c r="I55" s="54">
        <f t="shared" si="9"/>
        <v>2859854.2983178161</v>
      </c>
      <c r="J55" s="25">
        <f t="shared" si="10"/>
        <v>20114.821295574216</v>
      </c>
      <c r="K55" s="26"/>
      <c r="L55" s="36">
        <f t="shared" si="11"/>
        <v>8.5000000000000006E-2</v>
      </c>
    </row>
    <row r="56" spans="1:13" x14ac:dyDescent="0.25">
      <c r="A56" s="84">
        <v>14</v>
      </c>
      <c r="B56" s="96" t="s">
        <v>167</v>
      </c>
      <c r="C56" s="54">
        <f>'Prior Year Amortization'!F20</f>
        <v>167296.21999999811</v>
      </c>
      <c r="D56" s="25"/>
      <c r="E56" s="26"/>
      <c r="F56" s="26"/>
      <c r="G56" s="84">
        <v>14</v>
      </c>
      <c r="H56" s="96" t="str">
        <f t="shared" si="8"/>
        <v xml:space="preserve">Prior Year Carryover Balance </v>
      </c>
      <c r="I56" s="54">
        <f>'Prior Year Amortization'!F37</f>
        <v>-100871.08999999988</v>
      </c>
      <c r="J56" s="25"/>
      <c r="K56" s="26"/>
    </row>
    <row r="57" spans="1:13" x14ac:dyDescent="0.25">
      <c r="A57" s="84">
        <v>15</v>
      </c>
      <c r="B57" s="51">
        <f>B55+31</f>
        <v>45509</v>
      </c>
      <c r="C57" s="25">
        <f>C55+D57+C56-E57</f>
        <v>-1802721.8004386637</v>
      </c>
      <c r="D57" s="25">
        <f>(C55+C56-E57/2)*F57/12</f>
        <v>-13230.742895845351</v>
      </c>
      <c r="E57" s="25">
        <f>E9*D$31</f>
        <v>-156757.05550599136</v>
      </c>
      <c r="F57" s="121">
        <f>F55</f>
        <v>8.5000000000000006E-2</v>
      </c>
      <c r="G57" s="84">
        <v>15</v>
      </c>
      <c r="H57" s="51">
        <f t="shared" si="8"/>
        <v>45509</v>
      </c>
      <c r="I57" s="25">
        <f>I55+J57+I56-K57</f>
        <v>2506798.1510762121</v>
      </c>
      <c r="J57" s="25">
        <f>(I55+I56-K57/2)*L57/12</f>
        <v>18583.824602387067</v>
      </c>
      <c r="K57" s="25">
        <f t="shared" ref="K57:K68" si="14">K9*J$31</f>
        <v>270768.88184399094</v>
      </c>
      <c r="L57" s="36">
        <f t="shared" si="11"/>
        <v>8.5000000000000006E-2</v>
      </c>
    </row>
    <row r="58" spans="1:13" x14ac:dyDescent="0.25">
      <c r="A58" s="84">
        <v>16</v>
      </c>
      <c r="B58" s="51">
        <f t="shared" ref="B58:B67" si="15">B57+31</f>
        <v>45540</v>
      </c>
      <c r="C58" s="25">
        <f t="shared" ref="C58:C67" si="16">C57+D58-E58</f>
        <v>-1693732.4447408484</v>
      </c>
      <c r="D58" s="25">
        <f t="shared" ref="D58:D68" si="17">(C57-E58/2)*F58/12</f>
        <v>-12339.572798017793</v>
      </c>
      <c r="E58" s="25">
        <f t="shared" ref="E58:E68" si="18">E10*D$31</f>
        <v>-121328.92849583316</v>
      </c>
      <c r="F58" s="121">
        <f t="shared" ref="F58:F68" si="19">F57</f>
        <v>8.5000000000000006E-2</v>
      </c>
      <c r="G58" s="84">
        <v>16</v>
      </c>
      <c r="H58" s="51">
        <f t="shared" si="8"/>
        <v>45540</v>
      </c>
      <c r="I58" s="25">
        <f t="shared" ref="I58:I68" si="20">I57+J58-K58</f>
        <v>2288233.5594905922</v>
      </c>
      <c r="J58" s="25">
        <f>(I57-K58/2)*L58/12</f>
        <v>16922.470226206286</v>
      </c>
      <c r="K58" s="25">
        <f t="shared" si="14"/>
        <v>235487.06181182637</v>
      </c>
      <c r="L58" s="36">
        <f t="shared" si="11"/>
        <v>8.5000000000000006E-2</v>
      </c>
    </row>
    <row r="59" spans="1:13" ht="14.45" customHeight="1" x14ac:dyDescent="0.25">
      <c r="A59" s="84">
        <v>17</v>
      </c>
      <c r="B59" s="51">
        <f t="shared" si="15"/>
        <v>45571</v>
      </c>
      <c r="C59" s="25">
        <f t="shared" si="16"/>
        <v>-1569692.9932370335</v>
      </c>
      <c r="D59" s="25">
        <f t="shared" si="17"/>
        <v>-11517.175097700643</v>
      </c>
      <c r="E59" s="25">
        <f t="shared" si="18"/>
        <v>-135556.62660151557</v>
      </c>
      <c r="F59" s="121">
        <f t="shared" si="19"/>
        <v>8.5000000000000006E-2</v>
      </c>
      <c r="G59" s="84">
        <v>17</v>
      </c>
      <c r="H59" s="51">
        <f t="shared" si="8"/>
        <v>45571</v>
      </c>
      <c r="I59" s="25">
        <f t="shared" si="20"/>
        <v>2061868.7162359324</v>
      </c>
      <c r="J59" s="25">
        <f t="shared" ref="J59:J68" si="21">(I58-K59/2)*L59/12</f>
        <v>15352.239710888709</v>
      </c>
      <c r="K59" s="25">
        <f t="shared" si="14"/>
        <v>241717.08296554862</v>
      </c>
      <c r="L59" s="36">
        <f t="shared" si="11"/>
        <v>8.5000000000000006E-2</v>
      </c>
    </row>
    <row r="60" spans="1:13" x14ac:dyDescent="0.25">
      <c r="A60" s="84">
        <v>18</v>
      </c>
      <c r="B60" s="51">
        <f t="shared" si="15"/>
        <v>45602</v>
      </c>
      <c r="C60" s="25">
        <f t="shared" si="16"/>
        <v>-1395972.1962172224</v>
      </c>
      <c r="D60" s="25">
        <f t="shared" si="17"/>
        <v>-10466.329296392434</v>
      </c>
      <c r="E60" s="25">
        <f t="shared" si="18"/>
        <v>-184187.12631620344</v>
      </c>
      <c r="F60" s="121">
        <f t="shared" si="19"/>
        <v>8.5000000000000006E-2</v>
      </c>
      <c r="G60" s="84">
        <v>18</v>
      </c>
      <c r="H60" s="51">
        <f t="shared" si="8"/>
        <v>45602</v>
      </c>
      <c r="I60" s="25">
        <f t="shared" si="20"/>
        <v>1831050.4173400034</v>
      </c>
      <c r="J60" s="25">
        <f t="shared" si="21"/>
        <v>13738.763809589145</v>
      </c>
      <c r="K60" s="25">
        <f t="shared" si="14"/>
        <v>244557.06270551821</v>
      </c>
      <c r="L60" s="36">
        <f t="shared" si="11"/>
        <v>8.5000000000000006E-2</v>
      </c>
    </row>
    <row r="61" spans="1:13" x14ac:dyDescent="0.25">
      <c r="A61" s="84">
        <v>19</v>
      </c>
      <c r="B61" s="51">
        <f t="shared" si="15"/>
        <v>45633</v>
      </c>
      <c r="C61" s="25">
        <f>C60+D61-E61</f>
        <v>-1171675.6359360111</v>
      </c>
      <c r="D61" s="25">
        <f t="shared" si="17"/>
        <v>-9061.659361969063</v>
      </c>
      <c r="E61" s="25">
        <f t="shared" si="18"/>
        <v>-233358.21964318014</v>
      </c>
      <c r="F61" s="121">
        <f t="shared" si="19"/>
        <v>8.5000000000000006E-2</v>
      </c>
      <c r="G61" s="84">
        <v>19</v>
      </c>
      <c r="H61" s="51">
        <f t="shared" si="8"/>
        <v>45633</v>
      </c>
      <c r="I61" s="25">
        <f t="shared" si="20"/>
        <v>1592881.9366920081</v>
      </c>
      <c r="J61" s="25">
        <f t="shared" si="21"/>
        <v>12083.630894445547</v>
      </c>
      <c r="K61" s="25">
        <f t="shared" si="14"/>
        <v>250252.11154244101</v>
      </c>
      <c r="L61" s="36">
        <f t="shared" si="11"/>
        <v>8.5000000000000006E-2</v>
      </c>
    </row>
    <row r="62" spans="1:13" x14ac:dyDescent="0.25">
      <c r="A62" s="84">
        <v>20</v>
      </c>
      <c r="B62" s="51">
        <f t="shared" si="15"/>
        <v>45664</v>
      </c>
      <c r="C62" s="25">
        <f>C61+D62-E62</f>
        <v>-937988.01125075831</v>
      </c>
      <c r="D62" s="25">
        <f t="shared" si="17"/>
        <v>-7445.3564463722396</v>
      </c>
      <c r="E62" s="25">
        <f t="shared" si="18"/>
        <v>-241132.98113162519</v>
      </c>
      <c r="F62" s="121">
        <f t="shared" si="19"/>
        <v>8.5000000000000006E-2</v>
      </c>
      <c r="G62" s="84">
        <v>20</v>
      </c>
      <c r="H62" s="51">
        <f t="shared" si="8"/>
        <v>45664</v>
      </c>
      <c r="I62" s="25">
        <f t="shared" si="20"/>
        <v>1345002.8208547672</v>
      </c>
      <c r="J62" s="25">
        <f t="shared" si="21"/>
        <v>10368.287498089099</v>
      </c>
      <c r="K62" s="25">
        <f t="shared" si="14"/>
        <v>258247.40333532973</v>
      </c>
      <c r="L62" s="36">
        <f t="shared" si="11"/>
        <v>8.5000000000000006E-2</v>
      </c>
    </row>
    <row r="63" spans="1:13" x14ac:dyDescent="0.25">
      <c r="A63" s="84">
        <v>21</v>
      </c>
      <c r="B63" s="51">
        <f t="shared" si="15"/>
        <v>45695</v>
      </c>
      <c r="C63" s="25">
        <f t="shared" si="16"/>
        <v>-753930.57170347008</v>
      </c>
      <c r="D63" s="25">
        <f t="shared" si="17"/>
        <v>-5971.0641291720749</v>
      </c>
      <c r="E63" s="25">
        <f t="shared" si="18"/>
        <v>-190028.50367646036</v>
      </c>
      <c r="F63" s="121">
        <f t="shared" si="19"/>
        <v>8.5000000000000006E-2</v>
      </c>
      <c r="G63" s="84">
        <v>21</v>
      </c>
      <c r="H63" s="51">
        <f t="shared" si="8"/>
        <v>45695</v>
      </c>
      <c r="I63" s="25">
        <f t="shared" si="20"/>
        <v>1137230.3357955234</v>
      </c>
      <c r="J63" s="25">
        <f t="shared" si="21"/>
        <v>8760.2166624569109</v>
      </c>
      <c r="K63" s="25">
        <f t="shared" si="14"/>
        <v>216532.7017217009</v>
      </c>
      <c r="L63" s="36">
        <f t="shared" si="11"/>
        <v>8.5000000000000006E-2</v>
      </c>
    </row>
    <row r="64" spans="1:13" x14ac:dyDescent="0.25">
      <c r="A64" s="84">
        <v>22</v>
      </c>
      <c r="B64" s="51">
        <f t="shared" si="15"/>
        <v>45726</v>
      </c>
      <c r="C64" s="25">
        <f t="shared" si="16"/>
        <v>-579474.93926190445</v>
      </c>
      <c r="D64" s="25">
        <f t="shared" si="17"/>
        <v>-4705.8114358337907</v>
      </c>
      <c r="E64" s="25">
        <f t="shared" si="18"/>
        <v>-179161.44387739938</v>
      </c>
      <c r="F64" s="121">
        <f t="shared" si="19"/>
        <v>8.5000000000000006E-2</v>
      </c>
      <c r="G64" s="84">
        <v>22</v>
      </c>
      <c r="H64" s="51">
        <f t="shared" si="8"/>
        <v>45726</v>
      </c>
      <c r="I64" s="25">
        <f t="shared" si="20"/>
        <v>922187.12293603015</v>
      </c>
      <c r="J64" s="25">
        <f t="shared" si="21"/>
        <v>7268.0292294864876</v>
      </c>
      <c r="K64" s="25">
        <f t="shared" si="14"/>
        <v>222311.24208897987</v>
      </c>
      <c r="L64" s="36">
        <f t="shared" si="11"/>
        <v>8.5000000000000006E-2</v>
      </c>
    </row>
    <row r="65" spans="1:12" x14ac:dyDescent="0.25">
      <c r="A65" s="84">
        <v>23</v>
      </c>
      <c r="B65" s="51">
        <f t="shared" si="15"/>
        <v>45757</v>
      </c>
      <c r="C65" s="25">
        <f t="shared" si="16"/>
        <v>-428690.75465191732</v>
      </c>
      <c r="D65" s="25">
        <f t="shared" si="17"/>
        <v>-3557.9856334928318</v>
      </c>
      <c r="E65" s="25">
        <f t="shared" si="18"/>
        <v>-154342.17024347995</v>
      </c>
      <c r="F65" s="121">
        <f t="shared" si="19"/>
        <v>8.5000000000000006E-2</v>
      </c>
      <c r="G65" s="84">
        <v>23</v>
      </c>
      <c r="H65" s="51">
        <f t="shared" si="8"/>
        <v>45757</v>
      </c>
      <c r="I65" s="25">
        <f t="shared" si="20"/>
        <v>719873.5052975791</v>
      </c>
      <c r="J65" s="25">
        <f t="shared" si="21"/>
        <v>5795.1070541771551</v>
      </c>
      <c r="K65" s="25">
        <f t="shared" si="14"/>
        <v>208108.72469262831</v>
      </c>
      <c r="L65" s="36">
        <f t="shared" si="11"/>
        <v>8.5000000000000006E-2</v>
      </c>
    </row>
    <row r="66" spans="1:12" x14ac:dyDescent="0.25">
      <c r="A66" s="84">
        <v>24</v>
      </c>
      <c r="B66" s="51">
        <f t="shared" si="15"/>
        <v>45788</v>
      </c>
      <c r="C66" s="25">
        <f t="shared" si="16"/>
        <v>-294972.20377905422</v>
      </c>
      <c r="D66" s="25">
        <f t="shared" si="17"/>
        <v>-2553.9278167586708</v>
      </c>
      <c r="E66" s="25">
        <f t="shared" si="18"/>
        <v>-136272.47868962176</v>
      </c>
      <c r="F66" s="121">
        <f t="shared" si="19"/>
        <v>8.5000000000000006E-2</v>
      </c>
      <c r="G66" s="84">
        <v>24</v>
      </c>
      <c r="H66" s="51">
        <f t="shared" si="8"/>
        <v>45788</v>
      </c>
      <c r="I66" s="25">
        <f t="shared" si="20"/>
        <v>501508.42489283951</v>
      </c>
      <c r="J66" s="25">
        <f t="shared" si="21"/>
        <v>4310.4614517826694</v>
      </c>
      <c r="K66" s="25">
        <f t="shared" si="14"/>
        <v>222675.54185652218</v>
      </c>
      <c r="L66" s="36">
        <f t="shared" si="11"/>
        <v>8.5000000000000006E-2</v>
      </c>
    </row>
    <row r="67" spans="1:12" x14ac:dyDescent="0.25">
      <c r="A67" s="84">
        <v>25</v>
      </c>
      <c r="B67" s="51">
        <f t="shared" si="15"/>
        <v>45819</v>
      </c>
      <c r="C67" s="25">
        <f t="shared" si="16"/>
        <v>-163719.30811038619</v>
      </c>
      <c r="D67" s="25">
        <f t="shared" si="17"/>
        <v>-1618.7991908076576</v>
      </c>
      <c r="E67" s="25">
        <f t="shared" si="18"/>
        <v>-132871.69485947571</v>
      </c>
      <c r="F67" s="121">
        <f t="shared" si="19"/>
        <v>8.5000000000000006E-2</v>
      </c>
      <c r="G67" s="84">
        <v>25</v>
      </c>
      <c r="H67" s="51">
        <f t="shared" si="8"/>
        <v>45819</v>
      </c>
      <c r="I67" s="25">
        <f t="shared" si="20"/>
        <v>259929.81031304187</v>
      </c>
      <c r="J67" s="25">
        <f t="shared" si="21"/>
        <v>2687.2430970521041</v>
      </c>
      <c r="K67" s="25">
        <f t="shared" si="14"/>
        <v>244265.85767684973</v>
      </c>
      <c r="L67" s="36">
        <f t="shared" si="11"/>
        <v>8.5000000000000006E-2</v>
      </c>
    </row>
    <row r="68" spans="1:12" x14ac:dyDescent="0.25">
      <c r="A68" s="84">
        <v>26</v>
      </c>
      <c r="B68" s="53">
        <f>B67+31</f>
        <v>45850</v>
      </c>
      <c r="C68" s="54">
        <f>C67+D68-E68</f>
        <v>-11420.1936432574</v>
      </c>
      <c r="D68" s="25">
        <f t="shared" si="17"/>
        <v>-618.09664309984248</v>
      </c>
      <c r="E68" s="25">
        <f t="shared" si="18"/>
        <v>-152917.21111022864</v>
      </c>
      <c r="F68" s="121">
        <f t="shared" si="19"/>
        <v>8.5000000000000006E-2</v>
      </c>
      <c r="G68" s="76">
        <v>26</v>
      </c>
      <c r="H68" s="53">
        <f t="shared" si="8"/>
        <v>45850</v>
      </c>
      <c r="I68" s="54">
        <f t="shared" si="20"/>
        <v>-16173.096758714732</v>
      </c>
      <c r="J68" s="25">
        <f t="shared" si="21"/>
        <v>860.25827909976363</v>
      </c>
      <c r="K68" s="25">
        <f t="shared" si="14"/>
        <v>276963.16535085638</v>
      </c>
      <c r="L68" s="36">
        <f t="shared" si="11"/>
        <v>8.5000000000000006E-2</v>
      </c>
    </row>
    <row r="69" spans="1:12" x14ac:dyDescent="0.25">
      <c r="B69" s="26"/>
      <c r="C69" s="26"/>
      <c r="D69" s="26"/>
      <c r="E69" s="26"/>
    </row>
    <row r="70" spans="1:12" x14ac:dyDescent="0.25">
      <c r="A70" s="86">
        <v>27</v>
      </c>
      <c r="B70" s="29" t="s">
        <v>92</v>
      </c>
      <c r="C70" s="26"/>
      <c r="D70" s="25">
        <f>SUM(D49:D69)</f>
        <v>-184975.85379427028</v>
      </c>
      <c r="E70" s="25">
        <f>SUM(E57:E68)</f>
        <v>-2017914.4401510148</v>
      </c>
      <c r="G70" s="86">
        <v>27</v>
      </c>
      <c r="H70" s="29" t="s">
        <v>92</v>
      </c>
      <c r="I70" s="26"/>
      <c r="J70" s="25">
        <f>SUM(J49:J69)</f>
        <v>254597.83083347665</v>
      </c>
      <c r="K70" s="25">
        <f>SUM(K57:K68)</f>
        <v>2891886.837592192</v>
      </c>
    </row>
    <row r="71" spans="1:12" x14ac:dyDescent="0.25">
      <c r="A71" s="86"/>
      <c r="B71" s="29"/>
      <c r="C71" s="26"/>
      <c r="D71" s="25"/>
      <c r="E71" s="25"/>
      <c r="G71" s="86"/>
      <c r="H71" s="29"/>
      <c r="I71" s="26"/>
      <c r="J71" s="25"/>
      <c r="K71" s="25"/>
    </row>
    <row r="72" spans="1:12" x14ac:dyDescent="0.25">
      <c r="B72" s="43" t="s">
        <v>97</v>
      </c>
      <c r="H72" s="43" t="s">
        <v>96</v>
      </c>
    </row>
    <row r="73" spans="1:12" x14ac:dyDescent="0.25">
      <c r="A73" s="86">
        <v>28</v>
      </c>
      <c r="B73" s="65" t="s">
        <v>201</v>
      </c>
      <c r="C73" s="80">
        <f>C46</f>
        <v>-2011655</v>
      </c>
      <c r="G73" s="86">
        <v>28</v>
      </c>
      <c r="H73" s="65" t="s">
        <v>201</v>
      </c>
      <c r="I73" s="80">
        <f>I46</f>
        <v>2721987</v>
      </c>
    </row>
    <row r="74" spans="1:12" x14ac:dyDescent="0.25">
      <c r="A74" s="86">
        <v>29</v>
      </c>
      <c r="B74" t="s">
        <v>93</v>
      </c>
      <c r="C74" s="80">
        <f>C47</f>
        <v>0</v>
      </c>
      <c r="G74" s="86">
        <v>29</v>
      </c>
      <c r="H74" t="s">
        <v>93</v>
      </c>
      <c r="I74" s="80">
        <f>I47</f>
        <v>0</v>
      </c>
    </row>
    <row r="75" spans="1:12" x14ac:dyDescent="0.25">
      <c r="A75" s="86">
        <v>30</v>
      </c>
      <c r="B75" t="s">
        <v>168</v>
      </c>
      <c r="C75" s="80">
        <f>C56</f>
        <v>167296.21999999811</v>
      </c>
      <c r="G75" s="86">
        <v>30</v>
      </c>
      <c r="H75" t="s">
        <v>168</v>
      </c>
      <c r="I75" s="80">
        <f>I56</f>
        <v>-100871.08999999988</v>
      </c>
    </row>
    <row r="76" spans="1:12" x14ac:dyDescent="0.25">
      <c r="A76" s="86">
        <v>31</v>
      </c>
      <c r="B76" t="s">
        <v>202</v>
      </c>
      <c r="C76" s="80">
        <f>D70</f>
        <v>-184975.85379427028</v>
      </c>
      <c r="G76" s="86">
        <v>31</v>
      </c>
      <c r="H76" t="s">
        <v>202</v>
      </c>
      <c r="I76" s="80">
        <f>J70</f>
        <v>254597.83083347665</v>
      </c>
    </row>
    <row r="77" spans="1:12" x14ac:dyDescent="0.25">
      <c r="A77" s="86">
        <v>32</v>
      </c>
      <c r="B77" t="s">
        <v>107</v>
      </c>
      <c r="C77" s="80">
        <f>(D30-D31)*E22-C68</f>
        <v>-68234.323731124678</v>
      </c>
      <c r="G77" s="86">
        <v>32</v>
      </c>
      <c r="H77" t="s">
        <v>107</v>
      </c>
      <c r="I77" s="80">
        <f>(J30-J31)*K22-I68</f>
        <v>142825.07504742424</v>
      </c>
    </row>
    <row r="78" spans="1:12" x14ac:dyDescent="0.25">
      <c r="A78" s="86">
        <v>33</v>
      </c>
      <c r="B78" t="s">
        <v>172</v>
      </c>
      <c r="C78" s="81">
        <f>SUM(C73:C77)</f>
        <v>-2097568.9575253967</v>
      </c>
      <c r="E78" s="80"/>
      <c r="G78" s="86">
        <v>33</v>
      </c>
      <c r="H78" t="s">
        <v>106</v>
      </c>
      <c r="I78" s="81">
        <f>SUM(I73:I77)</f>
        <v>3018538.8158809007</v>
      </c>
    </row>
    <row r="79" spans="1:12" x14ac:dyDescent="0.25">
      <c r="A79" s="86">
        <v>34</v>
      </c>
      <c r="B79" t="s">
        <v>173</v>
      </c>
      <c r="C79" s="80">
        <f>D30*E22</f>
        <v>-2097568.9575253967</v>
      </c>
      <c r="G79" s="86">
        <v>34</v>
      </c>
      <c r="H79" t="s">
        <v>94</v>
      </c>
      <c r="I79" s="80">
        <f>J30*K22</f>
        <v>3018538.8158809016</v>
      </c>
    </row>
    <row r="80" spans="1:12" x14ac:dyDescent="0.25">
      <c r="A80" s="86">
        <v>35</v>
      </c>
      <c r="B80" t="s">
        <v>95</v>
      </c>
      <c r="C80" s="80">
        <f>C78-C79</f>
        <v>0</v>
      </c>
      <c r="G80" s="86">
        <v>35</v>
      </c>
      <c r="H80" t="s">
        <v>95</v>
      </c>
      <c r="I80" s="80">
        <f>I78-I79</f>
        <v>0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4" zoomScaleNormal="100" workbookViewId="0">
      <selection activeCell="L25" sqref="L25"/>
    </sheetView>
  </sheetViews>
  <sheetFormatPr defaultRowHeight="15" x14ac:dyDescent="0.25"/>
  <cols>
    <col min="1" max="1" width="4.140625" customWidth="1"/>
    <col min="3" max="3" width="16.28515625" customWidth="1"/>
    <col min="4" max="4" width="12.5703125" bestFit="1" customWidth="1"/>
    <col min="5" max="5" width="15" bestFit="1" customWidth="1"/>
    <col min="6" max="6" width="16" bestFit="1" customWidth="1"/>
    <col min="7" max="7" width="8.28515625" customWidth="1"/>
    <col min="8" max="8" width="13.28515625" customWidth="1"/>
    <col min="9" max="9" width="0.7109375" customWidth="1"/>
    <col min="10" max="10" width="4.28515625" customWidth="1"/>
    <col min="11" max="12" width="11.5703125" bestFit="1" customWidth="1"/>
  </cols>
  <sheetData>
    <row r="1" spans="1:11" x14ac:dyDescent="0.25">
      <c r="B1" s="172" t="s">
        <v>0</v>
      </c>
      <c r="C1" s="172"/>
      <c r="D1" s="172"/>
      <c r="E1" s="172"/>
      <c r="F1" s="172"/>
      <c r="G1" s="172"/>
      <c r="H1" s="172"/>
    </row>
    <row r="2" spans="1:11" x14ac:dyDescent="0.25">
      <c r="B2" s="172" t="s">
        <v>112</v>
      </c>
      <c r="C2" s="172"/>
      <c r="D2" s="172"/>
      <c r="E2" s="172"/>
      <c r="F2" s="172"/>
      <c r="G2" s="172"/>
      <c r="H2" s="172"/>
    </row>
    <row r="3" spans="1:11" x14ac:dyDescent="0.25">
      <c r="B3" s="172" t="s">
        <v>187</v>
      </c>
      <c r="C3" s="172"/>
      <c r="D3" s="172"/>
      <c r="E3" s="172"/>
      <c r="F3" s="172"/>
      <c r="G3" s="172"/>
      <c r="H3" s="172"/>
      <c r="K3" s="65"/>
    </row>
    <row r="4" spans="1:11" x14ac:dyDescent="0.25">
      <c r="B4" s="180" t="s">
        <v>178</v>
      </c>
      <c r="C4" s="180"/>
      <c r="D4" s="180"/>
      <c r="E4" s="180"/>
      <c r="F4" s="180"/>
      <c r="G4" s="180"/>
      <c r="H4" s="180"/>
    </row>
    <row r="6" spans="1:11" x14ac:dyDescent="0.25">
      <c r="B6" s="172" t="s">
        <v>114</v>
      </c>
      <c r="C6" s="172"/>
      <c r="D6" s="172"/>
      <c r="E6" s="172"/>
      <c r="F6" s="172"/>
      <c r="G6" s="172"/>
      <c r="H6" s="172"/>
    </row>
    <row r="7" spans="1:11" ht="43.9" customHeight="1" x14ac:dyDescent="0.25">
      <c r="A7" s="91" t="s">
        <v>91</v>
      </c>
      <c r="B7" s="86" t="s">
        <v>2</v>
      </c>
      <c r="C7" s="85" t="s">
        <v>115</v>
      </c>
      <c r="D7" s="86" t="s">
        <v>3</v>
      </c>
      <c r="E7" s="86" t="s">
        <v>70</v>
      </c>
      <c r="F7" s="85" t="s">
        <v>113</v>
      </c>
      <c r="G7" s="85" t="s">
        <v>116</v>
      </c>
      <c r="H7" s="85" t="s">
        <v>166</v>
      </c>
    </row>
    <row r="9" spans="1:11" x14ac:dyDescent="0.25">
      <c r="A9" s="86">
        <v>1</v>
      </c>
      <c r="B9" s="92">
        <v>45139</v>
      </c>
      <c r="C9" s="144">
        <v>-16802123.649999999</v>
      </c>
      <c r="D9" s="95">
        <f t="shared" ref="D9:D12" si="0">ROUND(((C9+C9+E9)/2)*G9/12,2)</f>
        <v>-107936.69</v>
      </c>
      <c r="E9" s="144">
        <v>1303990.2</v>
      </c>
      <c r="F9" s="94">
        <f t="shared" ref="F9:F12" si="1">C9+D9+E9</f>
        <v>-15606070.140000001</v>
      </c>
      <c r="G9" s="135">
        <v>8.0199999999999994E-2</v>
      </c>
      <c r="I9" s="94"/>
    </row>
    <row r="10" spans="1:11" x14ac:dyDescent="0.25">
      <c r="A10" s="86">
        <v>2</v>
      </c>
      <c r="B10" s="92">
        <f>B9+31</f>
        <v>45170</v>
      </c>
      <c r="C10" s="93">
        <f t="shared" ref="C10:C12" si="2">F9</f>
        <v>-15606070.140000001</v>
      </c>
      <c r="D10" s="95">
        <f t="shared" si="0"/>
        <v>-100648.86</v>
      </c>
      <c r="E10" s="144">
        <v>1092782.01</v>
      </c>
      <c r="F10" s="94">
        <f t="shared" si="1"/>
        <v>-14613936.99</v>
      </c>
      <c r="G10" s="36">
        <f>G9</f>
        <v>8.0199999999999994E-2</v>
      </c>
    </row>
    <row r="11" spans="1:11" x14ac:dyDescent="0.25">
      <c r="A11" s="86">
        <v>3</v>
      </c>
      <c r="B11" s="92">
        <f t="shared" ref="B11:B20" si="3">B10+31</f>
        <v>45201</v>
      </c>
      <c r="C11" s="93">
        <f t="shared" si="2"/>
        <v>-14613936.99</v>
      </c>
      <c r="D11" s="95">
        <f t="shared" si="0"/>
        <v>-97697.919999999998</v>
      </c>
      <c r="E11" s="144">
        <v>1147036.1000000001</v>
      </c>
      <c r="F11" s="94">
        <f t="shared" si="1"/>
        <v>-13564598.810000001</v>
      </c>
      <c r="G11" s="135">
        <v>8.3500000000000005E-2</v>
      </c>
      <c r="K11" s="65"/>
    </row>
    <row r="12" spans="1:11" x14ac:dyDescent="0.25">
      <c r="A12" s="86">
        <v>4</v>
      </c>
      <c r="B12" s="92">
        <f t="shared" si="3"/>
        <v>45232</v>
      </c>
      <c r="C12" s="93">
        <f t="shared" si="2"/>
        <v>-13564598.810000001</v>
      </c>
      <c r="D12" s="95">
        <f t="shared" si="0"/>
        <v>-88762.55</v>
      </c>
      <c r="E12" s="144">
        <v>1616609.82</v>
      </c>
      <c r="F12" s="94">
        <f t="shared" si="1"/>
        <v>-12036751.540000001</v>
      </c>
      <c r="G12" s="36">
        <f>G11</f>
        <v>8.3500000000000005E-2</v>
      </c>
      <c r="K12" t="s">
        <v>196</v>
      </c>
    </row>
    <row r="13" spans="1:11" x14ac:dyDescent="0.25">
      <c r="A13" s="86">
        <v>5</v>
      </c>
      <c r="B13" s="92">
        <f t="shared" si="3"/>
        <v>45263</v>
      </c>
      <c r="C13" s="93">
        <f t="shared" ref="C13:C17" si="4">F12</f>
        <v>-12036751.540000001</v>
      </c>
      <c r="D13" s="95">
        <f t="shared" ref="D13:D17" si="5">ROUND(((C13+C13+E13)/2)*G13/12,2)</f>
        <v>-77196.960000000006</v>
      </c>
      <c r="E13" s="144">
        <v>1885154.25</v>
      </c>
      <c r="F13" s="94">
        <f t="shared" ref="F13:F16" si="6">C13+D13+E13</f>
        <v>-10228794.250000002</v>
      </c>
      <c r="G13" s="36">
        <f>G12</f>
        <v>8.3500000000000005E-2</v>
      </c>
    </row>
    <row r="14" spans="1:11" x14ac:dyDescent="0.25">
      <c r="A14" s="86">
        <v>6</v>
      </c>
      <c r="B14" s="92">
        <f t="shared" si="3"/>
        <v>45294</v>
      </c>
      <c r="C14" s="93">
        <f t="shared" si="4"/>
        <v>-10228794.250000002</v>
      </c>
      <c r="D14" s="95">
        <f t="shared" si="5"/>
        <v>-64825.66</v>
      </c>
      <c r="E14" s="144">
        <v>2153873.88</v>
      </c>
      <c r="F14" s="94">
        <f t="shared" si="6"/>
        <v>-8139746.0300000021</v>
      </c>
      <c r="G14" s="135">
        <v>8.5000000000000006E-2</v>
      </c>
    </row>
    <row r="15" spans="1:11" x14ac:dyDescent="0.25">
      <c r="A15" s="86">
        <v>7</v>
      </c>
      <c r="B15" s="92">
        <f t="shared" si="3"/>
        <v>45325</v>
      </c>
      <c r="C15" s="93">
        <f t="shared" si="4"/>
        <v>-8139746.0300000021</v>
      </c>
      <c r="D15" s="95">
        <f t="shared" si="5"/>
        <v>-51554.58</v>
      </c>
      <c r="E15" s="144">
        <v>1722904.09</v>
      </c>
      <c r="F15" s="94">
        <f t="shared" si="6"/>
        <v>-6468396.5200000023</v>
      </c>
      <c r="G15" s="36">
        <f t="shared" ref="G15:G20" si="7">G14</f>
        <v>8.5000000000000006E-2</v>
      </c>
      <c r="H15" s="71"/>
    </row>
    <row r="16" spans="1:11" x14ac:dyDescent="0.25">
      <c r="A16" s="86">
        <v>8</v>
      </c>
      <c r="B16" s="92">
        <f t="shared" si="3"/>
        <v>45356</v>
      </c>
      <c r="C16" s="93">
        <f t="shared" si="4"/>
        <v>-6468396.5200000023</v>
      </c>
      <c r="D16" s="95">
        <f t="shared" si="5"/>
        <v>-40293.699999999997</v>
      </c>
      <c r="E16" s="144">
        <v>1559747.23</v>
      </c>
      <c r="F16" s="94">
        <f t="shared" si="6"/>
        <v>-4948942.9900000021</v>
      </c>
      <c r="G16" s="36">
        <f t="shared" si="7"/>
        <v>8.5000000000000006E-2</v>
      </c>
      <c r="H16" s="71"/>
    </row>
    <row r="17" spans="1:12" x14ac:dyDescent="0.25">
      <c r="A17" s="86">
        <v>9</v>
      </c>
      <c r="B17" s="92">
        <f t="shared" si="3"/>
        <v>45387</v>
      </c>
      <c r="C17" s="93">
        <f t="shared" si="4"/>
        <v>-4948942.9900000021</v>
      </c>
      <c r="D17" s="95">
        <f t="shared" si="5"/>
        <v>-30366.77</v>
      </c>
      <c r="E17" s="144">
        <f>-ROUND(H17*('Earnings Test and 3% Test'!$D$45/'Conversion Factor'!$E$114),2)</f>
        <v>1323739.17</v>
      </c>
      <c r="F17" s="94">
        <f>C17+D17+E17</f>
        <v>-3655570.5900000017</v>
      </c>
      <c r="G17" s="162">
        <v>8.5000000000000006E-2</v>
      </c>
      <c r="H17" s="71">
        <f>'4 10 24 Forecast Usage by Sched'!Q5</f>
        <v>190974480.04255751</v>
      </c>
      <c r="K17" s="65"/>
    </row>
    <row r="18" spans="1:12" x14ac:dyDescent="0.25">
      <c r="A18" s="99">
        <v>10</v>
      </c>
      <c r="B18" s="92">
        <f t="shared" si="3"/>
        <v>45418</v>
      </c>
      <c r="C18" s="93">
        <f>F17</f>
        <v>-3655570.5900000017</v>
      </c>
      <c r="D18" s="95">
        <f t="shared" ref="D18:D20" si="8">ROUND(((C18+C18+E18)/2)*G18/12,2)</f>
        <v>-21570.2</v>
      </c>
      <c r="E18" s="144">
        <f>-ROUND(H18*('Earnings Test and 3% Test'!$D$45/'Conversion Factor'!$E$114),2)</f>
        <v>1220730.76</v>
      </c>
      <c r="F18" s="94">
        <f t="shared" ref="F18:F20" si="9">C18+D18+E18</f>
        <v>-2456410.0300000021</v>
      </c>
      <c r="G18" s="36">
        <f t="shared" si="7"/>
        <v>8.5000000000000006E-2</v>
      </c>
      <c r="H18" s="71">
        <f>'4 10 24 Forecast Usage by Sched'!Q6</f>
        <v>176113563.99794334</v>
      </c>
      <c r="K18" s="138"/>
      <c r="L18" s="138"/>
    </row>
    <row r="19" spans="1:12" ht="15.75" thickBot="1" x14ac:dyDescent="0.3">
      <c r="A19" s="99">
        <v>11</v>
      </c>
      <c r="B19" s="92">
        <f t="shared" si="3"/>
        <v>45449</v>
      </c>
      <c r="C19" s="93">
        <f t="shared" ref="C19:C20" si="10">F18</f>
        <v>-2456410.0300000021</v>
      </c>
      <c r="D19" s="95">
        <f t="shared" si="8"/>
        <v>-13067.65</v>
      </c>
      <c r="E19" s="144">
        <f>-ROUND(H19*('Earnings Test and 3% Test'!$D$45/'Conversion Factor'!$E$114),2)</f>
        <v>1223130.33</v>
      </c>
      <c r="F19" s="94">
        <f t="shared" si="9"/>
        <v>-1246347.350000002</v>
      </c>
      <c r="G19" s="36">
        <f t="shared" si="7"/>
        <v>8.5000000000000006E-2</v>
      </c>
      <c r="H19" s="71">
        <f>'4 10 24 Forecast Usage by Sched'!Q7</f>
        <v>176459747.14482352</v>
      </c>
      <c r="K19" s="137"/>
      <c r="L19" s="94"/>
    </row>
    <row r="20" spans="1:12" ht="15.75" thickBot="1" x14ac:dyDescent="0.3">
      <c r="A20" s="99">
        <v>12</v>
      </c>
      <c r="B20" s="92">
        <f t="shared" si="3"/>
        <v>45480</v>
      </c>
      <c r="C20" s="93">
        <f t="shared" si="10"/>
        <v>-1246347.350000002</v>
      </c>
      <c r="D20" s="95">
        <f t="shared" si="8"/>
        <v>-3808.15</v>
      </c>
      <c r="E20" s="144">
        <f>-ROUND(H20*('Earnings Test and 3% Test'!$D$45/'Conversion Factor'!$E$114),2)</f>
        <v>1417451.72</v>
      </c>
      <c r="F20" s="134">
        <f t="shared" si="9"/>
        <v>167296.21999999811</v>
      </c>
      <c r="G20" s="36">
        <f t="shared" si="7"/>
        <v>8.5000000000000006E-2</v>
      </c>
      <c r="H20" s="71">
        <f>'4 10 24 Forecast Usage by Sched'!Q8</f>
        <v>204494293.77636918</v>
      </c>
      <c r="K20" s="137"/>
      <c r="L20" s="94"/>
    </row>
    <row r="23" spans="1:12" x14ac:dyDescent="0.25">
      <c r="B23" s="172" t="s">
        <v>162</v>
      </c>
      <c r="C23" s="172"/>
      <c r="D23" s="172"/>
      <c r="E23" s="172"/>
      <c r="F23" s="172"/>
      <c r="G23" s="172"/>
      <c r="H23" s="172"/>
    </row>
    <row r="24" spans="1:12" ht="45" x14ac:dyDescent="0.25">
      <c r="A24" s="91" t="s">
        <v>91</v>
      </c>
      <c r="B24" s="86" t="s">
        <v>2</v>
      </c>
      <c r="C24" s="85" t="s">
        <v>115</v>
      </c>
      <c r="D24" s="86" t="s">
        <v>3</v>
      </c>
      <c r="E24" s="86" t="s">
        <v>70</v>
      </c>
      <c r="F24" s="85" t="s">
        <v>113</v>
      </c>
      <c r="G24" s="85" t="s">
        <v>116</v>
      </c>
      <c r="H24" s="133" t="s">
        <v>166</v>
      </c>
    </row>
    <row r="26" spans="1:12" x14ac:dyDescent="0.25">
      <c r="A26" s="86">
        <v>13</v>
      </c>
      <c r="B26" s="92">
        <f t="shared" ref="B26:B37" si="11">B9</f>
        <v>45139</v>
      </c>
      <c r="C26" s="144">
        <f>401068.13-2120544.71</f>
        <v>-1719476.58</v>
      </c>
      <c r="D26" s="95">
        <f t="shared" ref="D26:D28" si="12">ROUND(((C26+C26+E26)/2)*G26/12,2)</f>
        <v>-11203.69</v>
      </c>
      <c r="E26" s="144">
        <v>86227.53</v>
      </c>
      <c r="F26" s="94">
        <f t="shared" ref="F26:F28" si="13">C26+D26+E26</f>
        <v>-1644452.74</v>
      </c>
      <c r="G26" s="131">
        <f t="shared" ref="G26:G37" si="14">G9</f>
        <v>8.0199999999999994E-2</v>
      </c>
    </row>
    <row r="27" spans="1:12" x14ac:dyDescent="0.25">
      <c r="A27" s="86">
        <v>14</v>
      </c>
      <c r="B27" s="92">
        <f t="shared" si="11"/>
        <v>45170</v>
      </c>
      <c r="C27" s="93">
        <f t="shared" ref="C27:C29" si="15">F26</f>
        <v>-1644452.74</v>
      </c>
      <c r="D27" s="95">
        <f t="shared" si="12"/>
        <v>-10538.88</v>
      </c>
      <c r="E27" s="144">
        <v>135124.79999999999</v>
      </c>
      <c r="F27" s="94">
        <f t="shared" si="13"/>
        <v>-1519866.8199999998</v>
      </c>
      <c r="G27" s="131">
        <f t="shared" si="14"/>
        <v>8.0199999999999994E-2</v>
      </c>
    </row>
    <row r="28" spans="1:12" x14ac:dyDescent="0.25">
      <c r="A28" s="86">
        <v>15</v>
      </c>
      <c r="B28" s="92">
        <f t="shared" si="11"/>
        <v>45201</v>
      </c>
      <c r="C28" s="93">
        <f t="shared" si="15"/>
        <v>-1519866.8199999998</v>
      </c>
      <c r="D28" s="95">
        <f t="shared" si="12"/>
        <v>-10056.65</v>
      </c>
      <c r="E28" s="144">
        <v>149198.17000000001</v>
      </c>
      <c r="F28" s="94">
        <f t="shared" si="13"/>
        <v>-1380725.2999999998</v>
      </c>
      <c r="G28" s="131">
        <f t="shared" si="14"/>
        <v>8.3500000000000005E-2</v>
      </c>
      <c r="K28" s="65"/>
    </row>
    <row r="29" spans="1:12" x14ac:dyDescent="0.25">
      <c r="A29" s="86">
        <v>16</v>
      </c>
      <c r="B29" s="92">
        <f t="shared" si="11"/>
        <v>45232</v>
      </c>
      <c r="C29" s="93">
        <f t="shared" si="15"/>
        <v>-1380725.2999999998</v>
      </c>
      <c r="D29" s="95">
        <f t="shared" ref="D29:D32" si="16">ROUND(((C29+C29+E29)/2)*G29/12,2)</f>
        <v>-9087.91</v>
      </c>
      <c r="E29" s="144">
        <f>--149355.82</f>
        <v>149355.82</v>
      </c>
      <c r="F29" s="94">
        <f>C29+D29+E29</f>
        <v>-1240457.3899999997</v>
      </c>
      <c r="G29" s="131">
        <f t="shared" si="14"/>
        <v>8.3500000000000005E-2</v>
      </c>
      <c r="K29" t="s">
        <v>197</v>
      </c>
    </row>
    <row r="30" spans="1:12" x14ac:dyDescent="0.25">
      <c r="A30" s="90">
        <v>17</v>
      </c>
      <c r="B30" s="92">
        <f t="shared" si="11"/>
        <v>45263</v>
      </c>
      <c r="C30" s="93">
        <f t="shared" ref="C30:C34" si="17">F29</f>
        <v>-1240457.3899999997</v>
      </c>
      <c r="D30" s="95">
        <f t="shared" si="16"/>
        <v>-8118.61</v>
      </c>
      <c r="E30" s="144">
        <f>--147423.23</f>
        <v>147423.23000000001</v>
      </c>
      <c r="F30" s="94">
        <f>C30+D30+E30</f>
        <v>-1101152.7699999998</v>
      </c>
      <c r="G30" s="131">
        <f t="shared" si="14"/>
        <v>8.3500000000000005E-2</v>
      </c>
    </row>
    <row r="31" spans="1:12" x14ac:dyDescent="0.25">
      <c r="A31" s="90">
        <v>18</v>
      </c>
      <c r="B31" s="92">
        <f t="shared" si="11"/>
        <v>45294</v>
      </c>
      <c r="C31" s="93">
        <f t="shared" si="17"/>
        <v>-1101152.7699999998</v>
      </c>
      <c r="D31" s="95">
        <f t="shared" si="16"/>
        <v>-7218.94</v>
      </c>
      <c r="E31" s="144">
        <f>--164016.24</f>
        <v>164016.24</v>
      </c>
      <c r="F31" s="94">
        <f t="shared" ref="F31:F34" si="18">C31+D31+E31</f>
        <v>-944355.46999999974</v>
      </c>
      <c r="G31" s="131">
        <f t="shared" si="14"/>
        <v>8.5000000000000006E-2</v>
      </c>
    </row>
    <row r="32" spans="1:12" x14ac:dyDescent="0.25">
      <c r="A32" s="90">
        <v>19</v>
      </c>
      <c r="B32" s="92">
        <f t="shared" si="11"/>
        <v>45325</v>
      </c>
      <c r="C32" s="93">
        <f t="shared" si="17"/>
        <v>-944355.46999999974</v>
      </c>
      <c r="D32" s="95">
        <f t="shared" si="16"/>
        <v>-6191.61</v>
      </c>
      <c r="E32" s="144">
        <f>--140490.82</f>
        <v>140490.82</v>
      </c>
      <c r="F32" s="94">
        <f t="shared" si="18"/>
        <v>-810056.25999999978</v>
      </c>
      <c r="G32" s="131">
        <f t="shared" si="14"/>
        <v>8.5000000000000006E-2</v>
      </c>
      <c r="H32" s="71"/>
    </row>
    <row r="33" spans="1:12" x14ac:dyDescent="0.25">
      <c r="A33" s="90">
        <v>20</v>
      </c>
      <c r="B33" s="92">
        <f t="shared" si="11"/>
        <v>45356</v>
      </c>
      <c r="C33" s="93">
        <f t="shared" si="17"/>
        <v>-810056.25999999978</v>
      </c>
      <c r="D33" s="95">
        <f>ROUND(((C33+C33+E33)/2)*G33/12,2)</f>
        <v>-5242.99</v>
      </c>
      <c r="E33" s="144">
        <f>--139738.6</f>
        <v>139738.6</v>
      </c>
      <c r="F33" s="94">
        <f t="shared" si="18"/>
        <v>-675560.64999999979</v>
      </c>
      <c r="G33" s="131">
        <f t="shared" si="14"/>
        <v>8.5000000000000006E-2</v>
      </c>
      <c r="H33" s="71"/>
    </row>
    <row r="34" spans="1:12" x14ac:dyDescent="0.25">
      <c r="A34" s="90">
        <v>21</v>
      </c>
      <c r="B34" s="92">
        <f t="shared" si="11"/>
        <v>45387</v>
      </c>
      <c r="C34" s="93">
        <f t="shared" si="17"/>
        <v>-675560.64999999979</v>
      </c>
      <c r="D34" s="95">
        <f>ROUND(((C34+C34+E34)/2)*G34/12,2)</f>
        <v>-4345.6099999999997</v>
      </c>
      <c r="E34" s="144">
        <f>-ROUND(H34*('Earnings Test and 3% Test'!$E$45/'Conversion Factor'!$E$114),2)</f>
        <v>124124.49</v>
      </c>
      <c r="F34" s="94">
        <f t="shared" si="18"/>
        <v>-555781.76999999979</v>
      </c>
      <c r="G34" s="131">
        <f t="shared" si="14"/>
        <v>8.5000000000000006E-2</v>
      </c>
      <c r="H34" s="71">
        <f>'4 10 24 Forecast Usage by Sched'!R5</f>
        <v>147531831.18951172</v>
      </c>
      <c r="K34" s="65"/>
      <c r="L34" s="94"/>
    </row>
    <row r="35" spans="1:12" x14ac:dyDescent="0.25">
      <c r="A35" s="99">
        <v>22</v>
      </c>
      <c r="B35" s="92">
        <f t="shared" si="11"/>
        <v>45418</v>
      </c>
      <c r="C35" s="93">
        <f>F34</f>
        <v>-555781.76999999979</v>
      </c>
      <c r="D35" s="95">
        <f>ROUND(((C35+C35+E35)/2)*G35/12,2)</f>
        <v>-3446.06</v>
      </c>
      <c r="E35" s="144">
        <f>-ROUND(H35*('Earnings Test and 3% Test'!$E$45/'Conversion Factor'!$E$114),2)</f>
        <v>138558.37</v>
      </c>
      <c r="F35" s="94">
        <f t="shared" ref="F35:F37" si="19">C35+D35+E35</f>
        <v>-420669.45999999985</v>
      </c>
      <c r="G35" s="131">
        <f t="shared" si="14"/>
        <v>8.5000000000000006E-2</v>
      </c>
      <c r="H35" s="71">
        <f>'4 10 24 Forecast Usage by Sched'!R6</f>
        <v>164687638.71899131</v>
      </c>
      <c r="K35" s="137"/>
      <c r="L35" s="94"/>
    </row>
    <row r="36" spans="1:12" ht="15.75" thickBot="1" x14ac:dyDescent="0.3">
      <c r="A36" s="99">
        <v>23</v>
      </c>
      <c r="B36" s="92">
        <f t="shared" si="11"/>
        <v>45449</v>
      </c>
      <c r="C36" s="93">
        <f>F35</f>
        <v>-420669.45999999985</v>
      </c>
      <c r="D36" s="95">
        <f t="shared" ref="D36:D37" si="20">ROUND(((C36+C36+E36)/2)*G36/12,2)</f>
        <v>-2442.75</v>
      </c>
      <c r="E36" s="144">
        <f>-ROUND(H36*('Earnings Test and 3% Test'!$E$45/'Conversion Factor'!$E$114),2)</f>
        <v>151620.96</v>
      </c>
      <c r="F36" s="94">
        <f t="shared" si="19"/>
        <v>-271491.24999999988</v>
      </c>
      <c r="G36" s="131">
        <f t="shared" si="14"/>
        <v>8.5000000000000006E-2</v>
      </c>
      <c r="H36" s="71">
        <f>'4 10 24 Forecast Usage by Sched'!R7</f>
        <v>180213573.52090946</v>
      </c>
      <c r="K36" s="137"/>
      <c r="L36" s="94"/>
    </row>
    <row r="37" spans="1:12" ht="15.75" thickBot="1" x14ac:dyDescent="0.3">
      <c r="A37" s="99">
        <v>24</v>
      </c>
      <c r="B37" s="92">
        <f t="shared" si="11"/>
        <v>45480</v>
      </c>
      <c r="C37" s="93">
        <f>F36</f>
        <v>-271491.24999999988</v>
      </c>
      <c r="D37" s="95">
        <f t="shared" si="20"/>
        <v>-1314.13</v>
      </c>
      <c r="E37" s="144">
        <f>-ROUND(H37*('Earnings Test and 3% Test'!$E$45/'Conversion Factor'!$E$114),2)</f>
        <v>171934.29</v>
      </c>
      <c r="F37" s="134">
        <f t="shared" si="19"/>
        <v>-100871.08999999988</v>
      </c>
      <c r="G37" s="131">
        <f t="shared" si="14"/>
        <v>8.5000000000000006E-2</v>
      </c>
      <c r="H37" s="71">
        <f>'4 10 24 Forecast Usage by Sched'!R8</f>
        <v>204357581.83158308</v>
      </c>
      <c r="K37" s="137"/>
      <c r="L37" s="94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opLeftCell="A30" zoomScaleNormal="100" workbookViewId="0">
      <selection activeCell="D59" sqref="D59"/>
    </sheetView>
  </sheetViews>
  <sheetFormatPr defaultRowHeight="15" x14ac:dyDescent="0.25"/>
  <cols>
    <col min="1" max="1" width="7.42578125" style="74" customWidth="1"/>
    <col min="2" max="2" width="35.7109375" customWidth="1"/>
    <col min="3" max="3" width="13" customWidth="1"/>
    <col min="4" max="4" width="15.28515625" customWidth="1"/>
    <col min="5" max="5" width="15" customWidth="1"/>
    <col min="6" max="6" width="4.7109375" customWidth="1"/>
    <col min="7" max="7" width="15.42578125" hidden="1" customWidth="1"/>
    <col min="8" max="8" width="9.7109375" hidden="1" customWidth="1"/>
    <col min="9" max="9" width="10.140625" customWidth="1"/>
    <col min="10" max="10" width="20.42578125" customWidth="1"/>
    <col min="11" max="11" width="17.140625" customWidth="1"/>
    <col min="12" max="12" width="16.28515625" customWidth="1"/>
    <col min="13" max="13" width="14" customWidth="1"/>
    <col min="14" max="14" width="15" customWidth="1"/>
    <col min="15" max="15" width="4.5703125" customWidth="1"/>
    <col min="16" max="16" width="25.28515625" customWidth="1"/>
    <col min="17" max="17" width="16.7109375" customWidth="1"/>
    <col min="18" max="18" width="17" customWidth="1"/>
    <col min="19" max="19" width="12.42578125" customWidth="1"/>
    <col min="20" max="20" width="13.5703125" customWidth="1"/>
  </cols>
  <sheetData>
    <row r="1" spans="1:12" x14ac:dyDescent="0.25">
      <c r="B1" s="172" t="s">
        <v>0</v>
      </c>
      <c r="C1" s="172"/>
      <c r="D1" s="172"/>
      <c r="E1" s="172"/>
      <c r="F1" s="172"/>
      <c r="G1" s="172"/>
      <c r="H1" s="172"/>
    </row>
    <row r="2" spans="1:12" x14ac:dyDescent="0.25">
      <c r="B2" s="172" t="s">
        <v>40</v>
      </c>
      <c r="C2" s="172"/>
      <c r="D2" s="172"/>
      <c r="E2" s="172"/>
      <c r="F2" s="172"/>
      <c r="G2" s="172"/>
      <c r="H2" s="172"/>
    </row>
    <row r="3" spans="1:12" x14ac:dyDescent="0.25">
      <c r="B3" s="172" t="s">
        <v>194</v>
      </c>
      <c r="C3" s="172"/>
      <c r="D3" s="172"/>
      <c r="E3" s="172"/>
      <c r="F3" s="172"/>
      <c r="G3" s="172"/>
      <c r="H3" s="172"/>
    </row>
    <row r="5" spans="1:12" x14ac:dyDescent="0.25">
      <c r="B5" s="157" t="s">
        <v>195</v>
      </c>
      <c r="C5" s="77"/>
      <c r="D5" s="77"/>
      <c r="E5" s="77"/>
      <c r="F5" s="77"/>
    </row>
    <row r="7" spans="1:12" x14ac:dyDescent="0.25">
      <c r="A7" s="74" t="s">
        <v>91</v>
      </c>
      <c r="D7" s="30" t="s">
        <v>41</v>
      </c>
      <c r="E7" s="30"/>
      <c r="F7" s="74"/>
      <c r="G7" s="30" t="s">
        <v>42</v>
      </c>
      <c r="H7" s="42"/>
    </row>
    <row r="9" spans="1:12" x14ac:dyDescent="0.25">
      <c r="A9" s="74">
        <v>1</v>
      </c>
      <c r="B9" t="s">
        <v>43</v>
      </c>
      <c r="D9" s="145">
        <v>2152984000</v>
      </c>
      <c r="G9" s="37">
        <v>272971000</v>
      </c>
      <c r="H9" s="37"/>
    </row>
    <row r="10" spans="1:12" x14ac:dyDescent="0.25">
      <c r="D10" s="65"/>
    </row>
    <row r="11" spans="1:12" x14ac:dyDescent="0.25">
      <c r="A11" s="74">
        <v>2</v>
      </c>
      <c r="B11" t="s">
        <v>44</v>
      </c>
      <c r="D11" s="145">
        <v>149761000</v>
      </c>
      <c r="G11" s="37">
        <v>16783000</v>
      </c>
      <c r="H11" s="37"/>
    </row>
    <row r="12" spans="1:12" x14ac:dyDescent="0.25">
      <c r="D12" s="159"/>
    </row>
    <row r="13" spans="1:12" x14ac:dyDescent="0.25">
      <c r="A13" s="74">
        <v>3</v>
      </c>
      <c r="B13" t="s">
        <v>45</v>
      </c>
      <c r="D13" s="160">
        <f>D11/D9</f>
        <v>6.9559736626003718E-2</v>
      </c>
      <c r="G13" s="35">
        <f>G11/G9</f>
        <v>6.1482721607789836E-2</v>
      </c>
      <c r="H13" s="35"/>
    </row>
    <row r="14" spans="1:12" x14ac:dyDescent="0.25">
      <c r="A14" s="74">
        <v>4</v>
      </c>
      <c r="B14" t="s">
        <v>46</v>
      </c>
      <c r="D14" s="166">
        <f>7.03%+0.5%</f>
        <v>7.5300000000000006E-2</v>
      </c>
      <c r="G14" s="35">
        <v>7.3200000000000001E-2</v>
      </c>
      <c r="H14" s="35"/>
      <c r="K14" s="35"/>
      <c r="L14" s="35"/>
    </row>
    <row r="15" spans="1:12" x14ac:dyDescent="0.25">
      <c r="A15" s="74">
        <v>5</v>
      </c>
      <c r="B15" t="s">
        <v>47</v>
      </c>
      <c r="D15" s="36">
        <f>D13-D14</f>
        <v>-5.7402633739962877E-3</v>
      </c>
      <c r="G15" s="36">
        <f>G13-G14</f>
        <v>-1.1717278392210165E-2</v>
      </c>
      <c r="H15" s="36"/>
    </row>
    <row r="17" spans="1:9" x14ac:dyDescent="0.25">
      <c r="A17" s="74">
        <v>6</v>
      </c>
      <c r="B17" t="s">
        <v>48</v>
      </c>
      <c r="D17" s="37">
        <f>IF(D15&gt;0,D9*D15,0)</f>
        <v>0</v>
      </c>
      <c r="G17" s="37">
        <f>IF(G15&gt;0,G9*G15,0)</f>
        <v>0</v>
      </c>
      <c r="H17" s="37"/>
    </row>
    <row r="18" spans="1:9" x14ac:dyDescent="0.25">
      <c r="A18" s="74">
        <v>7</v>
      </c>
      <c r="B18" t="s">
        <v>49</v>
      </c>
      <c r="D18" s="38">
        <f>'Conversion Factor'!E112</f>
        <v>0.75529500000000005</v>
      </c>
      <c r="G18" s="38">
        <v>0.61944999999999995</v>
      </c>
      <c r="H18" s="38"/>
    </row>
    <row r="19" spans="1:9" x14ac:dyDescent="0.25">
      <c r="A19" s="74">
        <v>8</v>
      </c>
      <c r="B19" t="s">
        <v>50</v>
      </c>
      <c r="D19" s="37">
        <f>D17/D18</f>
        <v>0</v>
      </c>
      <c r="G19" s="37">
        <f>G17/G18</f>
        <v>0</v>
      </c>
      <c r="H19" s="37"/>
      <c r="I19" s="37"/>
    </row>
    <row r="20" spans="1:9" ht="15.75" thickBot="1" x14ac:dyDescent="0.3">
      <c r="A20" s="74">
        <v>9</v>
      </c>
      <c r="B20" t="s">
        <v>51</v>
      </c>
      <c r="D20" s="39">
        <v>0.5</v>
      </c>
      <c r="G20" s="39">
        <v>0.5</v>
      </c>
      <c r="H20" s="39"/>
    </row>
    <row r="21" spans="1:9" ht="16.5" thickTop="1" thickBot="1" x14ac:dyDescent="0.3">
      <c r="A21" s="74">
        <v>10</v>
      </c>
      <c r="B21" s="65" t="s">
        <v>179</v>
      </c>
      <c r="D21" s="40">
        <f>D19*D20</f>
        <v>0</v>
      </c>
      <c r="G21" s="40">
        <v>0</v>
      </c>
      <c r="H21" s="48"/>
    </row>
    <row r="22" spans="1:9" ht="15.75" thickTop="1" x14ac:dyDescent="0.25"/>
    <row r="24" spans="1:9" x14ac:dyDescent="0.25">
      <c r="B24" s="157" t="s">
        <v>180</v>
      </c>
      <c r="C24" s="77"/>
      <c r="D24" s="77"/>
      <c r="E24" s="77"/>
      <c r="F24" s="77"/>
      <c r="G24" s="77"/>
      <c r="H24" s="77"/>
    </row>
    <row r="26" spans="1:9" x14ac:dyDescent="0.25">
      <c r="A26" s="74">
        <v>11</v>
      </c>
      <c r="B26" t="s">
        <v>52</v>
      </c>
      <c r="D26" s="146">
        <f>'Bill Impact'!L11</f>
        <v>275352698</v>
      </c>
      <c r="E26" s="35">
        <f>D26/D30</f>
        <v>0.51322150389518906</v>
      </c>
      <c r="F26" s="35"/>
      <c r="G26" s="64">
        <v>116284996</v>
      </c>
      <c r="H26" s="35">
        <f>G26/G30</f>
        <v>0.75882679845758572</v>
      </c>
    </row>
    <row r="27" spans="1:9" x14ac:dyDescent="0.25">
      <c r="D27" s="65"/>
      <c r="G27" s="65"/>
      <c r="I27" s="35"/>
    </row>
    <row r="28" spans="1:9" x14ac:dyDescent="0.25">
      <c r="A28" s="74">
        <v>12</v>
      </c>
      <c r="B28" t="s">
        <v>53</v>
      </c>
      <c r="D28" s="146">
        <f>'Bill Impact'!L13+'Bill Impact'!L15+'Bill Impact'!L17</f>
        <v>261165542</v>
      </c>
      <c r="E28" s="35">
        <f>D28/D30</f>
        <v>0.48677849610481089</v>
      </c>
      <c r="F28" s="35"/>
      <c r="G28" s="64">
        <f>33950044+3372711-364618</f>
        <v>36958137</v>
      </c>
      <c r="H28" s="35">
        <f>G28/G30</f>
        <v>0.24117320154241431</v>
      </c>
    </row>
    <row r="29" spans="1:9" x14ac:dyDescent="0.25">
      <c r="D29" s="65"/>
      <c r="I29" s="35"/>
    </row>
    <row r="30" spans="1:9" x14ac:dyDescent="0.25">
      <c r="A30" s="74">
        <v>13</v>
      </c>
      <c r="B30" t="s">
        <v>54</v>
      </c>
      <c r="D30" s="142">
        <f>D26+D28</f>
        <v>536518240</v>
      </c>
      <c r="E30" s="36">
        <f>E26+E28</f>
        <v>1</v>
      </c>
      <c r="F30" s="36"/>
      <c r="G30" s="37">
        <f>G26+G28</f>
        <v>153243133</v>
      </c>
      <c r="H30" s="36">
        <f>H26+H28</f>
        <v>1</v>
      </c>
    </row>
    <row r="31" spans="1:9" x14ac:dyDescent="0.25">
      <c r="I31" s="36"/>
    </row>
    <row r="32" spans="1:9" x14ac:dyDescent="0.25">
      <c r="A32" s="83"/>
      <c r="D32" s="182" t="s">
        <v>109</v>
      </c>
      <c r="E32" s="182" t="s">
        <v>108</v>
      </c>
      <c r="I32" s="36"/>
    </row>
    <row r="33" spans="1:10" x14ac:dyDescent="0.25">
      <c r="B33" s="43" t="s">
        <v>55</v>
      </c>
      <c r="D33" s="182"/>
      <c r="E33" s="182"/>
    </row>
    <row r="34" spans="1:10" x14ac:dyDescent="0.25">
      <c r="A34" s="74">
        <v>14</v>
      </c>
      <c r="B34" t="s">
        <v>57</v>
      </c>
      <c r="D34" s="37">
        <f>D21*E26</f>
        <v>0</v>
      </c>
      <c r="E34" s="37">
        <f>ROUND(D34*'Conversion Factor'!E108,0)</f>
        <v>0</v>
      </c>
      <c r="G34" s="37">
        <f>G21*H26</f>
        <v>0</v>
      </c>
    </row>
    <row r="35" spans="1:10" x14ac:dyDescent="0.25">
      <c r="A35" s="74">
        <v>15</v>
      </c>
      <c r="B35" t="s">
        <v>77</v>
      </c>
      <c r="D35" s="37">
        <f>D21*E28</f>
        <v>0</v>
      </c>
      <c r="E35" s="37">
        <f>ROUND(D35*'Conversion Factor'!E108,0)</f>
        <v>0</v>
      </c>
      <c r="G35" s="37">
        <f>G21*H28</f>
        <v>0</v>
      </c>
    </row>
    <row r="36" spans="1:10" x14ac:dyDescent="0.25">
      <c r="A36" s="74">
        <v>16</v>
      </c>
      <c r="B36" t="s">
        <v>56</v>
      </c>
      <c r="D36" s="41">
        <f>SUM(D34:D35)</f>
        <v>0</v>
      </c>
      <c r="E36" s="41">
        <f>SUM(E34:E35)</f>
        <v>0</v>
      </c>
      <c r="G36" s="41">
        <f>SUM(G34:G35)</f>
        <v>0</v>
      </c>
    </row>
    <row r="38" spans="1:10" ht="32.450000000000003" customHeight="1" x14ac:dyDescent="0.25">
      <c r="A38" s="74" t="s">
        <v>91</v>
      </c>
      <c r="B38" s="78" t="s">
        <v>61</v>
      </c>
      <c r="D38" s="84" t="s">
        <v>110</v>
      </c>
      <c r="E38" s="84" t="s">
        <v>111</v>
      </c>
      <c r="F38" s="84"/>
      <c r="J38" s="98"/>
    </row>
    <row r="39" spans="1:10" ht="32.450000000000003" customHeight="1" x14ac:dyDescent="0.25">
      <c r="A39" s="89">
        <v>1</v>
      </c>
      <c r="B39" s="183" t="s">
        <v>181</v>
      </c>
      <c r="C39" s="183"/>
      <c r="D39" s="88">
        <f>D26</f>
        <v>275352698</v>
      </c>
      <c r="E39" s="88">
        <f>D28</f>
        <v>261165542</v>
      </c>
      <c r="F39" s="88"/>
      <c r="J39" s="88"/>
    </row>
    <row r="40" spans="1:10" x14ac:dyDescent="0.25">
      <c r="B40" s="65"/>
      <c r="C40" s="65"/>
    </row>
    <row r="41" spans="1:10" x14ac:dyDescent="0.25">
      <c r="A41" s="84">
        <v>2</v>
      </c>
      <c r="B41" s="65" t="s">
        <v>182</v>
      </c>
      <c r="C41" s="65"/>
      <c r="D41" s="71">
        <f>'Electric 2024 Rate Calc'!E22</f>
        <v>2655150579.1460719</v>
      </c>
      <c r="E41" s="71">
        <f>'Electric 2024 Rate Calc'!K22</f>
        <v>2110866304.8118193</v>
      </c>
      <c r="F41" s="87"/>
      <c r="G41" s="71" t="e">
        <f>#REF!</f>
        <v>#REF!</v>
      </c>
      <c r="J41" s="94"/>
    </row>
    <row r="42" spans="1:10" ht="13.9" customHeight="1" x14ac:dyDescent="0.25">
      <c r="J42" s="94"/>
    </row>
    <row r="43" spans="1:10" x14ac:dyDescent="0.25">
      <c r="A43" s="84">
        <v>3</v>
      </c>
      <c r="B43" t="s">
        <v>58</v>
      </c>
      <c r="D43" s="46">
        <f>'Electric 2024 Rate Calc'!D28</f>
        <v>-7.9000000000000001E-4</v>
      </c>
      <c r="E43" s="46">
        <f>'Electric 2024 Rate Calc'!J28</f>
        <v>1.4300000000000001E-3</v>
      </c>
    </row>
    <row r="44" spans="1:10" ht="11.45" customHeight="1" x14ac:dyDescent="0.25"/>
    <row r="45" spans="1:10" ht="14.45" customHeight="1" x14ac:dyDescent="0.25">
      <c r="A45" s="74">
        <v>4</v>
      </c>
      <c r="B45" t="s">
        <v>169</v>
      </c>
      <c r="D45" s="147">
        <v>-7.2500000000000004E-3</v>
      </c>
      <c r="E45" s="147">
        <v>-8.8000000000000003E-4</v>
      </c>
    </row>
    <row r="46" spans="1:10" ht="14.45" customHeight="1" x14ac:dyDescent="0.25"/>
    <row r="47" spans="1:10" ht="14.45" customHeight="1" x14ac:dyDescent="0.25">
      <c r="A47" s="84">
        <v>5</v>
      </c>
      <c r="B47" t="s">
        <v>59</v>
      </c>
      <c r="D47" s="46">
        <f>D43-D45</f>
        <v>6.4600000000000005E-3</v>
      </c>
      <c r="E47" s="46">
        <f>E43-E45</f>
        <v>2.31E-3</v>
      </c>
    </row>
    <row r="48" spans="1:10" ht="15" customHeight="1" x14ac:dyDescent="0.25"/>
    <row r="49" spans="1:10" ht="15" customHeight="1" x14ac:dyDescent="0.25">
      <c r="A49" s="74">
        <v>6</v>
      </c>
      <c r="B49" t="s">
        <v>60</v>
      </c>
      <c r="D49" s="44">
        <f>D47*D41</f>
        <v>17152272.741283625</v>
      </c>
      <c r="E49" s="44">
        <f>E47*E41</f>
        <v>4876101.1641153023</v>
      </c>
      <c r="F49" s="44"/>
      <c r="G49" s="44" t="e">
        <f>#REF!+#REF!</f>
        <v>#REF!</v>
      </c>
    </row>
    <row r="50" spans="1:10" ht="12.6" customHeight="1" x14ac:dyDescent="0.25">
      <c r="D50" s="44"/>
      <c r="G50" s="44"/>
    </row>
    <row r="51" spans="1:10" ht="12.6" customHeight="1" x14ac:dyDescent="0.25">
      <c r="A51" s="74">
        <v>7</v>
      </c>
      <c r="B51" t="s">
        <v>62</v>
      </c>
      <c r="D51" s="47">
        <f>D49/D39</f>
        <v>6.2292008997433632E-2</v>
      </c>
      <c r="E51" s="47">
        <f>E49/E39</f>
        <v>1.8670537953721714E-2</v>
      </c>
      <c r="F51" s="47"/>
      <c r="G51" s="47"/>
    </row>
    <row r="52" spans="1:10" ht="13.15" customHeight="1" x14ac:dyDescent="0.25"/>
    <row r="53" spans="1:10" ht="13.15" customHeight="1" x14ac:dyDescent="0.25">
      <c r="A53" s="74">
        <v>8</v>
      </c>
      <c r="B53" t="s">
        <v>177</v>
      </c>
      <c r="D53" s="37">
        <f>IF(D51&gt;0.03,D39*0.03-D49,0)</f>
        <v>-8891691.8012836259</v>
      </c>
      <c r="E53" s="37">
        <f>IF(E51&gt;0.03,E39*0.03-E49,0)</f>
        <v>0</v>
      </c>
      <c r="G53" s="37"/>
    </row>
    <row r="54" spans="1:10" ht="12.6" customHeight="1" x14ac:dyDescent="0.25"/>
    <row r="55" spans="1:10" ht="12.6" customHeight="1" x14ac:dyDescent="0.25">
      <c r="A55" s="74">
        <v>9</v>
      </c>
      <c r="B55" t="s">
        <v>63</v>
      </c>
      <c r="D55" s="46">
        <v>0</v>
      </c>
      <c r="E55" s="46">
        <f>ROUND(E53/E41,5)</f>
        <v>0</v>
      </c>
    </row>
    <row r="56" spans="1:10" ht="6" customHeight="1" x14ac:dyDescent="0.25"/>
    <row r="57" spans="1:10" x14ac:dyDescent="0.25">
      <c r="A57" s="74">
        <v>10</v>
      </c>
      <c r="B57" t="s">
        <v>64</v>
      </c>
      <c r="D57" s="46">
        <f>D43+D55</f>
        <v>-7.9000000000000001E-4</v>
      </c>
      <c r="E57" s="46">
        <f>E43+E55</f>
        <v>1.4300000000000001E-3</v>
      </c>
    </row>
    <row r="58" spans="1:10" ht="13.9" customHeight="1" x14ac:dyDescent="0.25"/>
    <row r="59" spans="1:10" ht="13.9" customHeight="1" x14ac:dyDescent="0.25">
      <c r="A59" s="74">
        <v>11</v>
      </c>
      <c r="B59" t="s">
        <v>65</v>
      </c>
      <c r="D59" s="44">
        <f>(D57-D45)*D41</f>
        <v>17152272.741283625</v>
      </c>
      <c r="E59" s="44">
        <f>(E57-E45)*E41</f>
        <v>4876101.1641153023</v>
      </c>
      <c r="F59" s="44"/>
      <c r="G59" s="49" t="e">
        <f>#REF!+#REF!</f>
        <v>#REF!</v>
      </c>
      <c r="J59" s="35"/>
    </row>
    <row r="60" spans="1:10" ht="14.45" customHeight="1" x14ac:dyDescent="0.25">
      <c r="D60" s="49"/>
      <c r="G60" s="49"/>
    </row>
    <row r="61" spans="1:10" ht="14.45" customHeight="1" x14ac:dyDescent="0.25">
      <c r="A61" s="74">
        <v>12</v>
      </c>
      <c r="B61" t="s">
        <v>66</v>
      </c>
      <c r="D61" s="47">
        <f>D59/D39</f>
        <v>6.2292008997433632E-2</v>
      </c>
      <c r="E61" s="47">
        <f>E59/E39</f>
        <v>1.8670537953721714E-2</v>
      </c>
      <c r="F61" s="47"/>
    </row>
    <row r="62" spans="1:10" ht="16.149999999999999" customHeight="1" x14ac:dyDescent="0.25"/>
    <row r="63" spans="1:10" ht="16.149999999999999" customHeight="1" x14ac:dyDescent="0.25">
      <c r="B63" t="s">
        <v>69</v>
      </c>
    </row>
    <row r="64" spans="1:10" ht="31.5" customHeight="1" x14ac:dyDescent="0.25">
      <c r="B64" s="181" t="s">
        <v>189</v>
      </c>
      <c r="C64" s="181"/>
      <c r="D64" s="181"/>
      <c r="E64" s="181"/>
      <c r="F64" s="181"/>
      <c r="G64" s="181"/>
      <c r="H64" s="181"/>
    </row>
    <row r="65" spans="2:8" ht="54" customHeight="1" x14ac:dyDescent="0.25">
      <c r="B65" s="181" t="s">
        <v>174</v>
      </c>
      <c r="C65" s="181"/>
      <c r="D65" s="181"/>
      <c r="E65" s="181"/>
      <c r="F65" s="181"/>
      <c r="G65" s="181"/>
      <c r="H65" s="181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6"/>
  <sheetViews>
    <sheetView topLeftCell="A89" zoomScaleNormal="100" workbookViewId="0">
      <selection activeCell="A92" sqref="A92"/>
    </sheetView>
  </sheetViews>
  <sheetFormatPr defaultRowHeight="15" x14ac:dyDescent="0.25"/>
  <cols>
    <col min="1" max="1" width="6.42578125" customWidth="1"/>
    <col min="2" max="2" width="2.140625" customWidth="1"/>
    <col min="3" max="3" width="37.28515625" customWidth="1"/>
    <col min="5" max="5" width="11.42578125" bestFit="1" customWidth="1"/>
    <col min="6" max="6" width="2.28515625" customWidth="1"/>
  </cols>
  <sheetData>
    <row r="1" spans="1:5" ht="14.45" hidden="1" customHeight="1" x14ac:dyDescent="0.25">
      <c r="A1" s="1" t="s">
        <v>13</v>
      </c>
      <c r="B1" s="1"/>
      <c r="C1" s="1"/>
      <c r="D1" s="1"/>
      <c r="E1" s="2"/>
    </row>
    <row r="2" spans="1:5" hidden="1" x14ac:dyDescent="0.25">
      <c r="A2" s="185" t="s">
        <v>14</v>
      </c>
      <c r="B2" s="185"/>
      <c r="C2" s="185"/>
      <c r="D2" s="185"/>
      <c r="E2" s="185"/>
    </row>
    <row r="3" spans="1:5" hidden="1" x14ac:dyDescent="0.25">
      <c r="A3" s="185" t="s">
        <v>15</v>
      </c>
      <c r="B3" s="185"/>
      <c r="C3" s="185"/>
      <c r="D3" s="185"/>
      <c r="E3" s="185"/>
    </row>
    <row r="4" spans="1:5" ht="15.75" hidden="1" x14ac:dyDescent="0.25">
      <c r="A4" s="185" t="s">
        <v>16</v>
      </c>
      <c r="B4" s="188"/>
      <c r="C4" s="185"/>
      <c r="D4" s="185"/>
      <c r="E4" s="185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17</v>
      </c>
      <c r="B6" s="5"/>
      <c r="C6" s="5"/>
      <c r="D6" s="5"/>
      <c r="E6" s="6"/>
    </row>
    <row r="7" spans="1:5" hidden="1" x14ac:dyDescent="0.2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22</v>
      </c>
      <c r="D11" s="14"/>
      <c r="E11" s="12"/>
    </row>
    <row r="12" spans="1:5" hidden="1" x14ac:dyDescent="0.2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25">
      <c r="A17" s="10"/>
      <c r="B17" s="3"/>
      <c r="C17" s="14"/>
      <c r="D17" s="14"/>
      <c r="E17" s="14"/>
    </row>
    <row r="18" spans="1:5" ht="15.75" hidden="1" thickBot="1" x14ac:dyDescent="0.3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25">
      <c r="A25" s="20"/>
      <c r="B25" s="20"/>
      <c r="C25" s="20"/>
      <c r="D25" s="20"/>
      <c r="E25" s="20"/>
    </row>
    <row r="26" spans="1:5" hidden="1" x14ac:dyDescent="0.25">
      <c r="C26" t="s">
        <v>30</v>
      </c>
    </row>
    <row r="27" spans="1:5" hidden="1" x14ac:dyDescent="0.25">
      <c r="C27" t="s">
        <v>31</v>
      </c>
    </row>
    <row r="28" spans="1:5" hidden="1" x14ac:dyDescent="0.25">
      <c r="C28" t="s">
        <v>37</v>
      </c>
      <c r="E28">
        <f>1/E20</f>
        <v>1.0475537002215576</v>
      </c>
    </row>
    <row r="29" spans="1:5" hidden="1" x14ac:dyDescent="0.25"/>
    <row r="30" spans="1:5" ht="14.45" hidden="1" customHeight="1" x14ac:dyDescent="0.2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25">
      <c r="A31" s="185" t="s">
        <v>14</v>
      </c>
      <c r="B31" s="185"/>
      <c r="C31" s="185"/>
      <c r="D31" s="185"/>
      <c r="E31" s="185"/>
    </row>
    <row r="32" spans="1:5" hidden="1" x14ac:dyDescent="0.25">
      <c r="A32" s="185" t="s">
        <v>15</v>
      </c>
      <c r="B32" s="185"/>
      <c r="C32" s="185"/>
      <c r="D32" s="185"/>
      <c r="E32" s="185"/>
    </row>
    <row r="33" spans="1:5" ht="15.75" hidden="1" x14ac:dyDescent="0.25">
      <c r="A33" s="185" t="s">
        <v>32</v>
      </c>
      <c r="B33" s="188"/>
      <c r="C33" s="185"/>
      <c r="D33" s="185"/>
      <c r="E33" s="185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17</v>
      </c>
      <c r="B35" s="5"/>
      <c r="C35" s="5"/>
      <c r="D35" s="5"/>
      <c r="E35" s="6"/>
    </row>
    <row r="36" spans="1:5" hidden="1" x14ac:dyDescent="0.2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22</v>
      </c>
      <c r="D40" s="14"/>
      <c r="E40" s="12"/>
    </row>
    <row r="41" spans="1:5" hidden="1" x14ac:dyDescent="0.2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5" hidden="1" x14ac:dyDescent="0.2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25">
      <c r="A50" s="3"/>
      <c r="B50" s="3"/>
      <c r="C50" s="14"/>
      <c r="D50" s="14"/>
      <c r="E50" s="16"/>
    </row>
    <row r="51" spans="1:5" hidden="1" x14ac:dyDescent="0.2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25">
      <c r="A52" s="3"/>
      <c r="B52" s="3"/>
      <c r="C52" s="14"/>
      <c r="D52" s="14"/>
      <c r="E52" s="16"/>
    </row>
    <row r="53" spans="1:5" hidden="1" x14ac:dyDescent="0.2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25">
      <c r="A54" s="3"/>
      <c r="B54" s="3"/>
      <c r="C54" s="14"/>
      <c r="D54" s="14"/>
      <c r="E54" s="16"/>
    </row>
    <row r="55" spans="1:5" ht="15.75" hidden="1" thickBot="1" x14ac:dyDescent="0.3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25">
      <c r="A56" s="20"/>
      <c r="B56" s="20"/>
      <c r="C56" s="20"/>
      <c r="D56" s="20"/>
      <c r="E56" s="20"/>
    </row>
    <row r="57" spans="1:5" hidden="1" x14ac:dyDescent="0.25">
      <c r="C57" t="s">
        <v>30</v>
      </c>
    </row>
    <row r="58" spans="1:5" hidden="1" x14ac:dyDescent="0.25">
      <c r="C58" t="s">
        <v>34</v>
      </c>
    </row>
    <row r="59" spans="1:5" hidden="1" x14ac:dyDescent="0.25">
      <c r="C59" t="s">
        <v>37</v>
      </c>
      <c r="E59">
        <f>1/E51</f>
        <v>1.0471320012699215</v>
      </c>
    </row>
    <row r="60" spans="1:5" hidden="1" x14ac:dyDescent="0.25"/>
    <row r="61" spans="1:5" hidden="1" x14ac:dyDescent="0.25">
      <c r="A61" s="184" t="s">
        <v>14</v>
      </c>
      <c r="B61" s="184"/>
      <c r="C61" s="184"/>
      <c r="D61" s="184"/>
      <c r="E61" s="184"/>
    </row>
    <row r="62" spans="1:5" hidden="1" x14ac:dyDescent="0.25">
      <c r="A62" s="185" t="s">
        <v>15</v>
      </c>
      <c r="B62" s="185"/>
      <c r="C62" s="185"/>
      <c r="D62" s="185"/>
      <c r="E62" s="185"/>
    </row>
    <row r="63" spans="1:5" ht="15.6" hidden="1" customHeight="1" x14ac:dyDescent="0.25">
      <c r="A63" s="186" t="s">
        <v>35</v>
      </c>
      <c r="B63" s="187"/>
      <c r="C63" s="186"/>
      <c r="D63" s="186"/>
      <c r="E63" s="186"/>
    </row>
    <row r="64" spans="1:5" hidden="1" x14ac:dyDescent="0.25">
      <c r="A64" s="3"/>
      <c r="B64" s="3"/>
      <c r="C64" s="3"/>
      <c r="D64" s="3"/>
      <c r="E64" s="4"/>
    </row>
    <row r="65" spans="1:5" hidden="1" x14ac:dyDescent="0.25">
      <c r="A65" s="5" t="s">
        <v>17</v>
      </c>
      <c r="B65" s="5"/>
      <c r="C65" s="5"/>
      <c r="D65" s="5"/>
      <c r="E65" s="6"/>
    </row>
    <row r="66" spans="1:5" hidden="1" x14ac:dyDescent="0.2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22</v>
      </c>
      <c r="D70" s="14"/>
      <c r="E70" s="12"/>
    </row>
    <row r="71" spans="1:5" hidden="1" x14ac:dyDescent="0.2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25">
      <c r="A80" s="3"/>
      <c r="B80" s="3"/>
      <c r="C80" s="14"/>
      <c r="D80" s="14"/>
      <c r="E80" s="16"/>
    </row>
    <row r="81" spans="1:7" hidden="1" x14ac:dyDescent="0.2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7" hidden="1" x14ac:dyDescent="0.25">
      <c r="A82" s="3"/>
      <c r="B82" s="3"/>
      <c r="C82" s="14"/>
      <c r="D82" s="14"/>
      <c r="E82" s="16"/>
    </row>
    <row r="83" spans="1:7" ht="15.75" hidden="1" thickBot="1" x14ac:dyDescent="0.3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7" hidden="1" x14ac:dyDescent="0.25"/>
    <row r="85" spans="1:7" hidden="1" x14ac:dyDescent="0.25">
      <c r="C85" t="s">
        <v>36</v>
      </c>
    </row>
    <row r="86" spans="1:7" hidden="1" x14ac:dyDescent="0.25">
      <c r="C86" t="s">
        <v>34</v>
      </c>
    </row>
    <row r="87" spans="1:7" hidden="1" x14ac:dyDescent="0.25">
      <c r="C87" t="s">
        <v>37</v>
      </c>
      <c r="E87">
        <f>1/E79</f>
        <v>1.0486165915892141</v>
      </c>
    </row>
    <row r="88" spans="1:7" hidden="1" x14ac:dyDescent="0.25"/>
    <row r="89" spans="1:7" x14ac:dyDescent="0.25">
      <c r="A89" s="1" t="s">
        <v>13</v>
      </c>
      <c r="B89" s="1"/>
      <c r="C89" s="1"/>
      <c r="D89" s="1"/>
      <c r="E89" s="2"/>
    </row>
    <row r="90" spans="1:7" x14ac:dyDescent="0.25">
      <c r="A90" s="1" t="s">
        <v>14</v>
      </c>
      <c r="B90" s="1"/>
      <c r="C90" s="1"/>
      <c r="D90" s="1"/>
      <c r="E90" s="2"/>
    </row>
    <row r="91" spans="1:7" x14ac:dyDescent="0.25">
      <c r="A91" s="1" t="s">
        <v>15</v>
      </c>
      <c r="B91" s="1"/>
      <c r="C91" s="1"/>
      <c r="D91" s="1"/>
      <c r="E91" s="2"/>
    </row>
    <row r="92" spans="1:7" x14ac:dyDescent="0.25">
      <c r="A92" s="1" t="s">
        <v>188</v>
      </c>
      <c r="B92" s="1"/>
      <c r="C92" s="1"/>
      <c r="D92" s="1"/>
      <c r="E92" s="2"/>
      <c r="G92" s="65"/>
    </row>
    <row r="93" spans="1:7" x14ac:dyDescent="0.25">
      <c r="A93" s="3"/>
      <c r="B93" s="3"/>
      <c r="C93" s="3"/>
      <c r="D93" s="3"/>
      <c r="E93" s="4"/>
    </row>
    <row r="94" spans="1:7" x14ac:dyDescent="0.25">
      <c r="A94" s="5" t="s">
        <v>17</v>
      </c>
      <c r="B94" s="5"/>
      <c r="C94" s="5"/>
      <c r="D94" s="5"/>
      <c r="E94" s="6"/>
    </row>
    <row r="95" spans="1:7" x14ac:dyDescent="0.25">
      <c r="A95" s="7" t="s">
        <v>18</v>
      </c>
      <c r="B95" s="5"/>
      <c r="C95" s="7" t="s">
        <v>19</v>
      </c>
      <c r="D95" s="8"/>
      <c r="E95" s="9" t="s">
        <v>20</v>
      </c>
    </row>
    <row r="96" spans="1:7" x14ac:dyDescent="0.25">
      <c r="A96" s="3"/>
      <c r="B96" s="3"/>
      <c r="C96" s="3"/>
      <c r="D96" s="3"/>
      <c r="E96" s="4"/>
    </row>
    <row r="97" spans="1:5" x14ac:dyDescent="0.25">
      <c r="A97" s="10">
        <v>1</v>
      </c>
      <c r="B97" s="3"/>
      <c r="C97" s="11" t="s">
        <v>21</v>
      </c>
      <c r="D97" s="3"/>
      <c r="E97" s="12">
        <v>1</v>
      </c>
    </row>
    <row r="98" spans="1:5" x14ac:dyDescent="0.25">
      <c r="A98" s="10"/>
      <c r="B98" s="3"/>
      <c r="C98" s="3"/>
      <c r="D98" s="3"/>
      <c r="E98" s="12"/>
    </row>
    <row r="99" spans="1:5" x14ac:dyDescent="0.25">
      <c r="A99" s="10"/>
      <c r="B99" s="3"/>
      <c r="C99" s="13" t="s">
        <v>22</v>
      </c>
      <c r="D99" s="14"/>
      <c r="E99" s="12"/>
    </row>
    <row r="100" spans="1:5" x14ac:dyDescent="0.25">
      <c r="A100" s="10">
        <v>2</v>
      </c>
      <c r="B100" s="3"/>
      <c r="C100" s="14" t="s">
        <v>23</v>
      </c>
      <c r="D100" s="14"/>
      <c r="E100" s="148">
        <v>3.3262885794710221E-3</v>
      </c>
    </row>
    <row r="101" spans="1:5" x14ac:dyDescent="0.25">
      <c r="A101" s="10"/>
      <c r="B101" s="3"/>
      <c r="C101" s="14"/>
      <c r="D101" s="14"/>
      <c r="E101" s="136"/>
    </row>
    <row r="102" spans="1:5" x14ac:dyDescent="0.25">
      <c r="A102" s="10">
        <v>3</v>
      </c>
      <c r="B102" s="3"/>
      <c r="C102" s="14" t="s">
        <v>24</v>
      </c>
      <c r="D102" s="14"/>
      <c r="E102" s="148">
        <v>2E-3</v>
      </c>
    </row>
    <row r="103" spans="1:5" x14ac:dyDescent="0.25">
      <c r="A103" s="10"/>
      <c r="B103" s="3"/>
      <c r="C103" s="14"/>
      <c r="D103" s="14"/>
      <c r="E103" s="136"/>
    </row>
    <row r="104" spans="1:5" x14ac:dyDescent="0.25">
      <c r="A104" s="10">
        <v>4</v>
      </c>
      <c r="B104" s="3"/>
      <c r="C104" s="14" t="s">
        <v>25</v>
      </c>
      <c r="D104" s="14"/>
      <c r="E104" s="148">
        <v>3.8605159538162764E-2</v>
      </c>
    </row>
    <row r="105" spans="1:5" x14ac:dyDescent="0.25">
      <c r="A105" s="10"/>
      <c r="B105" s="3"/>
      <c r="C105" s="14"/>
      <c r="D105" s="14"/>
      <c r="E105" s="14"/>
    </row>
    <row r="106" spans="1:5" x14ac:dyDescent="0.25">
      <c r="A106" s="10">
        <v>5</v>
      </c>
      <c r="B106" s="3"/>
      <c r="C106" s="14" t="s">
        <v>26</v>
      </c>
      <c r="D106" s="14"/>
      <c r="E106" s="15">
        <f>ROUND(SUM(E100:E105),6)</f>
        <v>4.3930999999999998E-2</v>
      </c>
    </row>
    <row r="107" spans="1:5" x14ac:dyDescent="0.25">
      <c r="A107" s="3"/>
      <c r="B107" s="3"/>
      <c r="C107" s="14"/>
      <c r="D107" s="14"/>
      <c r="E107" s="16"/>
    </row>
    <row r="108" spans="1:5" x14ac:dyDescent="0.25">
      <c r="A108" s="10">
        <v>6</v>
      </c>
      <c r="B108" s="3"/>
      <c r="C108" s="14" t="s">
        <v>27</v>
      </c>
      <c r="D108" s="14"/>
      <c r="E108" s="16">
        <f>E97-E106</f>
        <v>0.95606900000000006</v>
      </c>
    </row>
    <row r="109" spans="1:5" x14ac:dyDescent="0.25">
      <c r="A109" s="3"/>
      <c r="B109" s="3"/>
      <c r="C109" s="14"/>
      <c r="D109" s="14"/>
      <c r="E109" s="16"/>
    </row>
    <row r="110" spans="1:5" x14ac:dyDescent="0.25">
      <c r="A110" s="10">
        <v>7</v>
      </c>
      <c r="B110" s="3"/>
      <c r="C110" s="14" t="s">
        <v>164</v>
      </c>
      <c r="D110" s="17"/>
      <c r="E110" s="18">
        <f>ROUND(E108*0.21,6)</f>
        <v>0.20077400000000001</v>
      </c>
    </row>
    <row r="111" spans="1:5" x14ac:dyDescent="0.25">
      <c r="A111" s="3"/>
      <c r="B111" s="3"/>
      <c r="C111" s="14"/>
      <c r="D111" s="14"/>
      <c r="E111" s="16"/>
    </row>
    <row r="112" spans="1:5" ht="15.75" thickBot="1" x14ac:dyDescent="0.3">
      <c r="A112" s="10">
        <v>8</v>
      </c>
      <c r="B112" s="3"/>
      <c r="C112" s="13" t="s">
        <v>29</v>
      </c>
      <c r="D112" s="14"/>
      <c r="E112" s="24">
        <f>ROUND(E108-E110,6)</f>
        <v>0.75529500000000005</v>
      </c>
    </row>
    <row r="113" spans="1:7" ht="15.75" thickTop="1" x14ac:dyDescent="0.25">
      <c r="A113" s="3"/>
      <c r="B113" s="3"/>
      <c r="C113" s="3"/>
      <c r="D113" s="3"/>
      <c r="E113" s="4"/>
    </row>
    <row r="114" spans="1:7" x14ac:dyDescent="0.25">
      <c r="A114" s="74">
        <v>9</v>
      </c>
      <c r="C114" t="s">
        <v>37</v>
      </c>
      <c r="E114">
        <f>ROUND(1/E108,6)</f>
        <v>1.0459499999999999</v>
      </c>
    </row>
    <row r="116" spans="1:7" x14ac:dyDescent="0.25">
      <c r="A116" s="65"/>
      <c r="G116" s="65"/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zoomScale="80" zoomScaleNormal="80" workbookViewId="0">
      <selection activeCell="G11" sqref="G11"/>
    </sheetView>
  </sheetViews>
  <sheetFormatPr defaultRowHeight="15" x14ac:dyDescent="0.25"/>
  <cols>
    <col min="1" max="1" width="2.140625" customWidth="1"/>
    <col min="2" max="2" width="23.28515625" customWidth="1"/>
    <col min="3" max="3" width="8.42578125" customWidth="1"/>
    <col min="4" max="4" width="14.85546875" bestFit="1" customWidth="1"/>
    <col min="5" max="5" width="12.28515625" bestFit="1" customWidth="1"/>
    <col min="6" max="6" width="14.28515625" bestFit="1" customWidth="1"/>
    <col min="7" max="7" width="13.28515625" customWidth="1"/>
    <col min="8" max="8" width="14.28515625" customWidth="1"/>
    <col min="9" max="9" width="11.42578125" customWidth="1"/>
    <col min="10" max="10" width="12.28515625" customWidth="1"/>
    <col min="11" max="11" width="1.7109375" customWidth="1"/>
    <col min="12" max="12" width="14.5703125" bestFit="1" customWidth="1"/>
    <col min="13" max="13" width="7.7109375" customWidth="1"/>
  </cols>
  <sheetData>
    <row r="1" spans="2:13" x14ac:dyDescent="0.25">
      <c r="B1" s="43" t="s">
        <v>0</v>
      </c>
    </row>
    <row r="2" spans="2:13" x14ac:dyDescent="0.25">
      <c r="B2" s="43" t="s">
        <v>119</v>
      </c>
    </row>
    <row r="3" spans="2:13" x14ac:dyDescent="0.25">
      <c r="B3" s="43" t="s">
        <v>190</v>
      </c>
    </row>
    <row r="4" spans="2:13" x14ac:dyDescent="0.25">
      <c r="B4" s="43" t="s">
        <v>165</v>
      </c>
    </row>
    <row r="6" spans="2:13" x14ac:dyDescent="0.25">
      <c r="D6" s="99" t="s">
        <v>120</v>
      </c>
      <c r="E6" s="99" t="s">
        <v>121</v>
      </c>
      <c r="F6" s="99" t="s">
        <v>122</v>
      </c>
      <c r="G6" s="99" t="s">
        <v>123</v>
      </c>
      <c r="H6" s="99" t="s">
        <v>124</v>
      </c>
      <c r="I6" s="99" t="s">
        <v>124</v>
      </c>
      <c r="J6" s="99" t="s">
        <v>125</v>
      </c>
      <c r="L6" s="99" t="s">
        <v>122</v>
      </c>
    </row>
    <row r="7" spans="2:13" x14ac:dyDescent="0.25">
      <c r="B7" s="100" t="s">
        <v>126</v>
      </c>
      <c r="C7" s="100" t="s">
        <v>127</v>
      </c>
      <c r="D7" s="99" t="s">
        <v>128</v>
      </c>
      <c r="E7" s="99" t="s">
        <v>120</v>
      </c>
      <c r="F7" s="99" t="s">
        <v>120</v>
      </c>
      <c r="G7" s="99" t="s">
        <v>120</v>
      </c>
      <c r="H7" s="99" t="s">
        <v>120</v>
      </c>
      <c r="I7" s="99" t="s">
        <v>120</v>
      </c>
      <c r="J7" s="99" t="s">
        <v>129</v>
      </c>
      <c r="L7" s="99" t="s">
        <v>130</v>
      </c>
    </row>
    <row r="8" spans="2:13" x14ac:dyDescent="0.25">
      <c r="B8" s="101" t="s">
        <v>131</v>
      </c>
      <c r="C8" s="101" t="s">
        <v>132</v>
      </c>
      <c r="D8" s="102" t="s">
        <v>133</v>
      </c>
      <c r="E8" s="102" t="s">
        <v>129</v>
      </c>
      <c r="F8" s="102" t="s">
        <v>134</v>
      </c>
      <c r="G8" s="102" t="s">
        <v>163</v>
      </c>
      <c r="H8" s="102" t="s">
        <v>134</v>
      </c>
      <c r="I8" s="102" t="s">
        <v>129</v>
      </c>
      <c r="J8" s="103" t="s">
        <v>135</v>
      </c>
      <c r="L8" s="104" t="s">
        <v>134</v>
      </c>
    </row>
    <row r="9" spans="2:13" x14ac:dyDescent="0.25">
      <c r="B9" s="100" t="s">
        <v>136</v>
      </c>
      <c r="C9" s="100" t="s">
        <v>137</v>
      </c>
      <c r="D9" s="100" t="s">
        <v>138</v>
      </c>
      <c r="E9" s="100" t="s">
        <v>139</v>
      </c>
      <c r="F9" s="100" t="s">
        <v>140</v>
      </c>
      <c r="G9" s="100" t="s">
        <v>141</v>
      </c>
      <c r="H9" s="100" t="s">
        <v>142</v>
      </c>
      <c r="I9" s="100" t="s">
        <v>143</v>
      </c>
      <c r="J9" s="104" t="s">
        <v>144</v>
      </c>
    </row>
    <row r="10" spans="2:13" x14ac:dyDescent="0.25">
      <c r="B10" s="105"/>
      <c r="C10" s="100"/>
    </row>
    <row r="11" spans="2:13" x14ac:dyDescent="0.25">
      <c r="B11" s="126" t="s">
        <v>110</v>
      </c>
      <c r="C11" s="127" t="s">
        <v>145</v>
      </c>
      <c r="D11" s="122">
        <f>SUM('4 10 24 Forecast Usage by Sched'!Q9:Q20)</f>
        <v>2655150579.1460719</v>
      </c>
      <c r="E11" s="149">
        <f>'Earnings Test and 3% Test'!D45</f>
        <v>-7.2500000000000004E-3</v>
      </c>
      <c r="F11" s="128">
        <f>D11*E11</f>
        <v>-19249841.698809024</v>
      </c>
      <c r="G11" s="129">
        <f>H11-F11</f>
        <v>17152272.741283625</v>
      </c>
      <c r="H11" s="123">
        <f>D11*I11</f>
        <v>-2097568.9575253967</v>
      </c>
      <c r="I11" s="109">
        <f>'Electric 2024 Rate Calc'!D30</f>
        <v>-7.9000000000000001E-4</v>
      </c>
      <c r="J11" s="130">
        <f>ROUND(I11-E11,5)</f>
        <v>6.4599999999999996E-3</v>
      </c>
      <c r="K11" s="43"/>
      <c r="L11" s="164">
        <v>275352698</v>
      </c>
      <c r="M11" s="125">
        <f>G11/L11</f>
        <v>6.2292008997433632E-2</v>
      </c>
    </row>
    <row r="12" spans="2:13" x14ac:dyDescent="0.25">
      <c r="B12" s="105"/>
      <c r="C12" s="100"/>
      <c r="E12" s="65"/>
      <c r="F12" s="44"/>
      <c r="G12" s="44"/>
      <c r="H12" s="37"/>
      <c r="I12" s="109"/>
      <c r="J12" s="110"/>
      <c r="L12" s="64"/>
      <c r="M12" s="35"/>
    </row>
    <row r="13" spans="2:13" x14ac:dyDescent="0.25">
      <c r="B13" s="105" t="s">
        <v>146</v>
      </c>
      <c r="C13" s="111" t="s">
        <v>170</v>
      </c>
      <c r="D13" s="107">
        <f>SUM('4 10 24 Forecast Usage by Sched'!E9:G20)</f>
        <v>684568236.31373835</v>
      </c>
      <c r="E13" s="149">
        <f>'Earnings Test and 3% Test'!E45</f>
        <v>-8.8000000000000003E-4</v>
      </c>
      <c r="F13" s="44">
        <f t="shared" ref="F13:F17" si="0">D13*E13</f>
        <v>-602420.04795608972</v>
      </c>
      <c r="G13" s="44">
        <f>H13-F13</f>
        <v>1581352.6258847355</v>
      </c>
      <c r="H13" s="37">
        <f>D13*I13</f>
        <v>978932.57792864589</v>
      </c>
      <c r="I13" s="109">
        <f>'Electric 2024 Rate Calc'!J30</f>
        <v>1.4300000000000001E-3</v>
      </c>
      <c r="J13" s="110">
        <f t="shared" ref="J13:J17" si="1">I13-E13</f>
        <v>2.31E-3</v>
      </c>
      <c r="L13" s="146">
        <v>99092914</v>
      </c>
      <c r="M13" s="35">
        <f t="shared" ref="M13:M25" si="2">G13/L13</f>
        <v>1.5958281597054817E-2</v>
      </c>
    </row>
    <row r="14" spans="2:13" x14ac:dyDescent="0.25">
      <c r="B14" s="105"/>
      <c r="C14" s="100"/>
      <c r="E14" s="150"/>
      <c r="F14" s="44"/>
      <c r="G14" s="44"/>
      <c r="H14" s="37"/>
      <c r="I14" s="109"/>
      <c r="J14" s="110"/>
      <c r="L14" s="64"/>
      <c r="M14" s="35"/>
    </row>
    <row r="15" spans="2:13" x14ac:dyDescent="0.25">
      <c r="B15" s="105" t="s">
        <v>147</v>
      </c>
      <c r="C15" s="106" t="s">
        <v>171</v>
      </c>
      <c r="D15" s="107">
        <f>SUM('4 10 24 Forecast Usage by Sched'!H9:J20)</f>
        <v>1277870455.3854327</v>
      </c>
      <c r="E15" s="149">
        <f>'Earnings Test and 3% Test'!E45</f>
        <v>-8.8000000000000003E-4</v>
      </c>
      <c r="F15" s="44">
        <f t="shared" si="0"/>
        <v>-1124526.0007391809</v>
      </c>
      <c r="G15" s="44">
        <f>H15-F15</f>
        <v>2951880.75194035</v>
      </c>
      <c r="H15" s="37">
        <f>D15*I15</f>
        <v>1827354.7512011689</v>
      </c>
      <c r="I15" s="109">
        <f>I13</f>
        <v>1.4300000000000001E-3</v>
      </c>
      <c r="J15" s="110">
        <f t="shared" si="1"/>
        <v>2.31E-3</v>
      </c>
      <c r="L15" s="146">
        <v>146773104</v>
      </c>
      <c r="M15" s="35">
        <f t="shared" si="2"/>
        <v>2.0111864309555992E-2</v>
      </c>
    </row>
    <row r="16" spans="2:13" x14ac:dyDescent="0.25">
      <c r="B16" s="105"/>
      <c r="C16" s="100"/>
      <c r="E16" s="150"/>
      <c r="F16" s="44"/>
      <c r="G16" s="44"/>
      <c r="H16" s="37"/>
      <c r="I16" s="109"/>
      <c r="J16" s="110"/>
      <c r="L16" s="64"/>
      <c r="M16" s="35"/>
    </row>
    <row r="17" spans="2:13" x14ac:dyDescent="0.25">
      <c r="B17" s="105" t="s">
        <v>148</v>
      </c>
      <c r="C17" s="106" t="s">
        <v>149</v>
      </c>
      <c r="D17" s="107">
        <f>SUM('4 10 24 Forecast Usage by Sched'!L9:M20)</f>
        <v>148427613.11264831</v>
      </c>
      <c r="E17" s="149">
        <f>'Earnings Test and 3% Test'!E45</f>
        <v>-8.8000000000000003E-4</v>
      </c>
      <c r="F17" s="44">
        <f t="shared" si="0"/>
        <v>-130616.29953913052</v>
      </c>
      <c r="G17" s="44">
        <f>H17-F17</f>
        <v>342867.7862902176</v>
      </c>
      <c r="H17" s="37">
        <f>D17*I17</f>
        <v>212251.4867510871</v>
      </c>
      <c r="I17" s="109">
        <f>I15</f>
        <v>1.4300000000000001E-3</v>
      </c>
      <c r="J17" s="110">
        <f t="shared" si="1"/>
        <v>2.31E-3</v>
      </c>
      <c r="L17" s="146">
        <v>15299524</v>
      </c>
      <c r="M17" s="35">
        <f t="shared" si="2"/>
        <v>2.2410356445744167E-2</v>
      </c>
    </row>
    <row r="18" spans="2:13" x14ac:dyDescent="0.25">
      <c r="B18" s="105"/>
      <c r="C18" s="106"/>
      <c r="D18" s="107"/>
      <c r="E18" s="108"/>
      <c r="F18" s="44"/>
      <c r="G18" s="44"/>
      <c r="H18" s="37"/>
      <c r="I18" s="109"/>
      <c r="J18" s="110"/>
      <c r="L18" s="64"/>
      <c r="M18" s="35"/>
    </row>
    <row r="19" spans="2:13" x14ac:dyDescent="0.25">
      <c r="B19" s="105" t="s">
        <v>150</v>
      </c>
      <c r="C19" s="106">
        <v>25</v>
      </c>
      <c r="D19" s="112" t="s">
        <v>151</v>
      </c>
      <c r="E19" s="108"/>
      <c r="F19" s="44"/>
      <c r="G19" s="44"/>
      <c r="H19" s="37"/>
      <c r="I19" s="109"/>
      <c r="J19" s="110"/>
      <c r="L19" s="146">
        <f>52385520+22791905</f>
        <v>75177425</v>
      </c>
      <c r="M19" s="35">
        <v>0</v>
      </c>
    </row>
    <row r="20" spans="2:13" x14ac:dyDescent="0.25">
      <c r="B20" s="105"/>
      <c r="C20" s="106"/>
      <c r="D20" s="112"/>
      <c r="E20" s="108"/>
      <c r="F20" s="44"/>
      <c r="G20" s="115"/>
      <c r="H20" s="37"/>
      <c r="I20" s="109"/>
      <c r="J20" s="110"/>
      <c r="L20" s="64"/>
      <c r="M20" s="35"/>
    </row>
    <row r="21" spans="2:13" x14ac:dyDescent="0.25">
      <c r="B21" s="105" t="s">
        <v>152</v>
      </c>
      <c r="C21" s="106" t="s">
        <v>153</v>
      </c>
      <c r="D21" s="112" t="s">
        <v>151</v>
      </c>
      <c r="E21" s="108"/>
      <c r="F21" s="44"/>
      <c r="G21" s="44"/>
      <c r="H21" s="37"/>
      <c r="I21" s="109"/>
      <c r="J21" s="110"/>
      <c r="L21" s="146">
        <v>7509660</v>
      </c>
      <c r="M21" s="35">
        <v>0</v>
      </c>
    </row>
    <row r="22" spans="2:13" x14ac:dyDescent="0.25">
      <c r="B22" s="105"/>
      <c r="C22" s="100"/>
      <c r="L22" s="44"/>
      <c r="M22" s="35"/>
    </row>
    <row r="23" spans="2:13" x14ac:dyDescent="0.25">
      <c r="B23" s="113" t="s">
        <v>56</v>
      </c>
      <c r="C23" s="100"/>
      <c r="D23" s="107">
        <f>SUM(D11:D17)</f>
        <v>4766016883.9578915</v>
      </c>
      <c r="F23" s="37">
        <f>SUM(F11:F17)</f>
        <v>-21107404.047043424</v>
      </c>
      <c r="G23" s="37">
        <f>SUM(G11:G17)</f>
        <v>22028373.905398928</v>
      </c>
      <c r="H23" s="37">
        <f>SUM(H11:H17)</f>
        <v>920969.85835550528</v>
      </c>
      <c r="L23" s="145">
        <f>SUM(L11:L21)</f>
        <v>619205325</v>
      </c>
      <c r="M23" s="35">
        <f>G23/L23</f>
        <v>3.5575233312793178E-2</v>
      </c>
    </row>
    <row r="25" spans="2:13" x14ac:dyDescent="0.25">
      <c r="B25" s="43" t="s">
        <v>154</v>
      </c>
      <c r="D25" s="122">
        <f>SUM(D13:D17)</f>
        <v>2110866304.8118193</v>
      </c>
      <c r="E25" s="43"/>
      <c r="F25" s="123">
        <f>SUM(F13:F17)</f>
        <v>-1857562.3482344011</v>
      </c>
      <c r="G25" s="124">
        <f t="shared" ref="G25" si="3">SUM(G13:G17)</f>
        <v>4876101.1641153023</v>
      </c>
      <c r="H25" s="123">
        <f>SUM(H13:H17)</f>
        <v>3018538.8158809016</v>
      </c>
      <c r="I25" s="43"/>
      <c r="J25" s="43"/>
      <c r="K25" s="43"/>
      <c r="L25" s="154">
        <f>SUM(L13:L17)</f>
        <v>261165542</v>
      </c>
      <c r="M25" s="125">
        <f t="shared" si="2"/>
        <v>1.8670537953721714E-2</v>
      </c>
    </row>
    <row r="27" spans="2:13" x14ac:dyDescent="0.25">
      <c r="G27" s="35"/>
      <c r="H27" s="99" t="s">
        <v>155</v>
      </c>
      <c r="J27" s="161" t="s">
        <v>200</v>
      </c>
      <c r="K27" s="114"/>
    </row>
    <row r="28" spans="2:13" x14ac:dyDescent="0.25">
      <c r="G28" s="115"/>
      <c r="H28" s="116" t="s">
        <v>156</v>
      </c>
      <c r="I28" s="153">
        <v>9</v>
      </c>
      <c r="J28" s="117">
        <f>I28</f>
        <v>9</v>
      </c>
      <c r="K28" s="114"/>
      <c r="L28" s="94"/>
    </row>
    <row r="29" spans="2:13" x14ac:dyDescent="0.25">
      <c r="G29" s="35"/>
      <c r="H29" s="116" t="s">
        <v>157</v>
      </c>
      <c r="I29" s="147">
        <v>9.0959999999999999E-2</v>
      </c>
      <c r="J29" s="117">
        <f>ROUND(800*I29,2)</f>
        <v>72.77</v>
      </c>
    </row>
    <row r="30" spans="2:13" x14ac:dyDescent="0.25">
      <c r="H30" s="116" t="s">
        <v>158</v>
      </c>
      <c r="I30" s="147">
        <v>0.10682</v>
      </c>
      <c r="J30" s="132">
        <f>ROUND(145*I30,2)</f>
        <v>15.49</v>
      </c>
    </row>
    <row r="31" spans="2:13" x14ac:dyDescent="0.25">
      <c r="H31" s="116" t="s">
        <v>159</v>
      </c>
      <c r="I31" s="147">
        <v>0.12634999999999999</v>
      </c>
      <c r="J31" s="117">
        <f>ROUND(0*I31,2)</f>
        <v>0</v>
      </c>
    </row>
    <row r="32" spans="2:13" x14ac:dyDescent="0.25">
      <c r="H32" s="99" t="s">
        <v>175</v>
      </c>
      <c r="J32" s="118">
        <f>SUM(J28:J31)</f>
        <v>97.259999999999991</v>
      </c>
    </row>
    <row r="33" spans="8:12" x14ac:dyDescent="0.25">
      <c r="H33" s="116" t="s">
        <v>160</v>
      </c>
      <c r="I33" s="110">
        <f>J11</f>
        <v>6.4599999999999996E-3</v>
      </c>
      <c r="J33" s="132">
        <f>ROUND(I33*945,2)</f>
        <v>6.1</v>
      </c>
    </row>
    <row r="34" spans="8:12" x14ac:dyDescent="0.25">
      <c r="H34" s="99" t="s">
        <v>161</v>
      </c>
      <c r="J34" s="118">
        <f>J32+J33</f>
        <v>103.35999999999999</v>
      </c>
      <c r="L34" s="114"/>
    </row>
    <row r="35" spans="8:12" x14ac:dyDescent="0.25">
      <c r="H35" s="99" t="s">
        <v>199</v>
      </c>
      <c r="J35" s="114">
        <f>J33/J32</f>
        <v>6.271848653094797E-2</v>
      </c>
    </row>
    <row r="36" spans="8:12" x14ac:dyDescent="0.25">
      <c r="J36" s="119"/>
    </row>
    <row r="37" spans="8:12" x14ac:dyDescent="0.25">
      <c r="J37" s="119"/>
    </row>
    <row r="38" spans="8:12" x14ac:dyDescent="0.25">
      <c r="J38" s="94"/>
      <c r="L38" s="35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53F764E3C0F8F4988DC50A48996FD35" ma:contentTypeVersion="16" ma:contentTypeDescription="" ma:contentTypeScope="" ma:versionID="131fe74306be4ca30eefa280b6a26c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C6A63E-9874-40C5-8146-FE9F65EDF145}"/>
</file>

<file path=customXml/itemProps2.xml><?xml version="1.0" encoding="utf-8"?>
<ds:datastoreItem xmlns:ds="http://schemas.openxmlformats.org/officeDocument/2006/customXml" ds:itemID="{02400EC8-652D-4937-A5AC-AFFB3DC14271}"/>
</file>

<file path=customXml/itemProps3.xml><?xml version="1.0" encoding="utf-8"?>
<ds:datastoreItem xmlns:ds="http://schemas.openxmlformats.org/officeDocument/2006/customXml" ds:itemID="{A3D01459-93AC-4354-90A2-F35E794E203B}"/>
</file>

<file path=customXml/itemProps4.xml><?xml version="1.0" encoding="utf-8"?>
<ds:datastoreItem xmlns:ds="http://schemas.openxmlformats.org/officeDocument/2006/customXml" ds:itemID="{6E898318-0856-498D-86B8-6D27640CE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10 24 Forecast Usage by Sched</vt:lpstr>
      <vt:lpstr>Electric 2024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2024 Rate Calc'!Print_Area</vt:lpstr>
      <vt:lpstr>'Prior Year Amortization'!Print_Area</vt:lpstr>
      <vt:lpstr>'Earnings Test and 3% Test'!Print_Titles</vt:lpstr>
      <vt:lpstr>'Electric 2024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2024-05-07T23:10:34Z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0x0101006E56B4D1795A2E4DB2F0B01679ED314A00353F764E3C0F8F4988DC50A48996FD35</vt:lpwstr>
  </property>
  <property fmtid="{D5CDD505-2E9C-101B-9397-08002B2CF9AE}" pid="3" name="_docset_NoMedatataSyncRequired">
    <vt:lpwstr>False</vt:lpwstr>
  </property>
</Properties>
</file>