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Regulatory Filings\2024 Regulatory Filings\EIA I-937\EEI Filing\Annual Emissions Calculations\"/>
    </mc:Choice>
  </mc:AlternateContent>
  <xr:revisionPtr revIDLastSave="0" documentId="13_ncr:1_{3E24F5E2-FB22-4507-B818-A2FA025A7A77}" xr6:coauthVersionLast="47" xr6:coauthVersionMax="47" xr10:uidLastSave="{00000000-0000-0000-0000-000000000000}"/>
  <bookViews>
    <workbookView xWindow="390" yWindow="390" windowWidth="21600" windowHeight="11505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D21" i="1"/>
  <c r="F18" i="1"/>
  <c r="D18" i="1"/>
  <c r="B1" i="4"/>
  <c r="B3" i="4"/>
  <c r="B43" i="4"/>
  <c r="T9" i="4" l="1"/>
  <c r="U9" i="4" s="1"/>
  <c r="T8" i="4"/>
  <c r="U8" i="4" s="1"/>
  <c r="T7" i="4"/>
  <c r="U7" i="4" s="1"/>
  <c r="T6" i="4"/>
  <c r="U6" i="4" s="1"/>
  <c r="T5" i="4"/>
  <c r="U5" i="4" s="1"/>
  <c r="T4" i="4"/>
  <c r="U4" i="4" s="1"/>
  <c r="D5" i="4" s="1"/>
  <c r="D41" i="4"/>
  <c r="D9" i="4" l="1"/>
  <c r="D7" i="4"/>
  <c r="D6" i="4"/>
  <c r="D42" i="4" l="1"/>
  <c r="F56" i="8" l="1"/>
  <c r="F57" i="8"/>
  <c r="D8" i="4" l="1"/>
  <c r="D4" i="4" l="1"/>
  <c r="D19" i="4"/>
  <c r="C19" i="4" s="1"/>
  <c r="C9" i="4"/>
  <c r="C8" i="4"/>
  <c r="C7" i="4"/>
  <c r="G24" i="1" l="1"/>
  <c r="G30" i="1"/>
  <c r="G31" i="1"/>
  <c r="G29" i="1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" i="8"/>
  <c r="F63" i="8" l="1"/>
  <c r="C4" i="4" l="1"/>
  <c r="C5" i="4"/>
  <c r="D28" i="4" l="1"/>
  <c r="D29" i="4"/>
  <c r="D25" i="4"/>
  <c r="D26" i="4"/>
  <c r="C13" i="4" l="1"/>
  <c r="C14" i="4"/>
  <c r="C15" i="4"/>
  <c r="C16" i="4"/>
  <c r="C17" i="4"/>
  <c r="C18" i="4"/>
  <c r="C2" i="4" l="1"/>
  <c r="D22" i="1"/>
  <c r="G11" i="1"/>
  <c r="G10" i="1"/>
  <c r="D13" i="1"/>
  <c r="D5" i="1" s="1"/>
  <c r="E10" i="1" l="1"/>
  <c r="E12" i="1"/>
  <c r="E11" i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43" i="4" l="1"/>
  <c r="E18" i="1"/>
  <c r="E21" i="1"/>
  <c r="G38" i="8" l="1"/>
  <c r="C6" i="4" l="1"/>
  <c r="C43" i="4"/>
  <c r="F3" i="8" l="1"/>
  <c r="G31" i="8" s="1"/>
  <c r="G28" i="8"/>
  <c r="G30" i="8"/>
  <c r="G29" i="8"/>
  <c r="G11" i="8" l="1"/>
  <c r="G14" i="8"/>
  <c r="G20" i="8"/>
  <c r="G51" i="8"/>
  <c r="G22" i="8"/>
  <c r="G44" i="8"/>
  <c r="G19" i="8"/>
  <c r="G16" i="8"/>
  <c r="G5" i="8"/>
  <c r="G56" i="8"/>
  <c r="G10" i="8"/>
  <c r="G49" i="8"/>
  <c r="G39" i="8"/>
  <c r="G26" i="8"/>
  <c r="G42" i="8"/>
  <c r="G17" i="8"/>
  <c r="G23" i="8"/>
  <c r="G50" i="8"/>
  <c r="G13" i="8"/>
  <c r="G52" i="8"/>
  <c r="G48" i="8"/>
  <c r="G43" i="8"/>
  <c r="G34" i="8"/>
  <c r="G41" i="8"/>
  <c r="G8" i="8"/>
  <c r="G33" i="8"/>
  <c r="G55" i="8"/>
  <c r="G32" i="8"/>
  <c r="G7" i="8"/>
  <c r="G9" i="8"/>
  <c r="G53" i="8"/>
  <c r="G18" i="8"/>
  <c r="G45" i="8"/>
  <c r="G6" i="8"/>
  <c r="G36" i="8"/>
  <c r="G25" i="8"/>
  <c r="G24" i="8"/>
  <c r="G47" i="8"/>
  <c r="G35" i="8"/>
  <c r="G27" i="8"/>
  <c r="G12" i="8"/>
  <c r="G54" i="8"/>
  <c r="G37" i="8"/>
  <c r="G46" i="8"/>
  <c r="G21" i="8"/>
  <c r="G15" i="8"/>
  <c r="G57" i="8"/>
  <c r="G40" i="8"/>
  <c r="G63" i="8" l="1"/>
  <c r="F22" i="1" l="1"/>
  <c r="G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kbb8737</author>
    <author>jyl3501</author>
    <author>kkb4463</author>
    <author>Booth, Kevin</author>
    <author>Lyons, John</author>
    <author>Loeppky, Janna</author>
  </authors>
  <commentList>
    <comment ref="I9" authorId="0" shapeId="0" xr:uid="{D95F2E00-E1B8-49A8-B039-3B27908C012C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includes de minimis amount of natual gas (&lt;0.1% of total)</t>
        </r>
      </text>
    </comment>
    <comment ref="A2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2" shapeId="0" xr:uid="{C3289741-0319-4F13-9875-1633D3A1B4A3}">
      <text>
        <r>
          <rPr>
            <sz val="8"/>
            <color indexed="81"/>
            <rFont val="Tahoma"/>
            <family val="2"/>
          </rPr>
          <t xml:space="preserve">Avista Corp. FERC Financial Report, Form No. 1, unless otherwise noted
</t>
        </r>
      </text>
    </comment>
    <comment ref="K21" authorId="2" shapeId="0" xr:uid="{2C09568E-0320-4B7F-98A3-93F97315B8FB}">
      <text>
        <r>
          <rPr>
            <b/>
            <sz val="8"/>
            <color indexed="81"/>
            <rFont val="Tahoma"/>
            <family val="2"/>
          </rPr>
          <t>Avista Corp.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2" shapeId="0" xr:uid="{1F3730E4-BDE0-406C-B800-13FA9CE94F9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2" shapeId="0" xr:uid="{18E68B27-74F1-4584-A676-643054BCA30D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21" authorId="2" shapeId="0" xr:uid="{407A54A8-EDC9-4249-8F6A-1A442FDED27F}">
      <text>
        <r>
          <rPr>
            <b/>
            <sz val="8"/>
            <color indexed="81"/>
            <rFont val="Tahoma"/>
            <family val="2"/>
          </rPr>
          <t>Total from EPA Part 75 EDR for respective plant and year, when available.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0" shapeId="0" xr:uid="{CBA9D2F6-9BF5-4B38-A633-72071C8C6DC2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 total CT from nucleus "KFCT" </t>
        </r>
      </text>
    </comment>
    <comment ref="I32" authorId="3" shapeId="0" xr:uid="{4B42F061-44B7-406D-B5C3-F395680FB5CA}">
      <text>
        <r>
          <rPr>
            <b/>
            <sz val="9"/>
            <color indexed="81"/>
            <rFont val="Tahoma"/>
            <family val="2"/>
          </rPr>
          <t>Booth, Kevin:</t>
        </r>
        <r>
          <rPr>
            <sz val="9"/>
            <color indexed="81"/>
            <rFont val="Tahoma"/>
            <family val="2"/>
          </rPr>
          <t xml:space="preserve">
Boiler NG use from FERC Form 1</t>
        </r>
      </text>
    </comment>
    <comment ref="A34" authorId="4" shapeId="0" xr:uid="{F18E6B27-BD2B-4F65-884A-326C412105AE}">
      <text>
        <r>
          <rPr>
            <b/>
            <sz val="9"/>
            <color indexed="81"/>
            <rFont val="Tahoma"/>
            <family val="2"/>
          </rPr>
          <t>Lyons, John:</t>
        </r>
        <r>
          <rPr>
            <sz val="9"/>
            <color indexed="81"/>
            <rFont val="Tahoma"/>
            <family val="2"/>
          </rPr>
          <t xml:space="preserve">
Sewer Plant Digester is now generating into its own load.</t>
        </r>
      </text>
    </comment>
    <comment ref="K34" authorId="5" shapeId="0" xr:uid="{2D5A80DB-5DDC-4830-899F-8739BB20AAE3}">
      <text>
        <r>
          <rPr>
            <b/>
            <sz val="9"/>
            <color indexed="81"/>
            <rFont val="Tahoma"/>
            <family val="2"/>
          </rPr>
          <t>Loeppky, Janna:</t>
        </r>
        <r>
          <rPr>
            <sz val="9"/>
            <color indexed="81"/>
            <rFont val="Tahoma"/>
            <family val="2"/>
          </rPr>
          <t xml:space="preserve">
CAMD data ratio mmbtu divided by CO2 short tons in a year</t>
        </r>
      </text>
    </comment>
    <comment ref="T34" authorId="5" shapeId="0" xr:uid="{D476FED8-F3CA-4149-BF49-B4E8898CBCB7}">
      <text>
        <r>
          <rPr>
            <b/>
            <sz val="9"/>
            <color indexed="81"/>
            <rFont val="Tahoma"/>
            <family val="2"/>
          </rPr>
          <t>Loeppky, Janna:</t>
        </r>
        <r>
          <rPr>
            <sz val="9"/>
            <color indexed="81"/>
            <rFont val="Tahoma"/>
            <family val="2"/>
          </rPr>
          <t xml:space="preserve">
Lancaster already represented as entry in unspecified purchased power</t>
        </r>
      </text>
    </comment>
    <comment ref="Y34" authorId="5" shapeId="0" xr:uid="{C012577E-9607-49A3-8E85-87658B3D7189}">
      <text>
        <r>
          <rPr>
            <b/>
            <sz val="9"/>
            <color indexed="81"/>
            <rFont val="Tahoma"/>
            <family val="2"/>
          </rPr>
          <t>Loeppky, Janna:</t>
        </r>
        <r>
          <rPr>
            <sz val="9"/>
            <color indexed="81"/>
            <rFont val="Tahoma"/>
            <family val="2"/>
          </rPr>
          <t xml:space="preserve">
Download from Acid Rain Program (ARP) on CAMD
ampd.epa.gov/ampd/</t>
        </r>
      </text>
    </comment>
    <comment ref="P37" authorId="0" shapeId="0" xr:uid="{8A5375D1-1ADB-4DF8-99F6-4BE0729CA41E}">
      <text>
        <r>
          <rPr>
            <b/>
            <sz val="8"/>
            <color indexed="81"/>
            <rFont val="Tahoma"/>
            <family val="2"/>
          </rPr>
          <t xml:space="preserve">all values from USEPA 40 CFR 98 Table C-2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7" authorId="0" shapeId="0" xr:uid="{E68E42A3-1F2F-4652-98C1-2F4C0AB39E56}">
      <text>
        <r>
          <rPr>
            <b/>
            <sz val="8"/>
            <color indexed="81"/>
            <rFont val="Tahoma"/>
            <family val="2"/>
          </rPr>
          <t xml:space="preserve">all values from USEPA 40 CFR 98 Table C-2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<sst xmlns="http://schemas.openxmlformats.org/spreadsheetml/2006/main" count="502" uniqueCount="272">
  <si>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</si>
  <si>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</si>
  <si>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</si>
  <si>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</si>
  <si>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</si>
  <si>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</si>
  <si>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</si>
  <si>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</si>
  <si>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</si>
  <si>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</si>
  <si>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</si>
  <si>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</si>
  <si>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</si>
  <si>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</si>
  <si>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</si>
  <si>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</si>
  <si>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</si>
  <si>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</si>
  <si>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</si>
  <si>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</si>
  <si>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</si>
  <si>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</si>
  <si>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</si>
  <si>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</si>
  <si>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</si>
  <si>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</si>
  <si>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</si>
  <si>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</si>
  <si>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</si>
  <si>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</si>
  <si>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</si>
  <si>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</si>
  <si>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</si>
  <si>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</si>
  <si>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</si>
  <si>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</si>
  <si>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</si>
  <si>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</si>
  <si>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</si>
  <si>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</si>
  <si>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</si>
  <si>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</si>
  <si>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</si>
  <si>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</si>
  <si>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</si>
  <si>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</si>
  <si>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Kootenai Electric Cooperative</t>
  </si>
  <si>
    <t>Macquarie Energy LLC</t>
  </si>
  <si>
    <t>Morgan Stanley Capital Group</t>
  </si>
  <si>
    <t>PacifiCorp</t>
  </si>
  <si>
    <t>Lancaster</t>
  </si>
  <si>
    <t>Sovereign Power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</si>
  <si>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</si>
  <si>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</si>
  <si>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</si>
  <si>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</si>
  <si>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</si>
  <si>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</si>
  <si>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</si>
  <si>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</si>
  <si>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</si>
  <si>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</si>
  <si>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</si>
  <si>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</si>
  <si>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</si>
  <si>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</si>
  <si>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</si>
  <si>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</si>
  <si>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</si>
  <si>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</si>
  <si>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</si>
  <si>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</si>
  <si>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</si>
  <si>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</si>
  <si>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</si>
  <si>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</si>
  <si>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</si>
  <si>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</si>
  <si>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</si>
  <si>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</si>
  <si>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</si>
  <si>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</si>
  <si>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</si>
  <si>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</si>
  <si>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</si>
  <si>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</si>
  <si>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</si>
  <si>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</si>
  <si>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</si>
  <si>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</si>
  <si>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</si>
  <si>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</si>
  <si>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</si>
  <si>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</si>
  <si>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</si>
  <si>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</si>
  <si>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</si>
  <si>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</si>
  <si>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</si>
  <si>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</si>
  <si>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</si>
  <si>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</si>
  <si>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</si>
  <si>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</si>
  <si>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</si>
  <si>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</si>
  <si>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</si>
  <si>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</si>
  <si>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</si>
  <si>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</si>
  <si>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</si>
  <si>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</si>
  <si>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</si>
  <si>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</si>
  <si>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</si>
  <si>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</si>
  <si>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</si>
  <si>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</si>
  <si>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Bonneville Power Administration</t>
  </si>
  <si>
    <t>Palouse Wind Holdings (Wind PPA)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</si>
  <si>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</si>
  <si>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</si>
  <si>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</si>
  <si>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</si>
  <si>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</si>
  <si>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</si>
  <si>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</si>
  <si>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</si>
  <si>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</si>
  <si>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</si>
  <si>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</si>
  <si>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</si>
  <si>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</si>
  <si>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</si>
  <si>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</si>
  <si>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</si>
  <si>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</si>
  <si>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</si>
  <si>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</si>
  <si>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</si>
  <si>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</si>
  <si>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</si>
  <si>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</si>
  <si>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</si>
  <si>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</si>
  <si>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</si>
  <si>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</si>
  <si>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</si>
  <si>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</si>
  <si>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 xml:space="preserve">Kettle Falls Boiler </t>
  </si>
  <si>
    <t xml:space="preserve"> 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</si>
  <si>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</si>
  <si>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</si>
  <si>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</si>
  <si>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</si>
  <si>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</si>
  <si>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</si>
  <si>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</si>
  <si>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</si>
  <si>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</si>
  <si>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</si>
  <si>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</si>
  <si>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</si>
  <si>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</si>
  <si>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Vitol Inc.</t>
  </si>
  <si>
    <t>Little Falls-Hydro</t>
  </si>
  <si>
    <t>MWh</t>
  </si>
  <si>
    <t>MW</t>
  </si>
  <si>
    <t>Type</t>
  </si>
  <si>
    <t>Adams-Neilson Solar</t>
  </si>
  <si>
    <t>The City of Cove (PURPA Hydro)</t>
  </si>
  <si>
    <t>Clark Fork Hydro (PURPA Hydro)</t>
  </si>
  <si>
    <t>Spokane County (Sewer Plant Digester)</t>
  </si>
  <si>
    <t>Known Resource Serving WA - EPA</t>
  </si>
  <si>
    <t>Known Resource Serving WA - EIA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</si>
  <si>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</si>
  <si>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PUD of Douglas County (% share of Wells Dam)</t>
  </si>
  <si>
    <t>Rattlesnake Flat, LLC (Wind)</t>
  </si>
  <si>
    <t>Washington Department of Ecology Unknown Resource Default Rate =</t>
  </si>
  <si>
    <t>Metric Tons CO2e from Purchases</t>
  </si>
  <si>
    <t>N</t>
  </si>
  <si>
    <t>O</t>
  </si>
  <si>
    <t>(Y or N)</t>
  </si>
  <si>
    <t>Y</t>
  </si>
  <si>
    <t>CH4 Emission factor</t>
  </si>
  <si>
    <t>N2O Emission factor</t>
  </si>
  <si>
    <t>Units for 
J</t>
  </si>
  <si>
    <t>CH4 emissions in kg</t>
  </si>
  <si>
    <t xml:space="preserve">N2O emissions in kg </t>
  </si>
  <si>
    <t>M = F * H * L</t>
  </si>
  <si>
    <t>N = F * J * L</t>
  </si>
  <si>
    <t>kg CH4/GJ</t>
  </si>
  <si>
    <t>kg N2O/GJ</t>
  </si>
  <si>
    <t>MMBtu</t>
  </si>
  <si>
    <t>kg/Mmbtu</t>
  </si>
  <si>
    <t>Mmbtu/bbl</t>
  </si>
  <si>
    <t>Mmbtu/ton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</si>
  <si>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</si>
  <si>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t>Metric</t>
  </si>
  <si>
    <t xml:space="preserve">Kettle Falls (Biomass)  </t>
  </si>
  <si>
    <t>Lancaster (Rathdrum)</t>
  </si>
  <si>
    <t>CO2 Metric Tons</t>
  </si>
  <si>
    <t>CO2e Metric Tons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</si>
  <si>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  <r>
      <rPr>
        <sz val="11"/>
        <color theme="1"/>
        <rFont val="Calibri"/>
        <family val="2"/>
        <scheme val="minor"/>
      </rPr>
      <t xml:space="preserve"> per MWh</t>
    </r>
  </si>
  <si>
    <t>Avangrid Renewables, LLC</t>
  </si>
  <si>
    <t>Enel X North America, Inc.</t>
  </si>
  <si>
    <t>Guzman Energy, LLC</t>
  </si>
  <si>
    <t>Gridforce Energy Management, LLC</t>
  </si>
  <si>
    <t>Macquarie Energy, LLC</t>
  </si>
  <si>
    <t>British Columbia Hydro and Power Authority</t>
  </si>
  <si>
    <t>Talen Energy Montana, LLC</t>
  </si>
  <si>
    <t>NaturEner Power Watch, LLC</t>
  </si>
  <si>
    <t>Eugene Water Electric Board</t>
  </si>
  <si>
    <t>Great Northern Spokane (Solar)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</si>
  <si>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</si>
  <si>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Bonneville Power Admin</t>
  </si>
  <si>
    <t>BP Energy Co Inc</t>
  </si>
  <si>
    <t>Brookfield Energy Marketing</t>
  </si>
  <si>
    <t>California Independent System Operator Corporation</t>
  </si>
  <si>
    <t>Calpine Energy Services, L.P.</t>
  </si>
  <si>
    <t>Clatskanie Peoples Utility Dis</t>
  </si>
  <si>
    <t>ConocoPhillips Co.</t>
  </si>
  <si>
    <t>Constellation Energy Generation, LLC</t>
  </si>
  <si>
    <t>CP Energy Marketing (US) Inc.</t>
  </si>
  <si>
    <t>Dynasty Power, Inc.</t>
  </si>
  <si>
    <t>EDF Trading Ltd.</t>
  </si>
  <si>
    <t>Energy Keepers, Inc.</t>
  </si>
  <si>
    <t>Grant County Public Utility</t>
  </si>
  <si>
    <t>Heartland Generation Ltd.</t>
  </si>
  <si>
    <t>Idaho Cnty Light &amp; Power Coop</t>
  </si>
  <si>
    <t>Idaho Power Co.</t>
  </si>
  <si>
    <t>Inland Power &amp; Light Co.</t>
  </si>
  <si>
    <t>J. Aron &amp; Company, LLC</t>
  </si>
  <si>
    <t>Mercuria Energy America, LLC</t>
  </si>
  <si>
    <t>Nevada Power Co.</t>
  </si>
  <si>
    <t>Portland General Electric Co.</t>
  </si>
  <si>
    <t>Powerex Corp.</t>
  </si>
  <si>
    <t>PUD No 1 of Douglas County</t>
  </si>
  <si>
    <t>PUD No. 1 of Chelan County</t>
  </si>
  <si>
    <t>Puget Sound Energy Inc.</t>
  </si>
  <si>
    <t>Rainbow Energy Marketing Co.</t>
  </si>
  <si>
    <t>Shell Energy North Am (US) LP</t>
  </si>
  <si>
    <t>Snohomish Cnty Public Utility</t>
  </si>
  <si>
    <t>Spokane City of</t>
  </si>
  <si>
    <t>Tacoma Public Utilities</t>
  </si>
  <si>
    <t>The City Seattle—City Light De</t>
  </si>
  <si>
    <t>TransAlta Energy Mrkg (US) Inc</t>
  </si>
  <si>
    <t>EDF Trading North America, LLC</t>
  </si>
  <si>
    <t>Pend Oreille County Public Utility District #1</t>
  </si>
  <si>
    <t>Rainbow Energy Marketing Corp.</t>
  </si>
  <si>
    <t>SMUD</t>
  </si>
  <si>
    <t>Vitol, Inc.</t>
  </si>
  <si>
    <t>CO2 emissions in kg</t>
  </si>
  <si>
    <t xml:space="preserve">CO2 emissions in metric tons </t>
  </si>
  <si>
    <t>Is direct CO2 measurement data available?</t>
  </si>
  <si>
    <t>CO2 Emissions 
metric tons</t>
  </si>
  <si>
    <t>Columbia Basin Hydropower (Irrigation hydro)</t>
  </si>
  <si>
    <t>Altop Energy Trading</t>
  </si>
  <si>
    <t>Basin Electric Power Coop</t>
  </si>
  <si>
    <t>BHE Power Watch, LLC</t>
  </si>
  <si>
    <t>CA Indepdnt System Operator Co</t>
  </si>
  <si>
    <t>J. Aron &amp; Co. LLC</t>
  </si>
  <si>
    <t>NorthWestern Energy Group</t>
  </si>
  <si>
    <t>Phillips 66 Energy Trading, LLC</t>
  </si>
  <si>
    <t>PUD No 1 of Franklin County</t>
  </si>
  <si>
    <t>The Energy Authority Inc.</t>
  </si>
  <si>
    <t>P</t>
  </si>
  <si>
    <t>Q</t>
  </si>
  <si>
    <t xml:space="preserve">Total CO2e (CH4 + N2O+CO2) Emissions in kg </t>
  </si>
  <si>
    <t>GWP Total CO2e (CH4 + N2O) Emissions in MT</t>
  </si>
  <si>
    <t>GWP Total CO2e (CH4 + N2O+CO) Emissions in MT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</si>
  <si>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65.54% to adjust from system to Washington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</si>
</sst>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.000"/>
    <numFmt numFmtId="169" formatCode="#,##0.000"/>
    <numFmt numFmtId="170" formatCode="#,##0.0"/>
    <numFmt numFmtId="171" formatCode="0.0000"/>
    <numFmt numFmtId="172" formatCode="#,##0;[Red]\(#,##0\)"/>
    <numFmt numFmtId="173" formatCode="_(* #,##0.000_);_(* \(#,##0.000\);_(* &quot;-&quot;??_);_(@_)"/>
    <numFmt numFmtId="174" formatCode="_(* #,##0.0000_);_(* \(#,##0.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1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0" applyNumberFormat="0" applyFont="0" applyFill="0" applyAlignment="0" applyProtection="0"/>
  </cellStyleXfs>
  <cellXfs count="219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7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166" fontId="0" fillId="0" borderId="20" xfId="2" applyNumberFormat="1" applyFont="1" applyBorder="1"/>
    <xf numFmtId="0" fontId="0" fillId="0" borderId="20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3" xfId="0" applyBorder="1"/>
    <xf numFmtId="0" fontId="0" fillId="0" borderId="23" xfId="0" applyBorder="1"/>
    <xf numFmtId="0" fontId="0" fillId="0" borderId="20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6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165" fontId="0" fillId="2" borderId="19" xfId="1" applyNumberFormat="1" applyFont="1" applyFill="1" applyBorder="1" applyAlignment="1">
      <alignment horizontal="center"/>
    </xf>
    <xf numFmtId="43" fontId="2" fillId="0" borderId="27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0" fillId="0" borderId="29" xfId="0" applyBorder="1"/>
    <xf numFmtId="165" fontId="2" fillId="0" borderId="7" xfId="1" applyNumberFormat="1" applyFont="1" applyBorder="1"/>
    <xf numFmtId="165" fontId="2" fillId="0" borderId="29" xfId="0" applyNumberFormat="1" applyFont="1" applyBorder="1"/>
    <xf numFmtId="0" fontId="2" fillId="0" borderId="30" xfId="0" applyFont="1" applyBorder="1" applyAlignment="1">
      <alignment horizontal="center"/>
    </xf>
    <xf numFmtId="166" fontId="2" fillId="0" borderId="31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7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7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9" fontId="1" fillId="0" borderId="2" xfId="2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8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69" fontId="0" fillId="4" borderId="2" xfId="0" applyNumberFormat="1" applyFill="1" applyBorder="1" applyAlignment="1" applyProtection="1">
      <alignment horizontal="center" vertical="center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0" fontId="0" fillId="4" borderId="2" xfId="0" applyNumberForma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0" fontId="29" fillId="0" borderId="0" xfId="4" applyFont="1" applyAlignment="1">
      <alignment horizontal="lef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0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2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2" fontId="0" fillId="0" borderId="0" xfId="0" applyNumberFormat="1" applyAlignment="1">
      <alignment horizontal="right" vertical="top" wrapText="1"/>
    </xf>
    <xf numFmtId="172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0" fillId="0" borderId="4" xfId="0" applyFont="1" applyBorder="1" applyAlignment="1">
      <alignment horizontal="center"/>
    </xf>
    <xf numFmtId="0" fontId="0" fillId="0" borderId="0" xfId="0"/>
    <xf numFmtId="165" fontId="0" fillId="0" borderId="7" xfId="1" applyNumberFormat="1" applyFont="1" applyBorder="1"/>
    <xf numFmtId="173" fontId="0" fillId="2" borderId="9" xfId="1" applyNumberFormat="1" applyFont="1" applyFill="1" applyBorder="1"/>
    <xf numFmtId="0" fontId="0" fillId="12" borderId="2" xfId="0" applyFill="1" applyBorder="1"/>
    <xf numFmtId="0" fontId="17" fillId="3" borderId="0" xfId="0" applyFont="1" applyFill="1" applyAlignment="1">
      <alignment horizontal="center"/>
    </xf>
    <xf numFmtId="2" fontId="0" fillId="5" borderId="0" xfId="0" applyNumberFormat="1" applyFill="1"/>
    <xf numFmtId="2" fontId="0" fillId="5" borderId="34" xfId="0" applyNumberFormat="1" applyFill="1" applyBorder="1"/>
    <xf numFmtId="2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5" borderId="37" xfId="0" applyNumberFormat="1" applyFont="1" applyFill="1" applyBorder="1" applyAlignment="1">
      <alignment horizontal="center" vertical="center" wrapText="1"/>
    </xf>
    <xf numFmtId="0" fontId="0" fillId="5" borderId="38" xfId="0" applyFill="1" applyBorder="1"/>
    <xf numFmtId="0" fontId="0" fillId="5" borderId="0" xfId="0" applyFill="1" applyAlignment="1">
      <alignment wrapText="1"/>
    </xf>
    <xf numFmtId="2" fontId="0" fillId="5" borderId="0" xfId="0" applyNumberFormat="1" applyFill="1" applyAlignment="1">
      <alignment wrapText="1"/>
    </xf>
    <xf numFmtId="2" fontId="0" fillId="5" borderId="34" xfId="0" applyNumberFormat="1" applyFill="1" applyBorder="1" applyAlignment="1">
      <alignment wrapText="1"/>
    </xf>
    <xf numFmtId="2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5" borderId="37" xfId="0" applyNumberFormat="1" applyFill="1" applyBorder="1" applyAlignment="1">
      <alignment horizontal="center" vertical="center" wrapText="1"/>
    </xf>
    <xf numFmtId="0" fontId="0" fillId="5" borderId="0" xfId="0" applyFill="1"/>
    <xf numFmtId="2" fontId="0" fillId="5" borderId="1" xfId="0" applyNumberFormat="1" applyFill="1" applyBorder="1"/>
    <xf numFmtId="2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2" fontId="3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7" xfId="0" applyNumberFormat="1" applyFill="1" applyBorder="1" applyAlignment="1" applyProtection="1">
      <alignment horizontal="center" vertical="center" wrapText="1"/>
      <protection locked="0"/>
    </xf>
    <xf numFmtId="0" fontId="0" fillId="5" borderId="38" xfId="0" applyFill="1" applyBorder="1" applyProtection="1">
      <protection locked="0"/>
    </xf>
    <xf numFmtId="2" fontId="18" fillId="6" borderId="0" xfId="0" applyNumberFormat="1" applyFont="1" applyFill="1" applyAlignment="1" applyProtection="1">
      <alignment horizontal="center" vertical="center"/>
      <protection locked="0"/>
    </xf>
    <xf numFmtId="2" fontId="19" fillId="5" borderId="37" xfId="0" applyNumberFormat="1" applyFont="1" applyFill="1" applyBorder="1" applyAlignment="1" applyProtection="1">
      <alignment horizontal="center" vertical="center" wrapText="1"/>
      <protection locked="0"/>
    </xf>
    <xf numFmtId="4" fontId="0" fillId="7" borderId="2" xfId="0" applyNumberFormat="1" applyFill="1" applyBorder="1" applyAlignment="1" applyProtection="1">
      <alignment horizontal="center" vertical="center" wrapText="1"/>
      <protection locked="0"/>
    </xf>
    <xf numFmtId="3" fontId="0" fillId="7" borderId="2" xfId="0" applyNumberFormat="1" applyFill="1" applyBorder="1" applyAlignment="1" applyProtection="1">
      <alignment horizontal="center" vertical="center" wrapText="1"/>
      <protection locked="0"/>
    </xf>
    <xf numFmtId="2" fontId="0" fillId="5" borderId="37" xfId="0" applyNumberFormat="1" applyFill="1" applyBorder="1" applyAlignment="1" applyProtection="1">
      <alignment horizontal="center" vertical="center" wrapText="1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2" xfId="1" applyNumberFormat="1" applyFont="1" applyFill="1" applyBorder="1" applyAlignment="1" applyProtection="1">
      <alignment horizontal="center" vertical="center"/>
      <protection locked="0"/>
    </xf>
    <xf numFmtId="165" fontId="1" fillId="4" borderId="2" xfId="1" applyNumberFormat="1" applyFill="1" applyBorder="1" applyAlignment="1" applyProtection="1">
      <alignment horizontal="center" vertical="center"/>
      <protection locked="0"/>
    </xf>
    <xf numFmtId="165" fontId="11" fillId="4" borderId="2" xfId="1" applyNumberFormat="1" applyFont="1" applyFill="1" applyBorder="1" applyAlignment="1" applyProtection="1">
      <alignment horizontal="center" vertical="center"/>
      <protection locked="0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166" fontId="0" fillId="4" borderId="2" xfId="2" applyNumberFormat="1" applyFont="1" applyFill="1" applyBorder="1" applyAlignment="1" applyProtection="1">
      <alignment horizontal="center" vertical="center"/>
      <protection locked="0"/>
    </xf>
    <xf numFmtId="2" fontId="0" fillId="4" borderId="2" xfId="2" applyNumberFormat="1" applyFont="1" applyFill="1" applyBorder="1" applyAlignment="1" applyProtection="1">
      <alignment horizontal="center" vertical="center"/>
      <protection locked="0"/>
    </xf>
    <xf numFmtId="3" fontId="0" fillId="3" borderId="2" xfId="0" applyNumberFormat="1" applyFill="1" applyBorder="1" applyAlignment="1" applyProtection="1">
      <alignment horizontal="center" vertical="center" wrapText="1"/>
      <protection locked="0"/>
    </xf>
    <xf numFmtId="165" fontId="11" fillId="12" borderId="2" xfId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Continuous"/>
    </xf>
    <xf numFmtId="2" fontId="32" fillId="5" borderId="1" xfId="0" applyNumberFormat="1" applyFont="1" applyFill="1" applyBorder="1" applyAlignment="1">
      <alignment horizontal="centerContinuous"/>
    </xf>
    <xf numFmtId="9" fontId="32" fillId="5" borderId="6" xfId="2" applyFont="1" applyFill="1" applyBorder="1" applyAlignment="1">
      <alignment horizontal="centerContinuous"/>
    </xf>
    <xf numFmtId="4" fontId="0" fillId="5" borderId="2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 wrapText="1"/>
    </xf>
    <xf numFmtId="168" fontId="0" fillId="5" borderId="2" xfId="0" applyNumberFormat="1" applyFill="1" applyBorder="1" applyAlignment="1">
      <alignment horizontal="center" vertical="center" wrapText="1"/>
    </xf>
    <xf numFmtId="1" fontId="0" fillId="5" borderId="2" xfId="0" applyNumberFormat="1" applyFill="1" applyBorder="1" applyAlignment="1">
      <alignment horizontal="center" vertical="center" wrapText="1"/>
    </xf>
    <xf numFmtId="171" fontId="0" fillId="5" borderId="2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2" fontId="18" fillId="6" borderId="0" xfId="0" applyNumberFormat="1" applyFont="1" applyFill="1" applyAlignment="1">
      <alignment horizontal="center" vertical="center"/>
    </xf>
    <xf numFmtId="4" fontId="19" fillId="6" borderId="2" xfId="0" applyNumberFormat="1" applyFont="1" applyFill="1" applyBorder="1" applyAlignment="1">
      <alignment horizontal="center" vertical="center"/>
    </xf>
    <xf numFmtId="2" fontId="19" fillId="6" borderId="2" xfId="0" applyNumberFormat="1" applyFont="1" applyFill="1" applyBorder="1" applyAlignment="1">
      <alignment horizontal="center" vertical="center" wrapText="1"/>
    </xf>
    <xf numFmtId="171" fontId="19" fillId="6" borderId="2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4" fontId="19" fillId="6" borderId="3" xfId="0" applyNumberFormat="1" applyFont="1" applyFill="1" applyBorder="1" applyAlignment="1">
      <alignment horizontal="center" vertical="center" wrapText="1"/>
    </xf>
    <xf numFmtId="4" fontId="19" fillId="6" borderId="2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9" fontId="31" fillId="7" borderId="2" xfId="2" applyFont="1" applyFill="1" applyBorder="1" applyAlignment="1" applyProtection="1">
      <alignment horizontal="center" vertical="center"/>
    </xf>
    <xf numFmtId="39" fontId="1" fillId="7" borderId="2" xfId="1" applyNumberFormat="1" applyFill="1" applyBorder="1" applyAlignment="1" applyProtection="1">
      <alignment horizontal="center" vertical="center"/>
    </xf>
    <xf numFmtId="39" fontId="11" fillId="7" borderId="2" xfId="1" applyNumberFormat="1" applyFont="1" applyFill="1" applyBorder="1" applyAlignment="1" applyProtection="1">
      <alignment horizontal="center" vertical="center"/>
    </xf>
    <xf numFmtId="4" fontId="0" fillId="7" borderId="2" xfId="0" applyNumberFormat="1" applyFill="1" applyBorder="1" applyAlignment="1">
      <alignment horizontal="center" vertical="center" wrapText="1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171" fontId="1" fillId="4" borderId="2" xfId="2" applyNumberFormat="1" applyFill="1" applyBorder="1" applyAlignment="1" applyProtection="1">
      <alignment horizontal="center" vertical="center"/>
      <protection locked="0"/>
    </xf>
    <xf numFmtId="9" fontId="1" fillId="7" borderId="2" xfId="2" applyFill="1" applyBorder="1" applyAlignment="1" applyProtection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9" fontId="0" fillId="7" borderId="2" xfId="2" applyFont="1" applyFill="1" applyBorder="1" applyAlignment="1" applyProtection="1">
      <alignment horizontal="center" vertical="center"/>
    </xf>
    <xf numFmtId="4" fontId="0" fillId="14" borderId="2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top" wrapText="1"/>
    </xf>
    <xf numFmtId="165" fontId="0" fillId="0" borderId="20" xfId="0" applyNumberFormat="1" applyBorder="1"/>
    <xf numFmtId="174" fontId="0" fillId="12" borderId="20" xfId="0" applyNumberFormat="1" applyFill="1" applyBorder="1"/>
    <xf numFmtId="0" fontId="0" fillId="2" borderId="39" xfId="0" applyFont="1" applyFill="1" applyBorder="1"/>
    <xf numFmtId="165" fontId="0" fillId="0" borderId="39" xfId="1" applyNumberFormat="1" applyFont="1" applyBorder="1"/>
    <xf numFmtId="0" fontId="0" fillId="0" borderId="0" xfId="0"/>
    <xf numFmtId="0" fontId="0" fillId="0" borderId="0" xfId="0" applyAlignment="1">
      <alignment horizontal="left" vertical="top" wrapText="1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14" borderId="2" xfId="0" applyNumberFormat="1" applyFill="1" applyBorder="1" applyAlignment="1" applyProtection="1">
      <alignment horizontal="center" vertical="center"/>
      <protection locked="0"/>
    </xf>
    <xf numFmtId="4" fontId="0" fillId="12" borderId="2" xfId="0" applyNumberFormat="1" applyFill="1" applyBorder="1" applyAlignment="1" applyProtection="1">
      <alignment horizontal="center" vertical="center"/>
      <protection locked="0"/>
    </xf>
    <xf numFmtId="4" fontId="0" fillId="14" borderId="2" xfId="0" applyNumberFormat="1" applyFill="1" applyBorder="1" applyAlignment="1" applyProtection="1">
      <alignment horizontal="center" vertical="center"/>
      <protection locked="0"/>
    </xf>
    <xf numFmtId="2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24</xdr:row>
      <xdr:rowOff>0</xdr:rowOff>
    </xdr:from>
    <xdr:to>
      <xdr:col>6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11" workbookViewId="0">
      <selection activeCell="F18" sqref="F18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4</v>
      </c>
    </row>
    <row r="2" spans="1:11" ht="15.75" thickBot="1" x14ac:dyDescent="0.3"/>
    <row r="3" spans="1:11" x14ac:dyDescent="0.25">
      <c r="A3" s="51"/>
      <c r="B3" s="52" t="s">
        <v>8</v>
      </c>
      <c r="C3" s="53" t="s">
        <v>16</v>
      </c>
      <c r="D3" s="58"/>
      <c r="E3" s="56"/>
    </row>
    <row r="4" spans="1:11" x14ac:dyDescent="0.25">
      <c r="A4" s="206" t="s">
        <v>9</v>
      </c>
      <c r="B4" s="211"/>
      <c r="C4" s="29">
        <v>2023</v>
      </c>
      <c r="D4" s="61" t="s">
        <v>30</v>
      </c>
      <c r="E4" s="57"/>
    </row>
    <row r="5" spans="1:11" ht="15.75" thickBot="1" x14ac:dyDescent="0.3">
      <c r="A5" s="212" t="s">
        <v>14</v>
      </c>
      <c r="B5" s="213"/>
      <c r="C5" s="54">
        <v>585253</v>
      </c>
      <c r="D5" s="55">
        <f>+D13/C5</f>
        <v>9.9426111442401837</v>
      </c>
    </row>
    <row r="6" spans="1:11" x14ac:dyDescent="0.25">
      <c r="A6" s="5"/>
      <c r="B6" s="5"/>
      <c r="C6" s="14"/>
      <c r="E6" s="13"/>
    </row>
    <row r="7" spans="1:11" ht="19.5" thickBot="1" x14ac:dyDescent="0.35">
      <c r="A7" s="5"/>
      <c r="B7" s="49" t="s">
        <v>27</v>
      </c>
      <c r="C7" s="14"/>
      <c r="E7" s="13"/>
    </row>
    <row r="8" spans="1:11" x14ac:dyDescent="0.25">
      <c r="A8" s="31"/>
      <c r="B8" s="32"/>
      <c r="C8" s="32"/>
      <c r="D8" s="32"/>
      <c r="E8" s="32"/>
      <c r="F8" s="33" t="s">
        <v>13</v>
      </c>
      <c r="G8" s="44" t="s">
        <v>31</v>
      </c>
    </row>
    <row r="9" spans="1:11" x14ac:dyDescent="0.25">
      <c r="A9" s="34"/>
      <c r="B9" s="9"/>
      <c r="C9" s="9"/>
      <c r="D9" s="11" t="s">
        <v>7</v>
      </c>
      <c r="E9" s="23" t="s">
        <v>20</v>
      </c>
      <c r="F9" s="16" t="s">
        <v>26</v>
      </c>
      <c r="G9" s="45" t="s">
        <v>13</v>
      </c>
      <c r="I9" s="117"/>
      <c r="J9" s="117"/>
      <c r="K9" s="117"/>
    </row>
    <row r="10" spans="1:11" x14ac:dyDescent="0.25">
      <c r="A10" s="206" t="s">
        <v>5</v>
      </c>
      <c r="B10" s="209"/>
      <c r="C10" s="211"/>
      <c r="D10" s="59">
        <v>2733819</v>
      </c>
      <c r="E10" s="10">
        <f>+D10/D13</f>
        <v>0.469813675782698</v>
      </c>
      <c r="F10" s="30">
        <v>241043</v>
      </c>
      <c r="G10" s="46">
        <f>+D10/F10</f>
        <v>11.341623693697805</v>
      </c>
      <c r="I10" s="117"/>
      <c r="J10" s="117"/>
      <c r="K10" s="117"/>
    </row>
    <row r="11" spans="1:11" x14ac:dyDescent="0.25">
      <c r="A11" s="206" t="s">
        <v>10</v>
      </c>
      <c r="B11" s="209"/>
      <c r="C11" s="211"/>
      <c r="D11" s="59">
        <v>2155248</v>
      </c>
      <c r="E11" s="10">
        <f>+D11/D13</f>
        <v>0.37038479325197032</v>
      </c>
      <c r="F11" s="25">
        <v>26367</v>
      </c>
      <c r="G11" s="46">
        <f>+D11/F11</f>
        <v>81.740357264762778</v>
      </c>
    </row>
    <row r="12" spans="1:11" x14ac:dyDescent="0.25">
      <c r="A12" s="206" t="s">
        <v>11</v>
      </c>
      <c r="B12" s="209"/>
      <c r="C12" s="211"/>
      <c r="D12" s="59">
        <v>929876</v>
      </c>
      <c r="E12" s="10">
        <f>+D12/D13</f>
        <v>0.15980153096533167</v>
      </c>
      <c r="F12" s="5"/>
      <c r="G12" s="35"/>
    </row>
    <row r="13" spans="1:11" ht="15.75" thickBot="1" x14ac:dyDescent="0.3">
      <c r="A13" s="36"/>
      <c r="B13" s="214" t="s">
        <v>6</v>
      </c>
      <c r="C13" s="213"/>
      <c r="D13" s="60">
        <f>SUM(D10:D12)</f>
        <v>5818943</v>
      </c>
      <c r="E13" s="37"/>
      <c r="F13" s="38"/>
      <c r="G13" s="39"/>
      <c r="I13" s="118"/>
    </row>
    <row r="15" spans="1:11" ht="19.5" thickBot="1" x14ac:dyDescent="0.35">
      <c r="B15" s="50" t="s">
        <v>28</v>
      </c>
    </row>
    <row r="16" spans="1:11" x14ac:dyDescent="0.25">
      <c r="A16" s="31"/>
      <c r="B16" s="32"/>
      <c r="C16" s="32"/>
      <c r="D16" s="32"/>
      <c r="E16" s="33" t="s">
        <v>21</v>
      </c>
      <c r="F16" s="40" t="s">
        <v>198</v>
      </c>
      <c r="G16" s="41"/>
    </row>
    <row r="17" spans="1:9" ht="18" x14ac:dyDescent="0.35">
      <c r="A17" s="42"/>
      <c r="B17" s="5"/>
      <c r="C17" s="5"/>
      <c r="D17" s="23" t="s">
        <v>12</v>
      </c>
      <c r="E17" s="16" t="s">
        <v>22</v>
      </c>
      <c r="F17" s="12" t="s">
        <v>2</v>
      </c>
      <c r="G17" s="35"/>
    </row>
    <row r="18" spans="1:9" x14ac:dyDescent="0.25">
      <c r="A18" s="206" t="s">
        <v>24</v>
      </c>
      <c r="B18" s="207"/>
      <c r="C18" s="208"/>
      <c r="D18" s="6">
        <f>+'Known Resources'!B43*0.6554</f>
        <v>7678374.7469999995</v>
      </c>
      <c r="E18" s="10">
        <f>+D18/(D18+D21)</f>
        <v>1.1657971615004845</v>
      </c>
      <c r="F18" s="6">
        <f>+'Known Resources'!D43*0.6554</f>
        <v>2408045.5796205481</v>
      </c>
      <c r="G18" s="35"/>
      <c r="I18" s="102"/>
    </row>
    <row r="19" spans="1:9" s="110" customFormat="1" x14ac:dyDescent="0.25">
      <c r="A19" s="215" t="s">
        <v>173</v>
      </c>
      <c r="B19" s="215"/>
      <c r="C19" s="215"/>
      <c r="D19" s="6"/>
      <c r="E19" s="10"/>
      <c r="F19" s="121"/>
      <c r="G19" s="35"/>
      <c r="I19" s="102"/>
    </row>
    <row r="20" spans="1:9" s="110" customFormat="1" ht="15.75" thickBot="1" x14ac:dyDescent="0.3">
      <c r="A20" s="215" t="s">
        <v>174</v>
      </c>
      <c r="B20" s="215"/>
      <c r="C20" s="215"/>
      <c r="D20" s="6"/>
      <c r="E20" s="10"/>
      <c r="F20" s="121"/>
      <c r="G20" s="35"/>
      <c r="I20" s="102"/>
    </row>
    <row r="21" spans="1:9" ht="18" x14ac:dyDescent="0.35">
      <c r="A21" s="206" t="s">
        <v>25</v>
      </c>
      <c r="B21" s="209"/>
      <c r="C21" s="210"/>
      <c r="D21" s="47">
        <f>'Unknown Resources'!F63*0.6554</f>
        <v>-1092001.9194</v>
      </c>
      <c r="E21" s="48">
        <f>+D21/(D18+D21)</f>
        <v>-0.16579716150048451</v>
      </c>
      <c r="F21" s="63">
        <f>+'Unknown Resources'!G63*0.6554</f>
        <v>-148.50507233436119</v>
      </c>
      <c r="G21" s="65" t="s">
        <v>29</v>
      </c>
    </row>
    <row r="22" spans="1:9" ht="18.75" thickBot="1" x14ac:dyDescent="0.4">
      <c r="A22" s="36"/>
      <c r="B22" s="38"/>
      <c r="C22" s="38"/>
      <c r="D22" s="62">
        <f>+C4</f>
        <v>2023</v>
      </c>
      <c r="E22" s="43" t="s">
        <v>175</v>
      </c>
      <c r="F22" s="64">
        <f>SUM(F18:F21)</f>
        <v>2407897.0745482137</v>
      </c>
      <c r="G22" s="66">
        <f>+F22/G24</f>
        <v>2.3448107527710826</v>
      </c>
      <c r="I22" s="117"/>
    </row>
    <row r="23" spans="1:9" ht="18" x14ac:dyDescent="0.35">
      <c r="A23" t="s">
        <v>271</v>
      </c>
    </row>
    <row r="24" spans="1:9" ht="18" x14ac:dyDescent="0.35">
      <c r="F24" s="15" t="s">
        <v>214</v>
      </c>
      <c r="G24" s="25">
        <f>G29</f>
        <v>1026904.6539054703</v>
      </c>
      <c r="H24" s="22"/>
    </row>
    <row r="26" spans="1:9" x14ac:dyDescent="0.25">
      <c r="B26" s="22" t="s">
        <v>15</v>
      </c>
      <c r="F26" s="17"/>
      <c r="G26" s="17"/>
    </row>
    <row r="27" spans="1:9" x14ac:dyDescent="0.25">
      <c r="E27" s="17"/>
      <c r="F27" s="17"/>
      <c r="G27" s="20" t="s">
        <v>19</v>
      </c>
    </row>
    <row r="28" spans="1:9" ht="18" x14ac:dyDescent="0.35">
      <c r="E28" s="17"/>
      <c r="F28" s="17"/>
      <c r="G28" s="21" t="s">
        <v>175</v>
      </c>
      <c r="H28" s="119" t="s">
        <v>1</v>
      </c>
    </row>
    <row r="29" spans="1:9" x14ac:dyDescent="0.25">
      <c r="E29" s="17"/>
      <c r="F29" s="18" t="s">
        <v>16</v>
      </c>
      <c r="G29" s="19">
        <f>H29/1.1023</f>
        <v>1026904.6539054703</v>
      </c>
      <c r="H29" s="19">
        <v>1131957</v>
      </c>
    </row>
    <row r="30" spans="1:9" x14ac:dyDescent="0.25">
      <c r="E30" s="17"/>
      <c r="F30" s="18" t="s">
        <v>17</v>
      </c>
      <c r="G30" s="19">
        <f t="shared" ref="G30:G31" si="0">H30/1.1023</f>
        <v>2176429.2842238955</v>
      </c>
      <c r="H30" s="19">
        <v>2399078</v>
      </c>
    </row>
    <row r="31" spans="1:9" x14ac:dyDescent="0.25">
      <c r="E31" s="17"/>
      <c r="F31" s="18" t="s">
        <v>18</v>
      </c>
      <c r="G31" s="19">
        <f t="shared" si="0"/>
        <v>6301427.9234328223</v>
      </c>
      <c r="H31" s="19">
        <v>6946064</v>
      </c>
    </row>
  </sheetData>
  <mergeCells count="10">
    <mergeCell ref="A18:C18"/>
    <mergeCell ref="A21:C21"/>
    <mergeCell ref="A4:B4"/>
    <mergeCell ref="A5:B5"/>
    <mergeCell ref="A10:C10"/>
    <mergeCell ref="A11:C11"/>
    <mergeCell ref="A12:C12"/>
    <mergeCell ref="B13:C13"/>
    <mergeCell ref="A19:C19"/>
    <mergeCell ref="A20:C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0"/>
  <sheetViews>
    <sheetView topLeftCell="A37" workbookViewId="0">
      <selection activeCell="C43" sqref="C43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11.5703125" bestFit="1" customWidth="1"/>
    <col min="22" max="22" width="14.28515625" bestFit="1" customWidth="1"/>
  </cols>
  <sheetData>
    <row r="1" spans="1:35" ht="18.75" x14ac:dyDescent="0.3">
      <c r="A1" s="3" t="s">
        <v>3</v>
      </c>
      <c r="B1" s="28">
        <f>+Summary!C4</f>
        <v>2023</v>
      </c>
    </row>
    <row r="2" spans="1:35" ht="18.75" x14ac:dyDescent="0.3">
      <c r="A2" s="3"/>
      <c r="B2" s="7" t="s">
        <v>23</v>
      </c>
      <c r="C2" s="7">
        <f>+Summary!C4</f>
        <v>2023</v>
      </c>
      <c r="D2" s="7" t="s">
        <v>198</v>
      </c>
      <c r="F2" s="68">
        <v>2023</v>
      </c>
      <c r="G2" s="69" t="s">
        <v>167</v>
      </c>
      <c r="H2" s="68" t="s">
        <v>168</v>
      </c>
      <c r="I2" s="70" t="s">
        <v>166</v>
      </c>
    </row>
    <row r="3" spans="1:35" ht="19.5" x14ac:dyDescent="0.35">
      <c r="A3" s="4" t="s">
        <v>0</v>
      </c>
      <c r="B3" s="8">
        <f>+Summary!C4</f>
        <v>2023</v>
      </c>
      <c r="C3" s="8" t="s">
        <v>197</v>
      </c>
      <c r="D3" s="8" t="s">
        <v>2</v>
      </c>
      <c r="E3" s="2"/>
      <c r="F3" s="68" t="s">
        <v>52</v>
      </c>
      <c r="G3" s="69">
        <v>233</v>
      </c>
      <c r="H3" s="68" t="s">
        <v>53</v>
      </c>
      <c r="I3" s="70">
        <v>1641846</v>
      </c>
      <c r="K3" s="110" t="s">
        <v>120</v>
      </c>
      <c r="L3" s="120" t="s">
        <v>121</v>
      </c>
      <c r="M3" s="120" t="s">
        <v>122</v>
      </c>
      <c r="N3" s="120" t="s">
        <v>123</v>
      </c>
      <c r="O3" s="120" t="s">
        <v>124</v>
      </c>
      <c r="P3" s="120" t="s">
        <v>125</v>
      </c>
      <c r="Q3" s="120" t="s">
        <v>126</v>
      </c>
      <c r="R3" s="120" t="s">
        <v>143</v>
      </c>
      <c r="S3" s="120" t="s">
        <v>127</v>
      </c>
      <c r="T3" s="120" t="s">
        <v>201</v>
      </c>
      <c r="U3" s="120" t="s">
        <v>202</v>
      </c>
      <c r="V3" s="120" t="s">
        <v>128</v>
      </c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5" x14ac:dyDescent="0.25">
      <c r="A4" s="24" t="s">
        <v>32</v>
      </c>
      <c r="B4" s="25">
        <v>1641846</v>
      </c>
      <c r="C4" s="100">
        <f t="shared" ref="C4:C9" si="0">D4/B4</f>
        <v>1.0019307570166895</v>
      </c>
      <c r="D4" s="6">
        <f>(U7+U8)</f>
        <v>1645016.0056848237</v>
      </c>
      <c r="F4" s="68" t="s">
        <v>54</v>
      </c>
      <c r="G4" s="69">
        <v>167</v>
      </c>
      <c r="H4" s="68" t="s">
        <v>55</v>
      </c>
      <c r="I4" s="70">
        <v>779307</v>
      </c>
      <c r="K4" s="197" t="s">
        <v>129</v>
      </c>
      <c r="L4" s="197" t="s">
        <v>130</v>
      </c>
      <c r="M4" s="197">
        <v>7456</v>
      </c>
      <c r="N4" s="197">
        <v>1</v>
      </c>
      <c r="O4" s="197"/>
      <c r="P4" s="197">
        <v>2023</v>
      </c>
      <c r="Q4" s="197" t="s">
        <v>131</v>
      </c>
      <c r="R4" s="197"/>
      <c r="S4" s="197">
        <v>240815.24100000001</v>
      </c>
      <c r="T4" s="117">
        <f t="shared" ref="T4:T6" si="1">S4/1.1023</f>
        <v>218466.15349723306</v>
      </c>
      <c r="U4" s="102">
        <f>T4+W43</f>
        <v>228823.23782383304</v>
      </c>
      <c r="V4" s="197">
        <v>4052164.949</v>
      </c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</row>
    <row r="5" spans="1:35" x14ac:dyDescent="0.25">
      <c r="A5" s="26" t="s">
        <v>33</v>
      </c>
      <c r="B5" s="25">
        <v>779307</v>
      </c>
      <c r="C5" s="100">
        <f t="shared" si="0"/>
        <v>0.57237017487717023</v>
      </c>
      <c r="D5" s="6">
        <f>U4+U5</f>
        <v>446052.08387300291</v>
      </c>
      <c r="F5" s="68" t="s">
        <v>56</v>
      </c>
      <c r="G5" s="69">
        <v>62</v>
      </c>
      <c r="H5" s="68" t="s">
        <v>55</v>
      </c>
      <c r="I5" s="70">
        <v>112</v>
      </c>
      <c r="K5" s="197" t="s">
        <v>129</v>
      </c>
      <c r="L5" s="197" t="s">
        <v>130</v>
      </c>
      <c r="M5" s="197">
        <v>7456</v>
      </c>
      <c r="N5" s="197">
        <v>2</v>
      </c>
      <c r="O5" s="197"/>
      <c r="P5" s="197">
        <v>2023</v>
      </c>
      <c r="Q5" s="197" t="s">
        <v>131</v>
      </c>
      <c r="R5" s="197"/>
      <c r="S5" s="197">
        <v>239451.35699999999</v>
      </c>
      <c r="T5" s="117">
        <f t="shared" si="1"/>
        <v>217228.84604916989</v>
      </c>
      <c r="U5" s="102">
        <f>T5</f>
        <v>217228.84604916989</v>
      </c>
      <c r="V5" s="197">
        <v>4029186.2969999998</v>
      </c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35" x14ac:dyDescent="0.25">
      <c r="A6" s="26" t="s">
        <v>34</v>
      </c>
      <c r="B6" s="25">
        <v>112</v>
      </c>
      <c r="C6" s="100">
        <f t="shared" si="0"/>
        <v>0.67682655859372254</v>
      </c>
      <c r="D6" s="6">
        <f>U28+X44</f>
        <v>75.804574562496924</v>
      </c>
      <c r="F6" s="68" t="s">
        <v>57</v>
      </c>
      <c r="G6" s="69">
        <v>25</v>
      </c>
      <c r="H6" s="68" t="s">
        <v>55</v>
      </c>
      <c r="I6" s="70">
        <v>63905</v>
      </c>
      <c r="K6" s="197" t="s">
        <v>129</v>
      </c>
      <c r="L6" s="197" t="s">
        <v>132</v>
      </c>
      <c r="M6" s="197">
        <v>55179</v>
      </c>
      <c r="N6" s="197" t="s">
        <v>133</v>
      </c>
      <c r="O6" s="197"/>
      <c r="P6" s="197">
        <v>2023</v>
      </c>
      <c r="Q6" s="197" t="s">
        <v>131</v>
      </c>
      <c r="R6" s="197"/>
      <c r="S6" s="197">
        <v>764141.99600000004</v>
      </c>
      <c r="T6" s="117">
        <f t="shared" si="1"/>
        <v>693225.07121473283</v>
      </c>
      <c r="U6" s="102">
        <f>T6+X50</f>
        <v>693872.24639153283</v>
      </c>
      <c r="V6" s="197">
        <v>12858151.529999999</v>
      </c>
      <c r="X6" s="110"/>
      <c r="Y6" s="110"/>
      <c r="Z6" s="110"/>
      <c r="AA6" s="110"/>
      <c r="AB6" s="110"/>
      <c r="AC6" s="110"/>
      <c r="AD6" s="110"/>
      <c r="AE6" s="110"/>
      <c r="AF6" s="110"/>
      <c r="AG6" s="114"/>
      <c r="AH6" s="110"/>
    </row>
    <row r="7" spans="1:35" x14ac:dyDescent="0.25">
      <c r="A7" s="26" t="s">
        <v>35</v>
      </c>
      <c r="B7" s="25">
        <v>63905</v>
      </c>
      <c r="C7" s="100">
        <f t="shared" si="0"/>
        <v>0.48977801742339327</v>
      </c>
      <c r="D7" s="6">
        <f>U29+X45</f>
        <v>31299.264203441948</v>
      </c>
      <c r="F7" s="68" t="s">
        <v>58</v>
      </c>
      <c r="G7" s="69">
        <v>286</v>
      </c>
      <c r="H7" s="68" t="s">
        <v>55</v>
      </c>
      <c r="I7" s="70">
        <v>2265353</v>
      </c>
      <c r="K7" s="197" t="s">
        <v>134</v>
      </c>
      <c r="L7" s="197" t="s">
        <v>135</v>
      </c>
      <c r="M7" s="197">
        <v>6076</v>
      </c>
      <c r="N7" s="197">
        <v>3</v>
      </c>
      <c r="O7" s="197"/>
      <c r="P7" s="197">
        <v>2022</v>
      </c>
      <c r="Q7" s="197" t="s">
        <v>131</v>
      </c>
      <c r="R7" s="197"/>
      <c r="S7" s="197">
        <v>5873809.0530000003</v>
      </c>
      <c r="T7" s="117">
        <f>(0.15*S7)/1.1023</f>
        <v>799302.69250657712</v>
      </c>
      <c r="U7" s="102">
        <f>T7+X41</f>
        <v>812398.06124281709</v>
      </c>
      <c r="V7" s="197">
        <v>56019880.590000004</v>
      </c>
      <c r="X7" s="110"/>
      <c r="Y7" s="110"/>
      <c r="Z7" s="110"/>
      <c r="AA7" s="110"/>
      <c r="AB7" s="110"/>
      <c r="AC7" s="110"/>
      <c r="AD7" s="110"/>
      <c r="AE7" s="110"/>
      <c r="AF7" s="110"/>
      <c r="AG7" s="114"/>
      <c r="AH7" s="114"/>
    </row>
    <row r="8" spans="1:35" x14ac:dyDescent="0.25">
      <c r="A8" s="26" t="s">
        <v>36</v>
      </c>
      <c r="B8" s="25">
        <v>2265353</v>
      </c>
      <c r="C8" s="100">
        <f t="shared" si="0"/>
        <v>0.3719105206405503</v>
      </c>
      <c r="D8" s="6">
        <f>U9</f>
        <v>842508.61366463255</v>
      </c>
      <c r="F8" s="68" t="s">
        <v>59</v>
      </c>
      <c r="G8" s="69">
        <v>7.2</v>
      </c>
      <c r="H8" s="68" t="s">
        <v>55</v>
      </c>
      <c r="I8" s="71">
        <v>25622</v>
      </c>
      <c r="K8" s="197" t="s">
        <v>134</v>
      </c>
      <c r="L8" s="197" t="s">
        <v>135</v>
      </c>
      <c r="M8" s="197">
        <v>6076</v>
      </c>
      <c r="N8" s="197">
        <v>4</v>
      </c>
      <c r="O8" s="197"/>
      <c r="P8" s="197">
        <v>2022</v>
      </c>
      <c r="Q8" s="197" t="s">
        <v>131</v>
      </c>
      <c r="R8" s="197"/>
      <c r="S8" s="197">
        <v>6118602.8480000002</v>
      </c>
      <c r="T8" s="117">
        <f>(0.15*S8)/1.1023</f>
        <v>832614.01360791072</v>
      </c>
      <c r="U8" s="102">
        <f>T8+X42</f>
        <v>832617.94444200676</v>
      </c>
      <c r="V8" s="197">
        <v>58354245.149999999</v>
      </c>
      <c r="X8" s="110"/>
      <c r="Y8" s="110"/>
      <c r="Z8" s="110"/>
      <c r="AA8" s="110"/>
      <c r="AB8" s="110"/>
      <c r="AC8" s="110"/>
      <c r="AD8" s="110"/>
      <c r="AE8" s="110"/>
      <c r="AF8" s="110"/>
      <c r="AG8" s="114"/>
      <c r="AH8" s="114"/>
    </row>
    <row r="9" spans="1:35" x14ac:dyDescent="0.25">
      <c r="A9" s="26" t="s">
        <v>152</v>
      </c>
      <c r="B9" s="25">
        <v>25622</v>
      </c>
      <c r="C9" s="100">
        <f t="shared" si="0"/>
        <v>0.59861383990208805</v>
      </c>
      <c r="D9" s="6">
        <f>U31+X47</f>
        <v>15337.683805971301</v>
      </c>
      <c r="F9" s="68" t="s">
        <v>60</v>
      </c>
      <c r="G9" s="72">
        <v>51</v>
      </c>
      <c r="H9" s="68" t="s">
        <v>61</v>
      </c>
      <c r="I9" s="70">
        <v>308291</v>
      </c>
      <c r="K9" s="197" t="s">
        <v>136</v>
      </c>
      <c r="L9" s="197" t="s">
        <v>137</v>
      </c>
      <c r="M9" s="197">
        <v>7350</v>
      </c>
      <c r="N9" s="197" t="s">
        <v>138</v>
      </c>
      <c r="O9" s="197"/>
      <c r="P9" s="197">
        <v>2023</v>
      </c>
      <c r="Q9" s="197" t="s">
        <v>131</v>
      </c>
      <c r="R9" s="197"/>
      <c r="S9" s="197">
        <v>927777.41799999995</v>
      </c>
      <c r="T9" s="117">
        <f t="shared" ref="T9" si="2">S9/1.1023</f>
        <v>841674.15222716134</v>
      </c>
      <c r="U9" s="102">
        <f>T9+X46</f>
        <v>842508.61366463255</v>
      </c>
      <c r="V9" s="197">
        <v>15611561.109999999</v>
      </c>
      <c r="X9" s="110"/>
      <c r="Y9" s="110"/>
      <c r="Z9" s="110"/>
      <c r="AA9" s="110"/>
      <c r="AB9" s="110"/>
      <c r="AC9" s="110"/>
      <c r="AD9" s="110"/>
      <c r="AE9" s="110"/>
      <c r="AF9" s="110"/>
      <c r="AG9" s="114"/>
      <c r="AH9" s="114"/>
    </row>
    <row r="10" spans="1:35" x14ac:dyDescent="0.25">
      <c r="A10" s="26" t="s">
        <v>199</v>
      </c>
      <c r="B10" s="25">
        <v>308291</v>
      </c>
      <c r="C10" s="100">
        <v>0</v>
      </c>
      <c r="D10" s="6">
        <v>0</v>
      </c>
      <c r="F10" s="68" t="s">
        <v>62</v>
      </c>
      <c r="G10" s="69">
        <v>15</v>
      </c>
      <c r="H10" s="68" t="s">
        <v>63</v>
      </c>
      <c r="I10" s="70">
        <v>89124</v>
      </c>
      <c r="W10" s="116"/>
      <c r="AF10" s="114"/>
    </row>
    <row r="11" spans="1:35" x14ac:dyDescent="0.25">
      <c r="A11" s="26" t="s">
        <v>38</v>
      </c>
      <c r="B11" s="25">
        <v>89124</v>
      </c>
      <c r="C11" s="100">
        <v>0</v>
      </c>
      <c r="D11" s="6">
        <v>0</v>
      </c>
      <c r="F11" s="68" t="s">
        <v>64</v>
      </c>
      <c r="G11" s="69">
        <v>15</v>
      </c>
      <c r="H11" s="68" t="s">
        <v>63</v>
      </c>
      <c r="I11" s="70">
        <v>47966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</row>
    <row r="12" spans="1:35" x14ac:dyDescent="0.25">
      <c r="A12" s="26" t="s">
        <v>39</v>
      </c>
      <c r="B12" s="25">
        <v>47966</v>
      </c>
      <c r="C12" s="100">
        <v>0</v>
      </c>
      <c r="D12" s="6">
        <v>0</v>
      </c>
      <c r="F12" s="68" t="s">
        <v>65</v>
      </c>
      <c r="G12" s="69">
        <v>38</v>
      </c>
      <c r="H12" s="68" t="s">
        <v>63</v>
      </c>
      <c r="I12" s="70">
        <v>118300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</row>
    <row r="13" spans="1:35" x14ac:dyDescent="0.25">
      <c r="A13" s="26" t="s">
        <v>40</v>
      </c>
      <c r="B13" s="25">
        <v>118300</v>
      </c>
      <c r="C13" s="100">
        <f>(V17*2204.62262)/B13</f>
        <v>0</v>
      </c>
      <c r="D13" s="6">
        <v>0</v>
      </c>
      <c r="F13" s="68" t="s">
        <v>165</v>
      </c>
      <c r="G13" s="69">
        <v>43</v>
      </c>
      <c r="H13" s="68" t="s">
        <v>63</v>
      </c>
      <c r="I13" s="70">
        <v>175811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</row>
    <row r="14" spans="1:35" x14ac:dyDescent="0.25">
      <c r="A14" s="26" t="s">
        <v>41</v>
      </c>
      <c r="B14" s="25">
        <v>175811</v>
      </c>
      <c r="C14" s="100">
        <f t="shared" ref="C14:C18" si="3">(V18*2204.62262)/B14</f>
        <v>0</v>
      </c>
      <c r="D14" s="6">
        <v>0</v>
      </c>
      <c r="F14" s="68" t="s">
        <v>66</v>
      </c>
      <c r="G14" s="69">
        <v>71</v>
      </c>
      <c r="H14" s="68" t="s">
        <v>63</v>
      </c>
      <c r="I14" s="70">
        <v>412958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</row>
    <row r="15" spans="1:35" x14ac:dyDescent="0.25">
      <c r="A15" s="26" t="s">
        <v>42</v>
      </c>
      <c r="B15" s="25">
        <v>412958</v>
      </c>
      <c r="C15" s="100">
        <f t="shared" si="3"/>
        <v>0</v>
      </c>
      <c r="D15" s="6">
        <v>0</v>
      </c>
      <c r="F15" s="68" t="s">
        <v>67</v>
      </c>
      <c r="G15" s="69">
        <v>10</v>
      </c>
      <c r="H15" s="68" t="s">
        <v>63</v>
      </c>
      <c r="I15" s="70">
        <v>59914</v>
      </c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</row>
    <row r="16" spans="1:35" x14ac:dyDescent="0.25">
      <c r="A16" s="26" t="s">
        <v>43</v>
      </c>
      <c r="B16" s="25">
        <v>59914</v>
      </c>
      <c r="C16" s="100">
        <f t="shared" si="3"/>
        <v>0</v>
      </c>
      <c r="D16" s="6">
        <v>0</v>
      </c>
      <c r="F16" s="68" t="s">
        <v>68</v>
      </c>
      <c r="G16" s="69">
        <v>265</v>
      </c>
      <c r="H16" s="68" t="s">
        <v>63</v>
      </c>
      <c r="I16" s="70">
        <v>815740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</row>
    <row r="17" spans="1:35" x14ac:dyDescent="0.25">
      <c r="A17" s="26" t="s">
        <v>44</v>
      </c>
      <c r="B17" s="25">
        <v>815740</v>
      </c>
      <c r="C17" s="100">
        <f t="shared" si="3"/>
        <v>0</v>
      </c>
      <c r="D17" s="6">
        <v>0</v>
      </c>
      <c r="F17" s="68" t="s">
        <v>69</v>
      </c>
      <c r="G17" s="69">
        <v>488</v>
      </c>
      <c r="H17" s="68" t="s">
        <v>63</v>
      </c>
      <c r="I17" s="70">
        <v>1304311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</row>
    <row r="18" spans="1:35" x14ac:dyDescent="0.25">
      <c r="A18" s="26" t="s">
        <v>45</v>
      </c>
      <c r="B18" s="25">
        <v>1304311</v>
      </c>
      <c r="C18" s="100">
        <f t="shared" si="3"/>
        <v>0</v>
      </c>
      <c r="D18" s="6">
        <v>0</v>
      </c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</row>
    <row r="19" spans="1:35" x14ac:dyDescent="0.25">
      <c r="A19" s="26" t="s">
        <v>200</v>
      </c>
      <c r="B19" s="25">
        <v>1806400</v>
      </c>
      <c r="C19" s="100">
        <f>D19/B19</f>
        <v>0.38411882550461296</v>
      </c>
      <c r="D19" s="6">
        <f>U6</f>
        <v>693872.24639153283</v>
      </c>
    </row>
    <row r="20" spans="1:35" ht="15.75" x14ac:dyDescent="0.25">
      <c r="A20" s="26" t="s">
        <v>118</v>
      </c>
      <c r="B20" s="25"/>
      <c r="C20" s="25">
        <v>0</v>
      </c>
      <c r="D20" s="6">
        <f t="shared" ref="D20:D42" si="4">(+B20*C20)/2000</f>
        <v>0</v>
      </c>
      <c r="F20" s="124">
        <v>2023</v>
      </c>
      <c r="G20" s="125"/>
      <c r="H20" s="126"/>
      <c r="I20" s="127" t="s">
        <v>70</v>
      </c>
      <c r="J20" s="127" t="s">
        <v>71</v>
      </c>
      <c r="K20" s="128" t="s">
        <v>72</v>
      </c>
      <c r="L20" s="129" t="s">
        <v>73</v>
      </c>
      <c r="M20" s="128" t="s">
        <v>74</v>
      </c>
      <c r="N20" s="128" t="s">
        <v>75</v>
      </c>
      <c r="O20" s="128" t="s">
        <v>76</v>
      </c>
      <c r="P20" s="129" t="s">
        <v>77</v>
      </c>
      <c r="Q20" s="129" t="s">
        <v>78</v>
      </c>
      <c r="R20" s="130" t="s">
        <v>79</v>
      </c>
      <c r="S20" s="130" t="s">
        <v>80</v>
      </c>
      <c r="T20" s="130" t="s">
        <v>81</v>
      </c>
      <c r="U20" s="131" t="s">
        <v>82</v>
      </c>
      <c r="V20" s="132"/>
      <c r="W20" s="133"/>
      <c r="X20" s="130" t="s">
        <v>180</v>
      </c>
      <c r="Y20" s="131" t="s">
        <v>181</v>
      </c>
    </row>
    <row r="21" spans="1:35" ht="105" x14ac:dyDescent="0.25">
      <c r="A21" s="25" t="s">
        <v>169</v>
      </c>
      <c r="B21" s="25">
        <v>36961</v>
      </c>
      <c r="C21" s="25">
        <v>0</v>
      </c>
      <c r="D21" s="6">
        <f t="shared" si="4"/>
        <v>0</v>
      </c>
      <c r="F21" s="134"/>
      <c r="G21" s="135"/>
      <c r="H21" s="136"/>
      <c r="I21" s="137" t="s">
        <v>83</v>
      </c>
      <c r="J21" s="137" t="s">
        <v>84</v>
      </c>
      <c r="K21" s="137" t="s">
        <v>85</v>
      </c>
      <c r="L21" s="137" t="s">
        <v>86</v>
      </c>
      <c r="M21" s="137" t="s">
        <v>87</v>
      </c>
      <c r="N21" s="137" t="s">
        <v>88</v>
      </c>
      <c r="O21" s="137" t="s">
        <v>89</v>
      </c>
      <c r="P21" s="138" t="s">
        <v>90</v>
      </c>
      <c r="Q21" s="138" t="s">
        <v>91</v>
      </c>
      <c r="R21" s="138" t="s">
        <v>92</v>
      </c>
      <c r="S21" s="138" t="s">
        <v>93</v>
      </c>
      <c r="T21" s="138" t="s">
        <v>252</v>
      </c>
      <c r="U21" s="139" t="s">
        <v>253</v>
      </c>
      <c r="V21" s="140"/>
      <c r="W21" s="133"/>
      <c r="X21" s="138" t="s">
        <v>254</v>
      </c>
      <c r="Y21" s="138" t="s">
        <v>255</v>
      </c>
    </row>
    <row r="22" spans="1:35" ht="30" x14ac:dyDescent="0.25">
      <c r="A22" s="25" t="s">
        <v>153</v>
      </c>
      <c r="B22" s="25">
        <v>350059</v>
      </c>
      <c r="C22" s="25">
        <v>0</v>
      </c>
      <c r="D22" s="6">
        <f t="shared" si="4"/>
        <v>0</v>
      </c>
      <c r="F22" s="141"/>
      <c r="G22" s="142"/>
      <c r="H22" s="126"/>
      <c r="I22" s="143"/>
      <c r="J22" s="143"/>
      <c r="K22" s="143"/>
      <c r="L22" s="143"/>
      <c r="M22" s="143" t="s">
        <v>94</v>
      </c>
      <c r="N22" s="143" t="s">
        <v>95</v>
      </c>
      <c r="O22" s="143"/>
      <c r="P22" s="139"/>
      <c r="Q22" s="139"/>
      <c r="R22" s="73"/>
      <c r="S22" s="73"/>
      <c r="T22" s="139" t="s">
        <v>96</v>
      </c>
      <c r="U22" s="144" t="s">
        <v>97</v>
      </c>
      <c r="V22" s="140"/>
      <c r="W22" s="133"/>
      <c r="X22" s="139" t="s">
        <v>182</v>
      </c>
      <c r="Y22" s="139"/>
    </row>
    <row r="23" spans="1:35" ht="34.5" customHeight="1" x14ac:dyDescent="0.25">
      <c r="A23" s="25" t="s">
        <v>145</v>
      </c>
      <c r="B23" s="25">
        <v>3093</v>
      </c>
      <c r="C23" s="25">
        <v>0</v>
      </c>
      <c r="D23" s="6">
        <f t="shared" si="4"/>
        <v>0</v>
      </c>
      <c r="F23" s="74" t="s">
        <v>98</v>
      </c>
      <c r="G23" s="75" t="s">
        <v>55</v>
      </c>
      <c r="H23" s="76">
        <v>0.5</v>
      </c>
      <c r="I23" s="80">
        <v>1000</v>
      </c>
      <c r="J23" s="77" t="s">
        <v>99</v>
      </c>
      <c r="K23" s="78">
        <v>5.0999999999999997E-2</v>
      </c>
      <c r="L23" s="79" t="s">
        <v>100</v>
      </c>
      <c r="M23" s="77" t="s">
        <v>101</v>
      </c>
      <c r="N23" s="80">
        <v>51</v>
      </c>
      <c r="O23" s="80" t="s">
        <v>102</v>
      </c>
      <c r="P23" s="79">
        <v>14</v>
      </c>
      <c r="Q23" s="77" t="s">
        <v>103</v>
      </c>
      <c r="R23" s="199">
        <v>1</v>
      </c>
      <c r="S23" s="200">
        <v>1</v>
      </c>
      <c r="T23" s="146">
        <v>2618.0000000000023</v>
      </c>
      <c r="U23" s="81">
        <v>2.6180000000000021</v>
      </c>
      <c r="V23" s="147"/>
      <c r="W23" s="148"/>
      <c r="X23" s="146" t="s">
        <v>183</v>
      </c>
      <c r="Y23" s="81">
        <v>2.61</v>
      </c>
    </row>
    <row r="24" spans="1:35" x14ac:dyDescent="0.25">
      <c r="A24" s="25" t="s">
        <v>154</v>
      </c>
      <c r="B24" s="25">
        <v>255042</v>
      </c>
      <c r="C24" s="25">
        <v>0</v>
      </c>
      <c r="D24" s="6">
        <f t="shared" si="4"/>
        <v>0</v>
      </c>
      <c r="F24" s="82" t="s">
        <v>104</v>
      </c>
      <c r="G24" s="149" t="s">
        <v>105</v>
      </c>
      <c r="H24" s="149" t="s">
        <v>106</v>
      </c>
      <c r="I24" s="83"/>
      <c r="J24" s="84"/>
      <c r="K24" s="84"/>
      <c r="L24" s="84"/>
      <c r="M24" s="84"/>
      <c r="N24" s="84"/>
      <c r="O24" s="84"/>
      <c r="P24" s="85"/>
      <c r="Q24" s="86"/>
      <c r="R24" s="87"/>
      <c r="S24" s="87"/>
      <c r="T24" s="87"/>
      <c r="U24" s="84"/>
      <c r="V24" s="150"/>
      <c r="W24" s="148"/>
      <c r="X24" s="87"/>
      <c r="Y24" s="87"/>
    </row>
    <row r="25" spans="1:35" ht="30" x14ac:dyDescent="0.25">
      <c r="A25" s="25" t="s">
        <v>155</v>
      </c>
      <c r="B25" s="25">
        <v>9528</v>
      </c>
      <c r="C25" s="25">
        <v>0</v>
      </c>
      <c r="D25" s="6">
        <f t="shared" si="4"/>
        <v>0</v>
      </c>
      <c r="F25" s="88" t="s">
        <v>32</v>
      </c>
      <c r="G25" s="88" t="s">
        <v>53</v>
      </c>
      <c r="H25" s="201">
        <v>0.15</v>
      </c>
      <c r="I25" s="202">
        <v>1026440</v>
      </c>
      <c r="J25" s="89" t="s">
        <v>107</v>
      </c>
      <c r="K25" s="90">
        <v>16.97</v>
      </c>
      <c r="L25" s="89" t="s">
        <v>108</v>
      </c>
      <c r="M25" s="89" t="s">
        <v>101</v>
      </c>
      <c r="N25" s="151">
        <v>17418686.799999997</v>
      </c>
      <c r="O25" s="91" t="s">
        <v>109</v>
      </c>
      <c r="P25" s="203">
        <v>95.121316064080531</v>
      </c>
      <c r="Q25" s="91" t="s">
        <v>110</v>
      </c>
      <c r="R25" s="93">
        <v>0.98</v>
      </c>
      <c r="S25" s="94">
        <v>1</v>
      </c>
      <c r="T25" s="152">
        <v>1623750644.2735465</v>
      </c>
      <c r="U25" s="152">
        <v>1623750.6442735465</v>
      </c>
      <c r="V25" s="153"/>
      <c r="W25" s="148"/>
      <c r="X25" s="154" t="s">
        <v>183</v>
      </c>
      <c r="Y25" s="155"/>
    </row>
    <row r="26" spans="1:35" ht="25.5" x14ac:dyDescent="0.25">
      <c r="A26" s="25" t="s">
        <v>156</v>
      </c>
      <c r="B26" s="25"/>
      <c r="C26" s="25">
        <v>0</v>
      </c>
      <c r="D26" s="6">
        <f t="shared" si="4"/>
        <v>0</v>
      </c>
      <c r="F26" s="88" t="s">
        <v>32</v>
      </c>
      <c r="G26" s="88" t="s">
        <v>111</v>
      </c>
      <c r="H26" s="95">
        <v>0.15</v>
      </c>
      <c r="I26" s="202">
        <v>2634</v>
      </c>
      <c r="J26" s="89" t="s">
        <v>112</v>
      </c>
      <c r="K26" s="92">
        <v>5.88</v>
      </c>
      <c r="L26" s="96" t="s">
        <v>113</v>
      </c>
      <c r="M26" s="89" t="s">
        <v>101</v>
      </c>
      <c r="N26" s="151">
        <v>15487.92</v>
      </c>
      <c r="O26" s="91" t="s">
        <v>109</v>
      </c>
      <c r="P26" s="92">
        <v>73.959999998363685</v>
      </c>
      <c r="Q26" s="91" t="s">
        <v>110</v>
      </c>
      <c r="R26" s="93">
        <v>0.99</v>
      </c>
      <c r="S26" s="94">
        <v>1</v>
      </c>
      <c r="T26" s="152">
        <v>1134031.6975429102</v>
      </c>
      <c r="U26" s="152">
        <v>1134.0316975429103</v>
      </c>
      <c r="V26" s="153"/>
      <c r="W26" s="148"/>
      <c r="X26" s="154" t="s">
        <v>180</v>
      </c>
      <c r="Y26" s="155"/>
    </row>
    <row r="27" spans="1:35" x14ac:dyDescent="0.25">
      <c r="A27" s="25" t="s">
        <v>119</v>
      </c>
      <c r="B27" s="25">
        <v>294887</v>
      </c>
      <c r="C27" s="25">
        <v>0</v>
      </c>
      <c r="D27" s="6">
        <f t="shared" si="4"/>
        <v>0</v>
      </c>
      <c r="F27" s="88" t="s">
        <v>114</v>
      </c>
      <c r="G27" s="88" t="s">
        <v>55</v>
      </c>
      <c r="H27" s="95">
        <v>1</v>
      </c>
      <c r="I27" s="204">
        <v>9176.9310000000005</v>
      </c>
      <c r="J27" s="89" t="s">
        <v>115</v>
      </c>
      <c r="K27" s="97">
        <v>1026</v>
      </c>
      <c r="L27" s="89" t="s">
        <v>116</v>
      </c>
      <c r="M27" s="89" t="s">
        <v>101</v>
      </c>
      <c r="N27" s="151">
        <v>9415531.2060000002</v>
      </c>
      <c r="O27" s="91" t="s">
        <v>109</v>
      </c>
      <c r="P27" s="92">
        <v>53.913079631935013</v>
      </c>
      <c r="Q27" s="91" t="s">
        <v>110</v>
      </c>
      <c r="R27" s="93">
        <v>0.995</v>
      </c>
      <c r="S27" s="94">
        <v>1</v>
      </c>
      <c r="T27" s="152">
        <v>505082182.26761693</v>
      </c>
      <c r="U27" s="152">
        <v>505082.18226761691</v>
      </c>
      <c r="V27" s="153"/>
      <c r="W27" s="148"/>
      <c r="X27" s="154" t="s">
        <v>183</v>
      </c>
      <c r="Y27" s="155"/>
    </row>
    <row r="28" spans="1:35" x14ac:dyDescent="0.25">
      <c r="A28" s="25" t="s">
        <v>157</v>
      </c>
      <c r="B28" s="25"/>
      <c r="C28" s="25">
        <v>0</v>
      </c>
      <c r="D28" s="6">
        <f t="shared" si="4"/>
        <v>0</v>
      </c>
      <c r="F28" s="88" t="s">
        <v>117</v>
      </c>
      <c r="G28" s="88" t="s">
        <v>55</v>
      </c>
      <c r="H28" s="95">
        <v>1</v>
      </c>
      <c r="I28" s="204">
        <v>1.3979999999999999</v>
      </c>
      <c r="J28" s="89" t="s">
        <v>115</v>
      </c>
      <c r="K28" s="97">
        <v>1026</v>
      </c>
      <c r="L28" s="89" t="s">
        <v>116</v>
      </c>
      <c r="M28" s="89" t="s">
        <v>101</v>
      </c>
      <c r="N28" s="151">
        <v>1434.348</v>
      </c>
      <c r="O28" s="91" t="s">
        <v>109</v>
      </c>
      <c r="P28" s="92">
        <v>53.059999955504388</v>
      </c>
      <c r="Q28" s="91" t="s">
        <v>110</v>
      </c>
      <c r="R28" s="93">
        <v>0.995</v>
      </c>
      <c r="S28" s="94">
        <v>1</v>
      </c>
      <c r="T28" s="152">
        <v>75725.972292096922</v>
      </c>
      <c r="U28" s="152">
        <v>75.725972292096927</v>
      </c>
      <c r="V28" s="153"/>
      <c r="W28" s="148"/>
      <c r="X28" s="154" t="s">
        <v>180</v>
      </c>
      <c r="Y28" s="156"/>
    </row>
    <row r="29" spans="1:35" ht="29.25" customHeight="1" x14ac:dyDescent="0.25">
      <c r="A29" s="25" t="s">
        <v>176</v>
      </c>
      <c r="B29" s="25">
        <v>379055</v>
      </c>
      <c r="C29" s="25">
        <v>0</v>
      </c>
      <c r="D29" s="6">
        <f t="shared" si="4"/>
        <v>0</v>
      </c>
      <c r="F29" s="88" t="s">
        <v>35</v>
      </c>
      <c r="G29" s="88" t="s">
        <v>55</v>
      </c>
      <c r="H29" s="95">
        <v>1</v>
      </c>
      <c r="I29" s="204">
        <v>577.226</v>
      </c>
      <c r="J29" s="89" t="s">
        <v>115</v>
      </c>
      <c r="K29" s="97">
        <v>1026</v>
      </c>
      <c r="L29" s="89" t="s">
        <v>116</v>
      </c>
      <c r="M29" s="89" t="s">
        <v>101</v>
      </c>
      <c r="N29" s="151">
        <v>592233.87600000005</v>
      </c>
      <c r="O29" s="91" t="s">
        <v>109</v>
      </c>
      <c r="P29" s="92">
        <v>53.059999955504388</v>
      </c>
      <c r="Q29" s="91" t="s">
        <v>110</v>
      </c>
      <c r="R29" s="93">
        <v>0.995</v>
      </c>
      <c r="S29" s="94">
        <v>1</v>
      </c>
      <c r="T29" s="152">
        <v>31266809.787037149</v>
      </c>
      <c r="U29" s="152">
        <v>31266.809787037149</v>
      </c>
      <c r="V29" s="153"/>
      <c r="W29" s="148"/>
      <c r="X29" s="154" t="s">
        <v>180</v>
      </c>
      <c r="Y29" s="156"/>
    </row>
    <row r="30" spans="1:35" ht="27" customHeight="1" x14ac:dyDescent="0.25">
      <c r="A30" s="25" t="s">
        <v>160</v>
      </c>
      <c r="B30" s="25">
        <v>7457</v>
      </c>
      <c r="C30" s="25">
        <v>0</v>
      </c>
      <c r="D30" s="6">
        <f t="shared" si="4"/>
        <v>0</v>
      </c>
      <c r="F30" s="88" t="s">
        <v>36</v>
      </c>
      <c r="G30" s="88" t="s">
        <v>55</v>
      </c>
      <c r="H30" s="95">
        <v>1</v>
      </c>
      <c r="I30" s="204">
        <v>14841.519</v>
      </c>
      <c r="J30" s="89" t="s">
        <v>115</v>
      </c>
      <c r="K30" s="97">
        <v>1026</v>
      </c>
      <c r="L30" s="89" t="s">
        <v>116</v>
      </c>
      <c r="M30" s="89" t="s">
        <v>101</v>
      </c>
      <c r="N30" s="151">
        <v>15227398.494000001</v>
      </c>
      <c r="O30" s="91" t="s">
        <v>109</v>
      </c>
      <c r="P30" s="92">
        <v>53.913026145939064</v>
      </c>
      <c r="Q30" s="91" t="s">
        <v>110</v>
      </c>
      <c r="R30" s="93">
        <v>0.995</v>
      </c>
      <c r="S30" s="94">
        <v>1</v>
      </c>
      <c r="T30" s="152">
        <v>816850357.4759469</v>
      </c>
      <c r="U30" s="152">
        <v>816850.35747594689</v>
      </c>
      <c r="V30" s="153"/>
      <c r="W30" s="148"/>
      <c r="X30" s="154" t="s">
        <v>183</v>
      </c>
      <c r="Y30" s="157"/>
    </row>
    <row r="31" spans="1:35" x14ac:dyDescent="0.25">
      <c r="A31" s="25" t="s">
        <v>161</v>
      </c>
      <c r="B31" s="25">
        <v>42481</v>
      </c>
      <c r="C31" s="25">
        <v>0</v>
      </c>
      <c r="D31" s="6">
        <f t="shared" si="4"/>
        <v>0</v>
      </c>
      <c r="F31" s="88" t="s">
        <v>37</v>
      </c>
      <c r="G31" s="88" t="s">
        <v>55</v>
      </c>
      <c r="H31" s="95">
        <v>1</v>
      </c>
      <c r="I31" s="204">
        <v>282.86</v>
      </c>
      <c r="J31" s="89" t="s">
        <v>115</v>
      </c>
      <c r="K31" s="97">
        <v>1026</v>
      </c>
      <c r="L31" s="89" t="s">
        <v>116</v>
      </c>
      <c r="M31" s="89" t="s">
        <v>101</v>
      </c>
      <c r="N31" s="151">
        <v>290214.36</v>
      </c>
      <c r="O31" s="91" t="s">
        <v>109</v>
      </c>
      <c r="P31" s="92">
        <v>53.059999955504388</v>
      </c>
      <c r="Q31" s="91" t="s">
        <v>110</v>
      </c>
      <c r="R31" s="93">
        <v>0.995</v>
      </c>
      <c r="S31" s="94">
        <v>1</v>
      </c>
      <c r="T31" s="152">
        <v>15321780.059043301</v>
      </c>
      <c r="U31" s="152">
        <v>15321.780059043302</v>
      </c>
      <c r="V31" s="153"/>
      <c r="W31" s="148"/>
      <c r="X31" s="154" t="s">
        <v>180</v>
      </c>
      <c r="Y31" s="156"/>
    </row>
    <row r="32" spans="1:35" x14ac:dyDescent="0.25">
      <c r="A32" s="25" t="s">
        <v>158</v>
      </c>
      <c r="B32" s="25">
        <v>5473</v>
      </c>
      <c r="C32" s="25">
        <v>0</v>
      </c>
      <c r="D32" s="6">
        <f t="shared" si="4"/>
        <v>0</v>
      </c>
      <c r="F32" s="88" t="s">
        <v>149</v>
      </c>
      <c r="G32" s="158" t="s">
        <v>55</v>
      </c>
      <c r="H32" s="95">
        <v>1</v>
      </c>
      <c r="I32" s="204">
        <v>10.164</v>
      </c>
      <c r="J32" s="89" t="s">
        <v>115</v>
      </c>
      <c r="K32" s="97">
        <v>1026</v>
      </c>
      <c r="L32" s="89" t="s">
        <v>116</v>
      </c>
      <c r="M32" s="89" t="s">
        <v>101</v>
      </c>
      <c r="N32" s="151">
        <v>10428.263999999999</v>
      </c>
      <c r="O32" s="91" t="s">
        <v>109</v>
      </c>
      <c r="P32" s="92">
        <v>53.059999955504388</v>
      </c>
      <c r="Q32" s="91" t="s">
        <v>110</v>
      </c>
      <c r="R32" s="93">
        <v>0.995</v>
      </c>
      <c r="S32" s="94">
        <v>1</v>
      </c>
      <c r="T32" s="152">
        <v>550557.06893910805</v>
      </c>
      <c r="U32" s="152">
        <v>550.55706893910804</v>
      </c>
      <c r="V32" s="153"/>
      <c r="W32" s="148"/>
      <c r="X32" s="154" t="s">
        <v>180</v>
      </c>
      <c r="Y32" s="156"/>
    </row>
    <row r="33" spans="1:25" x14ac:dyDescent="0.25">
      <c r="A33" s="25" t="s">
        <v>159</v>
      </c>
      <c r="B33" s="25">
        <v>38502</v>
      </c>
      <c r="C33" s="25"/>
      <c r="D33" s="6">
        <f t="shared" si="4"/>
        <v>0</v>
      </c>
      <c r="F33" s="98"/>
      <c r="G33" s="99"/>
      <c r="H33" s="95"/>
      <c r="I33" s="92"/>
      <c r="J33" s="89"/>
      <c r="K33" s="97" t="s">
        <v>150</v>
      </c>
      <c r="L33" s="89" t="s">
        <v>150</v>
      </c>
      <c r="M33" s="89" t="s">
        <v>150</v>
      </c>
      <c r="N33" s="151">
        <v>0</v>
      </c>
      <c r="O33" s="91" t="s">
        <v>150</v>
      </c>
      <c r="P33" s="92" t="s">
        <v>150</v>
      </c>
      <c r="Q33" s="91" t="s">
        <v>150</v>
      </c>
      <c r="R33" s="159" t="s">
        <v>150</v>
      </c>
      <c r="S33" s="160" t="s">
        <v>150</v>
      </c>
      <c r="T33" s="152" t="e">
        <v>#VALUE!</v>
      </c>
      <c r="U33" s="152">
        <v>0</v>
      </c>
      <c r="V33" s="153"/>
      <c r="W33" s="148"/>
      <c r="X33" s="154"/>
      <c r="Y33" s="155" t="s">
        <v>150</v>
      </c>
    </row>
    <row r="34" spans="1:25" x14ac:dyDescent="0.25">
      <c r="A34" s="25" t="s">
        <v>172</v>
      </c>
      <c r="B34" s="25">
        <v>0</v>
      </c>
      <c r="C34" s="25"/>
      <c r="D34" s="6">
        <f t="shared" si="4"/>
        <v>0</v>
      </c>
      <c r="F34" s="98" t="s">
        <v>50</v>
      </c>
      <c r="G34" s="205" t="s">
        <v>55</v>
      </c>
      <c r="H34" s="95">
        <v>0</v>
      </c>
      <c r="I34" s="92"/>
      <c r="J34" s="89" t="s">
        <v>115</v>
      </c>
      <c r="K34" s="97">
        <v>16.826809999999998</v>
      </c>
      <c r="L34" s="89"/>
      <c r="M34" s="89"/>
      <c r="N34" s="151">
        <v>0</v>
      </c>
      <c r="O34" s="91"/>
      <c r="P34" s="92"/>
      <c r="Q34" s="91"/>
      <c r="R34" s="93"/>
      <c r="S34" s="94"/>
      <c r="T34" s="152">
        <v>0</v>
      </c>
      <c r="U34" s="152">
        <v>0</v>
      </c>
      <c r="V34" s="153"/>
      <c r="W34" s="148"/>
      <c r="X34" s="161" t="s">
        <v>183</v>
      </c>
      <c r="Y34" s="162">
        <v>636700.45571014029</v>
      </c>
    </row>
    <row r="35" spans="1:25" x14ac:dyDescent="0.25">
      <c r="A35" s="25" t="s">
        <v>144</v>
      </c>
      <c r="B35" s="25">
        <v>8784</v>
      </c>
      <c r="C35" s="25"/>
      <c r="D35" s="6">
        <f t="shared" si="4"/>
        <v>0</v>
      </c>
    </row>
    <row r="36" spans="1:25" ht="15.75" x14ac:dyDescent="0.25">
      <c r="A36" s="25" t="s">
        <v>162</v>
      </c>
      <c r="B36" s="25">
        <v>478</v>
      </c>
      <c r="C36" s="25"/>
      <c r="D36" s="6">
        <f t="shared" si="4"/>
        <v>0</v>
      </c>
      <c r="F36" s="124">
        <v>2023</v>
      </c>
      <c r="G36" s="125"/>
      <c r="H36" s="126"/>
      <c r="I36" s="127" t="s">
        <v>70</v>
      </c>
      <c r="J36" s="127" t="s">
        <v>71</v>
      </c>
      <c r="K36" s="128" t="s">
        <v>72</v>
      </c>
      <c r="L36" s="129" t="s">
        <v>73</v>
      </c>
      <c r="M36" s="128" t="s">
        <v>74</v>
      </c>
      <c r="N36" s="128" t="s">
        <v>75</v>
      </c>
      <c r="O36" s="128" t="s">
        <v>76</v>
      </c>
      <c r="P36" s="129" t="s">
        <v>77</v>
      </c>
      <c r="Q36" s="129" t="s">
        <v>78</v>
      </c>
      <c r="R36" s="129" t="s">
        <v>79</v>
      </c>
      <c r="S36" s="129" t="s">
        <v>80</v>
      </c>
      <c r="T36" s="130" t="s">
        <v>81</v>
      </c>
      <c r="U36" s="130" t="s">
        <v>82</v>
      </c>
      <c r="V36" s="131" t="s">
        <v>180</v>
      </c>
      <c r="W36" t="s">
        <v>181</v>
      </c>
      <c r="X36" t="s">
        <v>266</v>
      </c>
      <c r="Y36" t="s">
        <v>267</v>
      </c>
    </row>
    <row r="37" spans="1:25" ht="60" x14ac:dyDescent="0.25">
      <c r="A37" s="25" t="s">
        <v>163</v>
      </c>
      <c r="B37" s="25">
        <v>50</v>
      </c>
      <c r="C37" s="25"/>
      <c r="D37" s="6">
        <f t="shared" si="4"/>
        <v>0</v>
      </c>
      <c r="F37" s="134"/>
      <c r="G37" s="135"/>
      <c r="H37" s="136"/>
      <c r="I37" s="137" t="s">
        <v>83</v>
      </c>
      <c r="J37" s="137" t="s">
        <v>84</v>
      </c>
      <c r="K37" s="137" t="s">
        <v>85</v>
      </c>
      <c r="L37" s="137" t="s">
        <v>86</v>
      </c>
      <c r="M37" s="137" t="s">
        <v>87</v>
      </c>
      <c r="N37" s="137" t="s">
        <v>88</v>
      </c>
      <c r="O37" s="137" t="s">
        <v>89</v>
      </c>
      <c r="P37" s="138" t="s">
        <v>184</v>
      </c>
      <c r="Q37" s="138" t="s">
        <v>91</v>
      </c>
      <c r="R37" s="138" t="s">
        <v>185</v>
      </c>
      <c r="S37" s="138" t="s">
        <v>186</v>
      </c>
      <c r="T37" s="138" t="s">
        <v>93</v>
      </c>
      <c r="U37" s="138" t="s">
        <v>187</v>
      </c>
      <c r="V37" s="139" t="s">
        <v>188</v>
      </c>
      <c r="W37" t="s">
        <v>268</v>
      </c>
      <c r="X37" s="123" t="s">
        <v>269</v>
      </c>
      <c r="Y37" t="s">
        <v>270</v>
      </c>
    </row>
    <row r="38" spans="1:25" ht="30" x14ac:dyDescent="0.25">
      <c r="A38" s="26" t="s">
        <v>170</v>
      </c>
      <c r="B38" s="25">
        <v>2114</v>
      </c>
      <c r="C38" s="25"/>
      <c r="D38" s="6">
        <f t="shared" si="4"/>
        <v>0</v>
      </c>
      <c r="F38" s="141"/>
      <c r="G38" s="125"/>
      <c r="H38" s="126"/>
      <c r="I38" s="143"/>
      <c r="J38" s="143"/>
      <c r="K38" s="143"/>
      <c r="L38" s="143"/>
      <c r="M38" s="143" t="s">
        <v>94</v>
      </c>
      <c r="N38" s="143" t="s">
        <v>95</v>
      </c>
      <c r="O38" s="143"/>
      <c r="P38" s="139"/>
      <c r="Q38" s="139"/>
      <c r="R38" s="139"/>
      <c r="S38" s="139"/>
      <c r="T38" s="73"/>
      <c r="U38" s="139" t="s">
        <v>189</v>
      </c>
      <c r="V38" s="144" t="s">
        <v>190</v>
      </c>
      <c r="X38" s="123"/>
    </row>
    <row r="39" spans="1:25" ht="30" x14ac:dyDescent="0.25">
      <c r="A39" s="26" t="s">
        <v>171</v>
      </c>
      <c r="B39" s="25">
        <v>635</v>
      </c>
      <c r="C39" s="25"/>
      <c r="D39" s="6">
        <f t="shared" si="4"/>
        <v>0</v>
      </c>
      <c r="F39" s="163"/>
      <c r="G39" s="164"/>
      <c r="H39" s="165"/>
      <c r="I39" s="166">
        <v>1000</v>
      </c>
      <c r="J39" s="167" t="s">
        <v>99</v>
      </c>
      <c r="K39" s="168">
        <v>5.0999999999999997E-2</v>
      </c>
      <c r="L39" s="169" t="s">
        <v>100</v>
      </c>
      <c r="M39" s="167" t="s">
        <v>101</v>
      </c>
      <c r="N39" s="166">
        <v>51</v>
      </c>
      <c r="O39" s="166" t="s">
        <v>102</v>
      </c>
      <c r="P39" s="170">
        <v>1E-3</v>
      </c>
      <c r="Q39" s="167" t="s">
        <v>191</v>
      </c>
      <c r="R39" s="170">
        <v>2E-3</v>
      </c>
      <c r="S39" s="167" t="s">
        <v>192</v>
      </c>
      <c r="T39" s="145">
        <v>1</v>
      </c>
      <c r="U39" s="171">
        <v>5.1000000000000004E-2</v>
      </c>
      <c r="V39" s="171">
        <v>0.10200000000000001</v>
      </c>
      <c r="W39" t="e">
        <v>#VALUE!</v>
      </c>
      <c r="X39" s="123">
        <v>1.0200000000000001E-4</v>
      </c>
      <c r="Y39" t="e">
        <v>#VALUE!</v>
      </c>
    </row>
    <row r="40" spans="1:25" x14ac:dyDescent="0.25">
      <c r="A40" s="26" t="s">
        <v>177</v>
      </c>
      <c r="B40" s="25">
        <v>343410</v>
      </c>
      <c r="C40" s="25"/>
      <c r="D40" s="6">
        <f t="shared" si="4"/>
        <v>0</v>
      </c>
      <c r="F40" s="172" t="s">
        <v>104</v>
      </c>
      <c r="G40" s="173" t="s">
        <v>105</v>
      </c>
      <c r="H40" s="173" t="s">
        <v>106</v>
      </c>
      <c r="I40" s="174"/>
      <c r="J40" s="175"/>
      <c r="K40" s="175"/>
      <c r="L40" s="175"/>
      <c r="M40" s="175"/>
      <c r="N40" s="175"/>
      <c r="O40" s="175"/>
      <c r="P40" s="176"/>
      <c r="Q40" s="177"/>
      <c r="R40" s="176"/>
      <c r="S40" s="177"/>
      <c r="T40" s="87"/>
      <c r="U40" s="178"/>
      <c r="V40" s="179"/>
      <c r="X40" s="123"/>
      <c r="Y40" s="67"/>
    </row>
    <row r="41" spans="1:25" x14ac:dyDescent="0.25">
      <c r="A41" s="26" t="s">
        <v>213</v>
      </c>
      <c r="B41" s="25"/>
      <c r="C41" s="25"/>
      <c r="D41" s="6">
        <f t="shared" si="4"/>
        <v>0</v>
      </c>
      <c r="F41" s="180" t="s">
        <v>32</v>
      </c>
      <c r="G41" s="180" t="s">
        <v>53</v>
      </c>
      <c r="H41" s="181">
        <v>0.15</v>
      </c>
      <c r="I41" s="182">
        <v>1026440</v>
      </c>
      <c r="J41" s="182" t="s">
        <v>107</v>
      </c>
      <c r="K41" s="182">
        <v>16.97</v>
      </c>
      <c r="L41" s="183" t="s">
        <v>108</v>
      </c>
      <c r="M41" s="183" t="s">
        <v>101</v>
      </c>
      <c r="N41" s="184">
        <v>17418686.799999997</v>
      </c>
      <c r="O41" s="183" t="s">
        <v>193</v>
      </c>
      <c r="P41" s="185">
        <v>1.0999999999999999E-2</v>
      </c>
      <c r="Q41" s="91" t="s">
        <v>194</v>
      </c>
      <c r="R41" s="185">
        <v>1.6000000000000001E-3</v>
      </c>
      <c r="S41" s="91" t="s">
        <v>194</v>
      </c>
      <c r="T41" s="186">
        <v>1</v>
      </c>
      <c r="U41" s="151">
        <v>191605.55479999995</v>
      </c>
      <c r="V41" s="151">
        <v>27869.898879999997</v>
      </c>
      <c r="W41">
        <v>219475.45367999995</v>
      </c>
      <c r="X41" s="123">
        <v>13095.36873624</v>
      </c>
      <c r="Y41" s="120">
        <v>1636846.0130097866</v>
      </c>
    </row>
    <row r="42" spans="1:25" ht="15.75" thickBot="1" x14ac:dyDescent="0.3">
      <c r="A42" s="195" t="s">
        <v>256</v>
      </c>
      <c r="B42" s="27">
        <v>22586</v>
      </c>
      <c r="C42" s="27"/>
      <c r="D42" s="196">
        <f t="shared" si="4"/>
        <v>0</v>
      </c>
      <c r="F42" s="180" t="s">
        <v>32</v>
      </c>
      <c r="G42" s="180" t="s">
        <v>111</v>
      </c>
      <c r="H42" s="187">
        <v>0.15</v>
      </c>
      <c r="I42" s="182">
        <v>2634</v>
      </c>
      <c r="J42" s="182" t="s">
        <v>112</v>
      </c>
      <c r="K42" s="182">
        <v>5.88</v>
      </c>
      <c r="L42" s="183" t="s">
        <v>195</v>
      </c>
      <c r="M42" s="183" t="s">
        <v>101</v>
      </c>
      <c r="N42" s="184">
        <v>15487.92</v>
      </c>
      <c r="O42" s="183" t="s">
        <v>109</v>
      </c>
      <c r="P42" s="185">
        <v>3.0000000000000001E-3</v>
      </c>
      <c r="Q42" s="91" t="s">
        <v>194</v>
      </c>
      <c r="R42" s="185">
        <v>5.9999999999999995E-4</v>
      </c>
      <c r="S42" s="91" t="s">
        <v>194</v>
      </c>
      <c r="T42" s="186">
        <v>1</v>
      </c>
      <c r="U42" s="151">
        <v>46.463760000000001</v>
      </c>
      <c r="V42" s="151">
        <v>9.2927519999999983</v>
      </c>
      <c r="W42">
        <v>55.756512000000001</v>
      </c>
      <c r="X42" s="123">
        <v>3.9308340959999994</v>
      </c>
      <c r="Y42" s="120">
        <v>1137.9625316389101</v>
      </c>
    </row>
    <row r="43" spans="1:25" ht="16.5" thickTop="1" thickBot="1" x14ac:dyDescent="0.3">
      <c r="A43" s="1"/>
      <c r="B43" s="193">
        <f>SUM(B4:B42)</f>
        <v>11715555</v>
      </c>
      <c r="C43" s="194">
        <f>D43/B43</f>
        <v>0.31361396896672572</v>
      </c>
      <c r="D43" s="193">
        <f>SUM(D4:D42)</f>
        <v>3674161.702197968</v>
      </c>
      <c r="F43" s="180" t="s">
        <v>114</v>
      </c>
      <c r="G43" s="180" t="s">
        <v>55</v>
      </c>
      <c r="H43" s="187">
        <v>1</v>
      </c>
      <c r="I43" s="182">
        <v>9176.9310000000005</v>
      </c>
      <c r="J43" s="182" t="s">
        <v>115</v>
      </c>
      <c r="K43" s="182">
        <v>1026</v>
      </c>
      <c r="L43" s="183" t="s">
        <v>116</v>
      </c>
      <c r="M43" s="183" t="s">
        <v>101</v>
      </c>
      <c r="N43" s="184">
        <v>9415531.2060000002</v>
      </c>
      <c r="O43" s="183" t="s">
        <v>193</v>
      </c>
      <c r="P43" s="185">
        <v>1E-3</v>
      </c>
      <c r="Q43" s="91" t="s">
        <v>194</v>
      </c>
      <c r="R43" s="185">
        <v>1E-4</v>
      </c>
      <c r="S43" s="91" t="s">
        <v>194</v>
      </c>
      <c r="T43" s="186">
        <v>1</v>
      </c>
      <c r="U43" s="151">
        <v>9415.5312059999997</v>
      </c>
      <c r="V43" s="151">
        <v>941.55312060000006</v>
      </c>
      <c r="W43">
        <v>10357.084326599999</v>
      </c>
      <c r="X43" s="123">
        <v>515.97111008880006</v>
      </c>
      <c r="Y43" s="120">
        <v>505598.15337770572</v>
      </c>
    </row>
    <row r="44" spans="1:25" x14ac:dyDescent="0.25">
      <c r="A44" s="198"/>
      <c r="B44" s="112"/>
      <c r="F44" s="180" t="s">
        <v>117</v>
      </c>
      <c r="G44" s="180" t="s">
        <v>55</v>
      </c>
      <c r="H44" s="187">
        <v>1</v>
      </c>
      <c r="I44" s="182">
        <v>1.3979999999999999</v>
      </c>
      <c r="J44" s="182" t="s">
        <v>115</v>
      </c>
      <c r="K44" s="182">
        <v>1026</v>
      </c>
      <c r="L44" s="183" t="s">
        <v>116</v>
      </c>
      <c r="M44" s="183" t="s">
        <v>101</v>
      </c>
      <c r="N44" s="184">
        <v>1434.348</v>
      </c>
      <c r="O44" s="183" t="s">
        <v>109</v>
      </c>
      <c r="P44" s="185">
        <v>1E-3</v>
      </c>
      <c r="Q44" s="91" t="s">
        <v>194</v>
      </c>
      <c r="R44" s="185">
        <v>1E-4</v>
      </c>
      <c r="S44" s="91" t="s">
        <v>194</v>
      </c>
      <c r="T44" s="186">
        <v>1</v>
      </c>
      <c r="U44" s="151">
        <v>1.434348</v>
      </c>
      <c r="V44" s="151">
        <v>0.1434348</v>
      </c>
      <c r="W44">
        <v>1.5777828</v>
      </c>
      <c r="X44" s="123">
        <v>7.8602270400000007E-2</v>
      </c>
      <c r="Y44" s="120">
        <v>75.804574562496924</v>
      </c>
    </row>
    <row r="45" spans="1:25" x14ac:dyDescent="0.25">
      <c r="A45" s="198"/>
      <c r="B45" s="112"/>
      <c r="F45" s="180" t="s">
        <v>35</v>
      </c>
      <c r="G45" s="180" t="s">
        <v>55</v>
      </c>
      <c r="H45" s="187">
        <v>1</v>
      </c>
      <c r="I45" s="182">
        <v>577.226</v>
      </c>
      <c r="J45" s="182" t="s">
        <v>115</v>
      </c>
      <c r="K45" s="182">
        <v>1026</v>
      </c>
      <c r="L45" s="183" t="s">
        <v>116</v>
      </c>
      <c r="M45" s="183" t="s">
        <v>101</v>
      </c>
      <c r="N45" s="184">
        <v>592233.87600000005</v>
      </c>
      <c r="O45" s="183" t="s">
        <v>193</v>
      </c>
      <c r="P45" s="185">
        <v>1E-3</v>
      </c>
      <c r="Q45" s="91" t="s">
        <v>194</v>
      </c>
      <c r="R45" s="185">
        <v>1E-4</v>
      </c>
      <c r="S45" s="91" t="s">
        <v>194</v>
      </c>
      <c r="T45" s="186">
        <v>1</v>
      </c>
      <c r="U45" s="151">
        <v>592.23387600000001</v>
      </c>
      <c r="V45" s="151">
        <v>59.223387600000009</v>
      </c>
      <c r="W45">
        <v>651.45726360000003</v>
      </c>
      <c r="X45" s="123">
        <v>32.4544164048</v>
      </c>
      <c r="Y45" s="120">
        <v>31299.264203441948</v>
      </c>
    </row>
    <row r="46" spans="1:25" x14ac:dyDescent="0.25">
      <c r="A46" s="198"/>
      <c r="B46" s="112"/>
      <c r="F46" s="180" t="s">
        <v>36</v>
      </c>
      <c r="G46" s="180" t="s">
        <v>55</v>
      </c>
      <c r="H46" s="187">
        <v>1</v>
      </c>
      <c r="I46" s="182">
        <v>14841.519</v>
      </c>
      <c r="J46" s="182" t="s">
        <v>115</v>
      </c>
      <c r="K46" s="182">
        <v>1026</v>
      </c>
      <c r="L46" s="183" t="s">
        <v>116</v>
      </c>
      <c r="M46" s="183" t="s">
        <v>101</v>
      </c>
      <c r="N46" s="184">
        <v>15227398.494000001</v>
      </c>
      <c r="O46" s="183" t="s">
        <v>109</v>
      </c>
      <c r="P46" s="185">
        <v>1E-3</v>
      </c>
      <c r="Q46" s="91" t="s">
        <v>194</v>
      </c>
      <c r="R46" s="185">
        <v>1E-4</v>
      </c>
      <c r="S46" s="91" t="s">
        <v>194</v>
      </c>
      <c r="T46" s="186">
        <v>1</v>
      </c>
      <c r="U46" s="151">
        <v>15227.398494000001</v>
      </c>
      <c r="V46" s="151">
        <v>1522.7398494000001</v>
      </c>
      <c r="W46">
        <v>16750.138343400002</v>
      </c>
      <c r="X46" s="123">
        <v>834.46143747120004</v>
      </c>
      <c r="Y46" s="120">
        <v>817684.8189134181</v>
      </c>
    </row>
    <row r="47" spans="1:25" x14ac:dyDescent="0.25">
      <c r="F47" s="180" t="s">
        <v>37</v>
      </c>
      <c r="G47" s="180" t="s">
        <v>55</v>
      </c>
      <c r="H47" s="187">
        <v>1</v>
      </c>
      <c r="I47" s="182">
        <v>282.86</v>
      </c>
      <c r="J47" s="182" t="s">
        <v>115</v>
      </c>
      <c r="K47" s="182">
        <v>1026</v>
      </c>
      <c r="L47" s="183" t="s">
        <v>116</v>
      </c>
      <c r="M47" s="183" t="s">
        <v>101</v>
      </c>
      <c r="N47" s="184">
        <v>290214.36</v>
      </c>
      <c r="O47" s="183" t="s">
        <v>193</v>
      </c>
      <c r="P47" s="185">
        <v>1E-3</v>
      </c>
      <c r="Q47" s="91" t="s">
        <v>194</v>
      </c>
      <c r="R47" s="185">
        <v>1E-4</v>
      </c>
      <c r="S47" s="91" t="s">
        <v>194</v>
      </c>
      <c r="T47" s="186">
        <v>1</v>
      </c>
      <c r="U47" s="151">
        <v>290.21436</v>
      </c>
      <c r="V47" s="151">
        <v>29.021436000000001</v>
      </c>
      <c r="W47">
        <v>319.23579599999999</v>
      </c>
      <c r="X47" s="123">
        <v>15.903746928</v>
      </c>
      <c r="Y47" s="120">
        <v>15337.683805971301</v>
      </c>
    </row>
    <row r="48" spans="1:25" x14ac:dyDescent="0.25">
      <c r="F48" s="180" t="s">
        <v>149</v>
      </c>
      <c r="G48" s="180" t="s">
        <v>55</v>
      </c>
      <c r="H48" s="187">
        <v>1</v>
      </c>
      <c r="I48" s="182">
        <v>10.164</v>
      </c>
      <c r="J48" s="182" t="s">
        <v>115</v>
      </c>
      <c r="K48" s="182">
        <v>1026</v>
      </c>
      <c r="L48" s="183" t="s">
        <v>116</v>
      </c>
      <c r="M48" s="183" t="s">
        <v>101</v>
      </c>
      <c r="N48" s="184">
        <v>10428.263999999999</v>
      </c>
      <c r="O48" s="183" t="s">
        <v>109</v>
      </c>
      <c r="P48" s="185">
        <v>1E-3</v>
      </c>
      <c r="Q48" s="91" t="s">
        <v>194</v>
      </c>
      <c r="R48" s="185">
        <v>1E-4</v>
      </c>
      <c r="S48" s="91" t="s">
        <v>194</v>
      </c>
      <c r="T48" s="186">
        <v>1</v>
      </c>
      <c r="U48" s="151">
        <v>10.428263999999999</v>
      </c>
      <c r="V48" s="151">
        <v>1.0428264</v>
      </c>
      <c r="W48">
        <v>11.471090399999998</v>
      </c>
      <c r="X48" s="123">
        <v>0.57146886720000001</v>
      </c>
      <c r="Y48" s="120">
        <v>551.12853780630803</v>
      </c>
    </row>
    <row r="49" spans="6:25" x14ac:dyDescent="0.25">
      <c r="F49" s="188"/>
      <c r="G49" s="180"/>
      <c r="H49" s="189">
        <v>1</v>
      </c>
      <c r="I49" s="182">
        <v>0</v>
      </c>
      <c r="J49" s="182">
        <v>0</v>
      </c>
      <c r="K49" s="182">
        <v>0</v>
      </c>
      <c r="L49" s="183" t="s">
        <v>150</v>
      </c>
      <c r="M49" s="183" t="s">
        <v>150</v>
      </c>
      <c r="N49" s="184" t="s">
        <v>150</v>
      </c>
      <c r="O49" s="183"/>
      <c r="P49" s="185"/>
      <c r="Q49" s="91"/>
      <c r="R49" s="185"/>
      <c r="S49" s="91"/>
      <c r="T49" s="186"/>
      <c r="U49" s="151"/>
      <c r="V49" s="151"/>
      <c r="X49" s="123"/>
      <c r="Y49" s="120"/>
    </row>
    <row r="50" spans="6:25" x14ac:dyDescent="0.25">
      <c r="F50" s="188" t="s">
        <v>50</v>
      </c>
      <c r="G50" s="180"/>
      <c r="H50" s="187">
        <v>1</v>
      </c>
      <c r="I50" s="182">
        <v>0</v>
      </c>
      <c r="J50" s="182" t="s">
        <v>115</v>
      </c>
      <c r="K50" s="182">
        <v>16.826809999999998</v>
      </c>
      <c r="L50" s="183" t="s">
        <v>196</v>
      </c>
      <c r="M50" s="183" t="s">
        <v>101</v>
      </c>
      <c r="N50" s="190">
        <v>11809766</v>
      </c>
      <c r="O50" s="183" t="s">
        <v>109</v>
      </c>
      <c r="P50" s="185">
        <v>1E-3</v>
      </c>
      <c r="Q50" s="91" t="s">
        <v>194</v>
      </c>
      <c r="R50" s="185">
        <v>1E-4</v>
      </c>
      <c r="S50" s="91" t="s">
        <v>194</v>
      </c>
      <c r="T50" s="186">
        <v>1</v>
      </c>
      <c r="U50" s="151">
        <v>11809.766</v>
      </c>
      <c r="V50" s="151">
        <v>1180.9766</v>
      </c>
      <c r="W50">
        <v>12990.7426</v>
      </c>
      <c r="X50" s="123">
        <v>647.17517680000003</v>
      </c>
      <c r="Y50" s="120">
        <v>764789.1751768</v>
      </c>
    </row>
  </sheetData>
  <conditionalFormatting sqref="I41:M47 I48:I49 K49:M49 O41:O46">
    <cfRule type="cellIs" dxfId="3" priority="4" stopIfTrue="1" operator="equal">
      <formula>0</formula>
    </cfRule>
  </conditionalFormatting>
  <conditionalFormatting sqref="J48:M48 J49">
    <cfRule type="cellIs" dxfId="2" priority="3" stopIfTrue="1" operator="equal">
      <formula>0</formula>
    </cfRule>
  </conditionalFormatting>
  <conditionalFormatting sqref="I50:M50">
    <cfRule type="cellIs" dxfId="1" priority="2" stopIfTrue="1" operator="equal">
      <formula>0</formula>
    </cfRule>
  </conditionalFormatting>
  <conditionalFormatting sqref="O47:O50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workbookViewId="0">
      <selection activeCell="F3" sqref="F3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10" customFormat="1" ht="15" customHeight="1" thickBot="1" x14ac:dyDescent="0.3">
      <c r="A1" s="105" t="s">
        <v>146</v>
      </c>
      <c r="B1" s="106">
        <v>2023</v>
      </c>
      <c r="G1" s="216"/>
      <c r="H1" s="216"/>
      <c r="I1" s="216"/>
      <c r="J1" s="216"/>
    </row>
    <row r="2" spans="1:10" s="110" customFormat="1" ht="15" customHeight="1" x14ac:dyDescent="0.35">
      <c r="A2" s="101"/>
      <c r="B2" s="217" t="s">
        <v>178</v>
      </c>
      <c r="C2" s="217"/>
      <c r="D2" s="217"/>
      <c r="E2" s="218"/>
      <c r="F2" s="122">
        <v>0.437</v>
      </c>
      <c r="G2" s="110" t="s">
        <v>203</v>
      </c>
      <c r="H2" s="107"/>
      <c r="I2" s="107"/>
      <c r="J2" s="107"/>
    </row>
    <row r="3" spans="1:10" s="110" customFormat="1" ht="15" customHeight="1" x14ac:dyDescent="0.35">
      <c r="E3" s="110" t="s">
        <v>147</v>
      </c>
      <c r="F3" s="102">
        <f>'Known Resources'!C43</f>
        <v>0.31361396896672572</v>
      </c>
      <c r="G3" s="110" t="s">
        <v>203</v>
      </c>
    </row>
    <row r="4" spans="1:10" ht="49.5" customHeight="1" x14ac:dyDescent="0.25">
      <c r="A4" s="103" t="s">
        <v>139</v>
      </c>
      <c r="B4" s="103" t="s">
        <v>140</v>
      </c>
      <c r="D4" s="103" t="s">
        <v>139</v>
      </c>
      <c r="E4" s="103" t="s">
        <v>141</v>
      </c>
      <c r="F4" s="103" t="s">
        <v>148</v>
      </c>
      <c r="G4" s="104" t="s">
        <v>179</v>
      </c>
      <c r="J4" s="120"/>
    </row>
    <row r="5" spans="1:10" ht="15" customHeight="1" x14ac:dyDescent="0.25">
      <c r="A5" s="192" t="s">
        <v>257</v>
      </c>
      <c r="B5" s="112">
        <v>1200</v>
      </c>
      <c r="C5" s="110"/>
      <c r="D5" s="192" t="s">
        <v>257</v>
      </c>
      <c r="E5" s="112">
        <v>3200</v>
      </c>
      <c r="F5" s="113">
        <f>B5-E5</f>
        <v>-2000</v>
      </c>
      <c r="G5" s="115">
        <f>IF(F5&gt;0,F5*$F$2,F5*$F$3)</f>
        <v>-627.22793793345147</v>
      </c>
    </row>
    <row r="6" spans="1:10" ht="15" customHeight="1" x14ac:dyDescent="0.25">
      <c r="A6" s="192" t="s">
        <v>204</v>
      </c>
      <c r="B6" s="112">
        <v>51953</v>
      </c>
      <c r="C6" s="110"/>
      <c r="D6" s="192" t="s">
        <v>204</v>
      </c>
      <c r="E6" s="112">
        <v>122794</v>
      </c>
      <c r="F6" s="113">
        <f t="shared" ref="F6:F55" si="0">B6-E6</f>
        <v>-70841</v>
      </c>
      <c r="G6" s="115">
        <f t="shared" ref="G6:G55" si="1">IF(F6&gt;0,F6*$F$2,F6*$F$3)</f>
        <v>-22216.727175571817</v>
      </c>
    </row>
    <row r="7" spans="1:10" ht="15" customHeight="1" x14ac:dyDescent="0.25">
      <c r="A7" s="191"/>
      <c r="B7" s="191"/>
      <c r="C7" s="110"/>
      <c r="D7" s="192" t="s">
        <v>258</v>
      </c>
      <c r="E7" s="112">
        <v>1400</v>
      </c>
      <c r="F7" s="113">
        <f t="shared" si="0"/>
        <v>-1400</v>
      </c>
      <c r="G7" s="115">
        <f t="shared" si="1"/>
        <v>-439.05955655341603</v>
      </c>
    </row>
    <row r="8" spans="1:10" ht="15" customHeight="1" x14ac:dyDescent="0.25">
      <c r="A8" s="192"/>
      <c r="B8" s="112"/>
      <c r="C8" s="113"/>
      <c r="D8" s="192" t="s">
        <v>259</v>
      </c>
      <c r="E8" s="112">
        <v>5</v>
      </c>
      <c r="F8" s="113">
        <f t="shared" si="0"/>
        <v>-5</v>
      </c>
      <c r="G8" s="115">
        <f t="shared" si="1"/>
        <v>-1.5680698448336285</v>
      </c>
    </row>
    <row r="9" spans="1:10" ht="15" customHeight="1" x14ac:dyDescent="0.25">
      <c r="A9" s="192" t="s">
        <v>215</v>
      </c>
      <c r="B9" s="112">
        <v>237043</v>
      </c>
      <c r="C9" s="110"/>
      <c r="D9" s="192" t="s">
        <v>215</v>
      </c>
      <c r="E9" s="112">
        <v>340300</v>
      </c>
      <c r="F9" s="113">
        <f t="shared" si="0"/>
        <v>-103257</v>
      </c>
      <c r="G9" s="115">
        <f t="shared" si="1"/>
        <v>-32382.837593597196</v>
      </c>
    </row>
    <row r="10" spans="1:10" ht="15" customHeight="1" x14ac:dyDescent="0.25">
      <c r="A10" s="191" t="s">
        <v>216</v>
      </c>
      <c r="B10" s="191">
        <v>4800</v>
      </c>
      <c r="C10" s="113"/>
      <c r="D10" s="192" t="s">
        <v>216</v>
      </c>
      <c r="E10" s="112">
        <v>220554</v>
      </c>
      <c r="F10" s="113">
        <f t="shared" si="0"/>
        <v>-215754</v>
      </c>
      <c r="G10" s="115">
        <f t="shared" si="1"/>
        <v>-67663.468260446942</v>
      </c>
    </row>
    <row r="11" spans="1:10" ht="15" customHeight="1" x14ac:dyDescent="0.25">
      <c r="A11" s="192"/>
      <c r="B11" s="112"/>
      <c r="C11" s="110"/>
      <c r="D11" s="192" t="s">
        <v>209</v>
      </c>
      <c r="E11" s="112">
        <v>16</v>
      </c>
      <c r="F11" s="113">
        <f t="shared" si="0"/>
        <v>-16</v>
      </c>
      <c r="G11" s="115">
        <f t="shared" si="1"/>
        <v>-5.0178235034676115</v>
      </c>
    </row>
    <row r="12" spans="1:10" ht="15" customHeight="1" x14ac:dyDescent="0.25">
      <c r="A12" s="192" t="s">
        <v>217</v>
      </c>
      <c r="B12" s="112">
        <v>1443</v>
      </c>
      <c r="C12" s="110"/>
      <c r="D12" s="192" t="s">
        <v>217</v>
      </c>
      <c r="E12" s="112">
        <v>26533</v>
      </c>
      <c r="F12" s="113">
        <f t="shared" si="0"/>
        <v>-25090</v>
      </c>
      <c r="G12" s="115">
        <f t="shared" si="1"/>
        <v>-7868.574481375148</v>
      </c>
    </row>
    <row r="13" spans="1:10" ht="15" customHeight="1" x14ac:dyDescent="0.25">
      <c r="A13" s="192" t="s">
        <v>260</v>
      </c>
      <c r="B13" s="112">
        <v>51155</v>
      </c>
      <c r="C13" s="110"/>
      <c r="D13" s="192" t="s">
        <v>218</v>
      </c>
      <c r="E13" s="112">
        <v>4181</v>
      </c>
      <c r="F13" s="113">
        <f t="shared" si="0"/>
        <v>46974</v>
      </c>
      <c r="G13" s="115">
        <f t="shared" si="1"/>
        <v>20527.637999999999</v>
      </c>
    </row>
    <row r="14" spans="1:10" ht="15" customHeight="1" x14ac:dyDescent="0.25">
      <c r="A14" s="192" t="s">
        <v>219</v>
      </c>
      <c r="B14" s="112">
        <v>175</v>
      </c>
      <c r="C14" s="110"/>
      <c r="D14" s="192" t="s">
        <v>219</v>
      </c>
      <c r="E14" s="112">
        <v>26920</v>
      </c>
      <c r="F14" s="113">
        <f t="shared" si="0"/>
        <v>-26745</v>
      </c>
      <c r="G14" s="115">
        <f t="shared" si="1"/>
        <v>-8387.6056000150802</v>
      </c>
    </row>
    <row r="15" spans="1:10" ht="15" customHeight="1" x14ac:dyDescent="0.25">
      <c r="A15" s="192" t="s">
        <v>220</v>
      </c>
      <c r="B15" s="112">
        <v>190</v>
      </c>
      <c r="C15" s="110"/>
      <c r="D15" s="192" t="s">
        <v>220</v>
      </c>
      <c r="E15" s="112">
        <v>778</v>
      </c>
      <c r="F15" s="113">
        <f t="shared" si="0"/>
        <v>-588</v>
      </c>
      <c r="G15" s="115">
        <f t="shared" si="1"/>
        <v>-184.40501375243471</v>
      </c>
    </row>
    <row r="16" spans="1:10" ht="15" customHeight="1" x14ac:dyDescent="0.25">
      <c r="A16" s="192" t="s">
        <v>221</v>
      </c>
      <c r="B16" s="112">
        <v>10200</v>
      </c>
      <c r="C16" s="110"/>
      <c r="D16" s="192" t="s">
        <v>221</v>
      </c>
      <c r="E16" s="112">
        <v>53158</v>
      </c>
      <c r="F16" s="113">
        <f t="shared" si="0"/>
        <v>-42958</v>
      </c>
      <c r="G16" s="115">
        <f t="shared" si="1"/>
        <v>-13472.228878872604</v>
      </c>
    </row>
    <row r="17" spans="1:7" ht="15" customHeight="1" x14ac:dyDescent="0.25">
      <c r="A17" s="192" t="s">
        <v>222</v>
      </c>
      <c r="B17" s="112">
        <v>5736</v>
      </c>
      <c r="C17" s="110"/>
      <c r="D17" s="191" t="s">
        <v>222</v>
      </c>
      <c r="E17" s="191">
        <v>31453</v>
      </c>
      <c r="F17" s="113">
        <f t="shared" si="0"/>
        <v>-25717</v>
      </c>
      <c r="G17" s="115">
        <f t="shared" si="1"/>
        <v>-8065.2104399172849</v>
      </c>
    </row>
    <row r="18" spans="1:7" ht="15" customHeight="1" x14ac:dyDescent="0.25">
      <c r="A18" s="192" t="s">
        <v>223</v>
      </c>
      <c r="B18" s="112">
        <v>1300</v>
      </c>
      <c r="C18" s="110"/>
      <c r="D18" s="192" t="s">
        <v>223</v>
      </c>
      <c r="E18" s="112">
        <v>88</v>
      </c>
      <c r="F18" s="113">
        <f t="shared" si="0"/>
        <v>1212</v>
      </c>
      <c r="G18" s="115">
        <f t="shared" si="1"/>
        <v>529.64400000000001</v>
      </c>
    </row>
    <row r="19" spans="1:7" ht="15" customHeight="1" x14ac:dyDescent="0.25">
      <c r="A19" s="192" t="s">
        <v>224</v>
      </c>
      <c r="B19" s="112">
        <v>41188</v>
      </c>
      <c r="C19" s="110"/>
      <c r="D19" s="192" t="s">
        <v>224</v>
      </c>
      <c r="E19" s="112">
        <v>25717</v>
      </c>
      <c r="F19" s="113">
        <f t="shared" si="0"/>
        <v>15471</v>
      </c>
      <c r="G19" s="115">
        <f t="shared" si="1"/>
        <v>6760.8270000000002</v>
      </c>
    </row>
    <row r="20" spans="1:7" ht="15" customHeight="1" x14ac:dyDescent="0.25">
      <c r="A20" s="192" t="s">
        <v>225</v>
      </c>
      <c r="B20" s="112">
        <v>9015</v>
      </c>
      <c r="C20" s="110"/>
      <c r="D20" s="192" t="s">
        <v>247</v>
      </c>
      <c r="E20" s="112">
        <v>10656</v>
      </c>
      <c r="F20" s="113">
        <f t="shared" si="0"/>
        <v>-1641</v>
      </c>
      <c r="G20" s="115">
        <f t="shared" si="1"/>
        <v>-514.64052307439692</v>
      </c>
    </row>
    <row r="21" spans="1:7" ht="15" customHeight="1" x14ac:dyDescent="0.25">
      <c r="A21" s="192" t="s">
        <v>205</v>
      </c>
      <c r="B21" s="112">
        <v>5</v>
      </c>
      <c r="C21" s="110"/>
      <c r="D21" s="192"/>
      <c r="E21" s="112"/>
      <c r="F21" s="113">
        <f t="shared" si="0"/>
        <v>5</v>
      </c>
      <c r="G21" s="115">
        <f t="shared" si="1"/>
        <v>2.1850000000000001</v>
      </c>
    </row>
    <row r="22" spans="1:7" ht="15" customHeight="1" x14ac:dyDescent="0.25">
      <c r="A22" s="192" t="s">
        <v>226</v>
      </c>
      <c r="B22" s="112">
        <v>19913</v>
      </c>
      <c r="C22" s="110"/>
      <c r="D22" s="192" t="s">
        <v>226</v>
      </c>
      <c r="E22" s="112">
        <v>14860</v>
      </c>
      <c r="F22" s="113">
        <f t="shared" si="0"/>
        <v>5053</v>
      </c>
      <c r="G22" s="115">
        <f t="shared" si="1"/>
        <v>2208.1610000000001</v>
      </c>
    </row>
    <row r="23" spans="1:7" ht="15" customHeight="1" x14ac:dyDescent="0.25">
      <c r="A23" s="192" t="s">
        <v>212</v>
      </c>
      <c r="B23" s="112">
        <v>2021</v>
      </c>
      <c r="C23" s="110"/>
      <c r="D23" s="192" t="s">
        <v>212</v>
      </c>
      <c r="E23" s="112">
        <v>4011</v>
      </c>
      <c r="F23" s="113">
        <f t="shared" si="0"/>
        <v>-1990</v>
      </c>
      <c r="G23" s="115">
        <f t="shared" si="1"/>
        <v>-624.09179824378418</v>
      </c>
    </row>
    <row r="24" spans="1:7" ht="15" customHeight="1" x14ac:dyDescent="0.25">
      <c r="A24" s="192" t="s">
        <v>227</v>
      </c>
      <c r="B24" s="112">
        <v>9</v>
      </c>
      <c r="C24" s="110"/>
      <c r="D24" s="192" t="s">
        <v>227</v>
      </c>
      <c r="E24" s="112">
        <v>18</v>
      </c>
      <c r="F24" s="113">
        <f t="shared" si="0"/>
        <v>-9</v>
      </c>
      <c r="G24" s="115">
        <f t="shared" si="1"/>
        <v>-2.8225257207005314</v>
      </c>
    </row>
    <row r="25" spans="1:7" ht="15" customHeight="1" x14ac:dyDescent="0.25">
      <c r="A25" s="192" t="s">
        <v>207</v>
      </c>
      <c r="B25" s="112">
        <v>6</v>
      </c>
      <c r="C25" s="110"/>
      <c r="D25" s="192" t="s">
        <v>207</v>
      </c>
      <c r="E25" s="112">
        <v>447</v>
      </c>
      <c r="F25" s="113">
        <f t="shared" si="0"/>
        <v>-441</v>
      </c>
      <c r="G25" s="115">
        <f t="shared" si="1"/>
        <v>-138.30376031432604</v>
      </c>
    </row>
    <row r="26" spans="1:7" ht="15" customHeight="1" x14ac:dyDescent="0.25">
      <c r="A26" s="192" t="s">
        <v>206</v>
      </c>
      <c r="B26" s="112">
        <v>2408</v>
      </c>
      <c r="C26" s="110"/>
      <c r="D26" s="192" t="s">
        <v>206</v>
      </c>
      <c r="E26" s="112">
        <v>10614</v>
      </c>
      <c r="F26" s="113">
        <f t="shared" si="0"/>
        <v>-8206</v>
      </c>
      <c r="G26" s="115">
        <f t="shared" si="1"/>
        <v>-2573.5162293409512</v>
      </c>
    </row>
    <row r="27" spans="1:7" ht="15" customHeight="1" x14ac:dyDescent="0.25">
      <c r="A27" s="192" t="s">
        <v>228</v>
      </c>
      <c r="B27" s="112">
        <v>4642</v>
      </c>
      <c r="C27" s="110"/>
      <c r="D27" s="191" t="s">
        <v>228</v>
      </c>
      <c r="E27" s="191">
        <v>75</v>
      </c>
      <c r="F27" s="113">
        <f t="shared" si="0"/>
        <v>4567</v>
      </c>
      <c r="G27" s="115">
        <f t="shared" si="1"/>
        <v>1995.779</v>
      </c>
    </row>
    <row r="28" spans="1:7" ht="15" customHeight="1" x14ac:dyDescent="0.25">
      <c r="A28" s="192" t="s">
        <v>229</v>
      </c>
      <c r="B28" s="112">
        <v>1267</v>
      </c>
      <c r="C28" s="110"/>
      <c r="D28" s="191"/>
      <c r="E28" s="191"/>
      <c r="F28" s="113">
        <f t="shared" si="0"/>
        <v>1267</v>
      </c>
      <c r="G28" s="115">
        <f t="shared" si="1"/>
        <v>553.67899999999997</v>
      </c>
    </row>
    <row r="29" spans="1:7" ht="15" customHeight="1" x14ac:dyDescent="0.25">
      <c r="A29" s="192" t="s">
        <v>230</v>
      </c>
      <c r="B29" s="112">
        <v>387024</v>
      </c>
      <c r="C29" s="110"/>
      <c r="D29" s="192" t="s">
        <v>230</v>
      </c>
      <c r="E29" s="112">
        <v>218816</v>
      </c>
      <c r="F29" s="113">
        <f t="shared" si="0"/>
        <v>168208</v>
      </c>
      <c r="G29" s="115">
        <f t="shared" si="1"/>
        <v>73506.895999999993</v>
      </c>
    </row>
    <row r="30" spans="1:7" ht="15" customHeight="1" x14ac:dyDescent="0.25">
      <c r="A30" s="192" t="s">
        <v>231</v>
      </c>
      <c r="B30" s="112">
        <v>155</v>
      </c>
      <c r="C30" s="110"/>
      <c r="D30" s="191"/>
      <c r="E30" s="191"/>
      <c r="F30" s="113">
        <f t="shared" si="0"/>
        <v>155</v>
      </c>
      <c r="G30" s="115">
        <f t="shared" si="1"/>
        <v>67.734999999999999</v>
      </c>
    </row>
    <row r="31" spans="1:7" ht="15" customHeight="1" x14ac:dyDescent="0.25">
      <c r="A31" s="192" t="s">
        <v>232</v>
      </c>
      <c r="B31" s="112">
        <v>274</v>
      </c>
      <c r="C31" s="110"/>
      <c r="D31" s="191" t="s">
        <v>261</v>
      </c>
      <c r="E31" s="191">
        <v>274</v>
      </c>
      <c r="F31" s="113">
        <f t="shared" si="0"/>
        <v>0</v>
      </c>
      <c r="G31" s="115">
        <f t="shared" si="1"/>
        <v>0</v>
      </c>
    </row>
    <row r="32" spans="1:7" ht="15" customHeight="1" x14ac:dyDescent="0.25">
      <c r="A32" s="192" t="s">
        <v>46</v>
      </c>
      <c r="B32" s="112">
        <v>0</v>
      </c>
      <c r="C32" s="110"/>
      <c r="D32" s="192" t="s">
        <v>46</v>
      </c>
      <c r="E32" s="112">
        <v>495</v>
      </c>
      <c r="F32" s="113">
        <f t="shared" si="0"/>
        <v>-495</v>
      </c>
      <c r="G32" s="115">
        <f t="shared" si="1"/>
        <v>-155.23891463852922</v>
      </c>
    </row>
    <row r="33" spans="1:7" ht="15" customHeight="1" x14ac:dyDescent="0.25">
      <c r="A33" s="192" t="s">
        <v>208</v>
      </c>
      <c r="B33" s="112">
        <v>36730</v>
      </c>
      <c r="C33" s="110"/>
      <c r="D33" s="192" t="s">
        <v>47</v>
      </c>
      <c r="E33" s="112">
        <v>37852</v>
      </c>
      <c r="F33" s="113">
        <f t="shared" si="0"/>
        <v>-1122</v>
      </c>
      <c r="G33" s="115">
        <f t="shared" si="1"/>
        <v>-351.87487318066627</v>
      </c>
    </row>
    <row r="34" spans="1:7" ht="15" customHeight="1" x14ac:dyDescent="0.25">
      <c r="A34" s="192" t="s">
        <v>233</v>
      </c>
      <c r="B34" s="112">
        <v>1216</v>
      </c>
      <c r="C34" s="110"/>
      <c r="D34" s="192" t="s">
        <v>233</v>
      </c>
      <c r="E34" s="112">
        <v>14249</v>
      </c>
      <c r="F34" s="113">
        <f t="shared" si="0"/>
        <v>-13033</v>
      </c>
      <c r="G34" s="115">
        <f t="shared" si="1"/>
        <v>-4087.3308575433362</v>
      </c>
    </row>
    <row r="35" spans="1:7" ht="15" customHeight="1" x14ac:dyDescent="0.25">
      <c r="A35" s="192" t="s">
        <v>48</v>
      </c>
      <c r="B35" s="112">
        <v>20600</v>
      </c>
      <c r="C35" s="116"/>
      <c r="D35" s="192" t="s">
        <v>48</v>
      </c>
      <c r="E35" s="112">
        <v>756728</v>
      </c>
      <c r="F35" s="113">
        <f t="shared" si="0"/>
        <v>-736128</v>
      </c>
      <c r="G35" s="115">
        <f t="shared" si="1"/>
        <v>-230860.02374753787</v>
      </c>
    </row>
    <row r="36" spans="1:7" ht="15" customHeight="1" x14ac:dyDescent="0.25">
      <c r="A36" s="192"/>
      <c r="B36" s="112"/>
      <c r="C36" s="110"/>
      <c r="D36" s="192" t="s">
        <v>211</v>
      </c>
      <c r="E36" s="112">
        <v>25</v>
      </c>
      <c r="F36" s="113">
        <f t="shared" si="0"/>
        <v>-25</v>
      </c>
      <c r="G36" s="115">
        <f t="shared" si="1"/>
        <v>-7.8403492241681434</v>
      </c>
    </row>
    <row r="37" spans="1:7" ht="15" customHeight="1" x14ac:dyDescent="0.25">
      <c r="A37" s="192" t="s">
        <v>234</v>
      </c>
      <c r="B37" s="112">
        <v>101</v>
      </c>
      <c r="C37" s="110"/>
      <c r="D37" s="192" t="s">
        <v>234</v>
      </c>
      <c r="E37" s="112">
        <v>1050</v>
      </c>
      <c r="F37" s="113">
        <f t="shared" si="0"/>
        <v>-949</v>
      </c>
      <c r="G37" s="115">
        <f t="shared" si="1"/>
        <v>-297.6196565494227</v>
      </c>
    </row>
    <row r="38" spans="1:7" ht="15" customHeight="1" x14ac:dyDescent="0.25">
      <c r="A38" s="192" t="s">
        <v>262</v>
      </c>
      <c r="B38" s="112">
        <v>252875</v>
      </c>
      <c r="C38" s="110"/>
      <c r="D38" s="191" t="s">
        <v>262</v>
      </c>
      <c r="E38" s="191">
        <v>115386</v>
      </c>
      <c r="F38" s="113">
        <f t="shared" si="0"/>
        <v>137489</v>
      </c>
      <c r="G38" s="115">
        <f t="shared" si="1"/>
        <v>60082.692999999999</v>
      </c>
    </row>
    <row r="39" spans="1:7" ht="15" customHeight="1" x14ac:dyDescent="0.25">
      <c r="A39" s="192" t="s">
        <v>49</v>
      </c>
      <c r="B39" s="112">
        <v>97218</v>
      </c>
      <c r="C39" s="110"/>
      <c r="D39" s="192" t="s">
        <v>49</v>
      </c>
      <c r="E39" s="112">
        <v>289702</v>
      </c>
      <c r="F39" s="113">
        <f t="shared" si="0"/>
        <v>-192484</v>
      </c>
      <c r="G39" s="115">
        <f t="shared" si="1"/>
        <v>-60365.671202591235</v>
      </c>
    </row>
    <row r="40" spans="1:7" ht="15" customHeight="1" x14ac:dyDescent="0.25">
      <c r="A40" s="192"/>
      <c r="B40" s="112"/>
      <c r="C40" s="110"/>
      <c r="D40" s="192" t="s">
        <v>248</v>
      </c>
      <c r="E40" s="112">
        <v>17399</v>
      </c>
      <c r="F40" s="113">
        <f t="shared" si="0"/>
        <v>-17399</v>
      </c>
      <c r="G40" s="115">
        <f t="shared" si="1"/>
        <v>-5456.5694460520608</v>
      </c>
    </row>
    <row r="41" spans="1:7" ht="15" customHeight="1" x14ac:dyDescent="0.25">
      <c r="A41" s="192"/>
      <c r="B41" s="112"/>
      <c r="C41" s="110"/>
      <c r="D41" s="192" t="s">
        <v>263</v>
      </c>
      <c r="E41" s="112">
        <v>14103</v>
      </c>
      <c r="F41" s="113">
        <f t="shared" si="0"/>
        <v>-14103</v>
      </c>
      <c r="G41" s="115">
        <f t="shared" si="1"/>
        <v>-4422.8978043377329</v>
      </c>
    </row>
    <row r="42" spans="1:7" ht="15" customHeight="1" x14ac:dyDescent="0.25">
      <c r="A42" s="192" t="s">
        <v>235</v>
      </c>
      <c r="B42" s="112">
        <v>7303</v>
      </c>
      <c r="C42" s="110"/>
      <c r="D42" s="192" t="s">
        <v>235</v>
      </c>
      <c r="E42" s="112">
        <v>111008</v>
      </c>
      <c r="F42" s="113">
        <f t="shared" si="0"/>
        <v>-103705</v>
      </c>
      <c r="G42" s="115">
        <f t="shared" si="1"/>
        <v>-32523.336651694292</v>
      </c>
    </row>
    <row r="43" spans="1:7" ht="15" customHeight="1" x14ac:dyDescent="0.25">
      <c r="A43" s="192" t="s">
        <v>236</v>
      </c>
      <c r="B43" s="112">
        <v>4850</v>
      </c>
      <c r="C43" s="110"/>
      <c r="D43" s="192" t="s">
        <v>236</v>
      </c>
      <c r="E43" s="112">
        <v>396339</v>
      </c>
      <c r="F43" s="113">
        <f t="shared" si="0"/>
        <v>-391489</v>
      </c>
      <c r="G43" s="115">
        <f t="shared" si="1"/>
        <v>-122776.41909681448</v>
      </c>
    </row>
    <row r="44" spans="1:7" ht="15" customHeight="1" x14ac:dyDescent="0.25">
      <c r="A44" s="192" t="s">
        <v>237</v>
      </c>
      <c r="B44" s="112">
        <v>302</v>
      </c>
      <c r="C44" s="110"/>
      <c r="D44" s="192"/>
      <c r="E44" s="112"/>
      <c r="F44" s="113">
        <f t="shared" si="0"/>
        <v>302</v>
      </c>
      <c r="G44" s="115">
        <f t="shared" si="1"/>
        <v>131.97399999999999</v>
      </c>
    </row>
    <row r="45" spans="1:7" ht="15" customHeight="1" x14ac:dyDescent="0.25">
      <c r="A45" s="192"/>
      <c r="B45" s="112"/>
      <c r="C45" s="110"/>
      <c r="D45" s="192" t="s">
        <v>264</v>
      </c>
      <c r="E45" s="112">
        <v>4</v>
      </c>
      <c r="F45" s="113">
        <f t="shared" si="0"/>
        <v>-4</v>
      </c>
      <c r="G45" s="115">
        <f t="shared" si="1"/>
        <v>-1.2544558758669029</v>
      </c>
    </row>
    <row r="46" spans="1:7" ht="15" customHeight="1" x14ac:dyDescent="0.25">
      <c r="A46" s="192" t="s">
        <v>238</v>
      </c>
      <c r="B46" s="112">
        <v>2805</v>
      </c>
      <c r="C46" s="110"/>
      <c r="D46" s="192" t="s">
        <v>238</v>
      </c>
      <c r="E46" s="112">
        <v>11</v>
      </c>
      <c r="F46" s="113">
        <f t="shared" si="0"/>
        <v>2794</v>
      </c>
      <c r="G46" s="115">
        <f t="shared" si="1"/>
        <v>1220.9780000000001</v>
      </c>
    </row>
    <row r="47" spans="1:7" ht="15" customHeight="1" x14ac:dyDescent="0.25">
      <c r="A47" s="192" t="s">
        <v>239</v>
      </c>
      <c r="B47" s="112">
        <v>22704</v>
      </c>
      <c r="C47" s="110"/>
      <c r="D47" s="192" t="s">
        <v>239</v>
      </c>
      <c r="E47" s="112">
        <v>74684</v>
      </c>
      <c r="F47" s="113">
        <f t="shared" si="0"/>
        <v>-51980</v>
      </c>
      <c r="G47" s="115">
        <f t="shared" si="1"/>
        <v>-16301.654106890403</v>
      </c>
    </row>
    <row r="48" spans="1:7" ht="15" customHeight="1" x14ac:dyDescent="0.25">
      <c r="A48" s="192" t="s">
        <v>240</v>
      </c>
      <c r="B48" s="112">
        <v>60140</v>
      </c>
      <c r="C48" s="110"/>
      <c r="D48" s="192" t="s">
        <v>249</v>
      </c>
      <c r="E48" s="112">
        <v>13113</v>
      </c>
      <c r="F48" s="113">
        <f t="shared" si="0"/>
        <v>47027</v>
      </c>
      <c r="G48" s="115">
        <f t="shared" si="1"/>
        <v>20550.798999999999</v>
      </c>
    </row>
    <row r="49" spans="1:7" ht="15" customHeight="1" x14ac:dyDescent="0.25">
      <c r="A49" s="192" t="s">
        <v>241</v>
      </c>
      <c r="B49" s="112">
        <v>8514</v>
      </c>
      <c r="C49" s="116"/>
      <c r="D49" s="192" t="s">
        <v>241</v>
      </c>
      <c r="E49" s="112">
        <v>112758</v>
      </c>
      <c r="F49" s="113">
        <f t="shared" si="0"/>
        <v>-104244</v>
      </c>
      <c r="G49" s="115">
        <f t="shared" si="1"/>
        <v>-32692.374580967356</v>
      </c>
    </row>
    <row r="50" spans="1:7" ht="15" customHeight="1" x14ac:dyDescent="0.25">
      <c r="A50" s="192" t="s">
        <v>250</v>
      </c>
      <c r="B50" s="112">
        <v>270</v>
      </c>
      <c r="C50" s="110"/>
      <c r="D50" s="192" t="s">
        <v>250</v>
      </c>
      <c r="E50" s="112">
        <v>32</v>
      </c>
      <c r="F50" s="113">
        <f t="shared" si="0"/>
        <v>238</v>
      </c>
      <c r="G50" s="115">
        <f t="shared" si="1"/>
        <v>104.006</v>
      </c>
    </row>
    <row r="51" spans="1:7" ht="15" customHeight="1" x14ac:dyDescent="0.25">
      <c r="A51" s="192" t="s">
        <v>242</v>
      </c>
      <c r="B51" s="112">
        <v>6655</v>
      </c>
      <c r="C51" s="110"/>
      <c r="D51" s="192" t="s">
        <v>242</v>
      </c>
      <c r="E51" s="112">
        <v>35580</v>
      </c>
      <c r="F51" s="113">
        <f t="shared" si="0"/>
        <v>-28925</v>
      </c>
      <c r="G51" s="115">
        <f t="shared" si="1"/>
        <v>-9071.2840523625418</v>
      </c>
    </row>
    <row r="52" spans="1:7" ht="15" customHeight="1" x14ac:dyDescent="0.25">
      <c r="A52" s="192" t="s">
        <v>51</v>
      </c>
      <c r="B52" s="112">
        <v>8134</v>
      </c>
      <c r="C52" s="110"/>
      <c r="D52" s="192" t="s">
        <v>51</v>
      </c>
      <c r="E52" s="112">
        <v>15167</v>
      </c>
      <c r="F52" s="113">
        <f t="shared" si="0"/>
        <v>-7033</v>
      </c>
      <c r="G52" s="115">
        <f t="shared" si="1"/>
        <v>-2205.6470437429821</v>
      </c>
    </row>
    <row r="53" spans="1:7" ht="15" customHeight="1" x14ac:dyDescent="0.25">
      <c r="A53" s="192" t="s">
        <v>243</v>
      </c>
      <c r="B53" s="112">
        <v>124696</v>
      </c>
      <c r="C53" s="110"/>
      <c r="D53" s="192"/>
      <c r="E53" s="112"/>
      <c r="F53" s="113">
        <f t="shared" si="0"/>
        <v>124696</v>
      </c>
      <c r="G53" s="115">
        <f t="shared" si="1"/>
        <v>54492.152000000002</v>
      </c>
    </row>
    <row r="54" spans="1:7" ht="15" customHeight="1" x14ac:dyDescent="0.25">
      <c r="A54" s="192" t="s">
        <v>244</v>
      </c>
      <c r="B54" s="112">
        <v>12467</v>
      </c>
      <c r="C54" s="110"/>
      <c r="D54" s="192" t="s">
        <v>244</v>
      </c>
      <c r="E54" s="112">
        <v>5807</v>
      </c>
      <c r="F54" s="113">
        <f t="shared" si="0"/>
        <v>6660</v>
      </c>
      <c r="G54" s="115">
        <f t="shared" si="1"/>
        <v>2910.42</v>
      </c>
    </row>
    <row r="55" spans="1:7" ht="15" customHeight="1" x14ac:dyDescent="0.25">
      <c r="A55" s="192"/>
      <c r="B55" s="112"/>
      <c r="C55" s="110"/>
      <c r="D55" s="192" t="s">
        <v>210</v>
      </c>
      <c r="E55" s="112">
        <v>9014</v>
      </c>
      <c r="F55" s="113">
        <f t="shared" si="0"/>
        <v>-9014</v>
      </c>
      <c r="G55" s="115">
        <f t="shared" si="1"/>
        <v>-2826.9163162660657</v>
      </c>
    </row>
    <row r="56" spans="1:7" ht="15" customHeight="1" x14ac:dyDescent="0.25">
      <c r="A56" s="192"/>
      <c r="B56" s="112"/>
      <c r="C56" s="110"/>
      <c r="D56" s="192" t="s">
        <v>151</v>
      </c>
      <c r="E56" s="112">
        <v>19</v>
      </c>
      <c r="F56" s="113">
        <f t="shared" ref="F56:F57" si="2">B56-E56</f>
        <v>-19</v>
      </c>
      <c r="G56" s="115">
        <f t="shared" ref="G56:G57" si="3">IF(F56&gt;0,F56*$F$2,F56*$F$3)</f>
        <v>-5.9586654103677885</v>
      </c>
    </row>
    <row r="57" spans="1:7" ht="15" customHeight="1" x14ac:dyDescent="0.25">
      <c r="A57" s="192" t="s">
        <v>245</v>
      </c>
      <c r="B57" s="112">
        <v>8764</v>
      </c>
      <c r="C57" s="110"/>
      <c r="D57" s="192" t="s">
        <v>245</v>
      </c>
      <c r="E57" s="112">
        <v>38234</v>
      </c>
      <c r="F57" s="113">
        <f t="shared" si="2"/>
        <v>-29470</v>
      </c>
      <c r="G57" s="115">
        <f t="shared" si="3"/>
        <v>-9242.2036654494077</v>
      </c>
    </row>
    <row r="58" spans="1:7" ht="15" customHeight="1" x14ac:dyDescent="0.25">
      <c r="A58" s="192" t="s">
        <v>265</v>
      </c>
      <c r="B58" s="112">
        <v>18717</v>
      </c>
      <c r="C58" s="110"/>
      <c r="D58" s="192" t="s">
        <v>265</v>
      </c>
      <c r="E58" s="112">
        <v>97048</v>
      </c>
      <c r="F58" s="113"/>
      <c r="G58" s="115"/>
    </row>
    <row r="59" spans="1:7" ht="15" customHeight="1" x14ac:dyDescent="0.25">
      <c r="A59" s="192" t="s">
        <v>246</v>
      </c>
      <c r="B59" s="112">
        <v>23120</v>
      </c>
      <c r="D59" s="191" t="s">
        <v>246</v>
      </c>
      <c r="E59" s="191">
        <v>237056</v>
      </c>
      <c r="F59" s="113"/>
      <c r="G59" s="115"/>
    </row>
    <row r="60" spans="1:7" ht="15" customHeight="1" x14ac:dyDescent="0.25">
      <c r="A60" s="192" t="s">
        <v>142</v>
      </c>
      <c r="B60" s="112">
        <v>663</v>
      </c>
      <c r="D60" s="192"/>
      <c r="E60" s="112"/>
      <c r="F60" s="113"/>
      <c r="G60" s="115"/>
    </row>
    <row r="61" spans="1:7" ht="15" customHeight="1" x14ac:dyDescent="0.25">
      <c r="A61" s="198" t="s">
        <v>164</v>
      </c>
      <c r="B61" s="112">
        <v>16212</v>
      </c>
      <c r="C61" s="197"/>
      <c r="D61" s="198" t="s">
        <v>251</v>
      </c>
      <c r="E61" s="112">
        <v>11760</v>
      </c>
      <c r="F61" s="113"/>
      <c r="G61" s="115"/>
    </row>
    <row r="63" spans="1:7" ht="15" customHeight="1" x14ac:dyDescent="0.25">
      <c r="A63" s="108"/>
      <c r="B63" s="109"/>
      <c r="D63" s="111"/>
      <c r="E63" s="112"/>
      <c r="F63" s="113">
        <f>SUM(F5:F62)</f>
        <v>-1666161</v>
      </c>
      <c r="G63" s="102">
        <f>SUM(G5:G62)/2000</f>
        <v>-226.58692757760326</v>
      </c>
    </row>
    <row r="64" spans="1:7" ht="15" customHeight="1" x14ac:dyDescent="0.25">
      <c r="A64" s="108"/>
      <c r="B64" s="109"/>
    </row>
    <row r="67" spans="1:7" ht="15" customHeight="1" x14ac:dyDescent="0.25">
      <c r="G67" s="113"/>
    </row>
    <row r="69" spans="1:7" ht="15" customHeight="1" x14ac:dyDescent="0.25">
      <c r="A69" s="108"/>
      <c r="B69" s="109"/>
      <c r="D69" s="111"/>
      <c r="E69" s="112"/>
    </row>
    <row r="70" spans="1:7" ht="15" customHeight="1" x14ac:dyDescent="0.25">
      <c r="G70" s="113"/>
    </row>
    <row r="71" spans="1:7" ht="15" customHeight="1" x14ac:dyDescent="0.25">
      <c r="A71" s="107"/>
      <c r="B71" s="107"/>
    </row>
    <row r="74" spans="1:7" ht="15" customHeight="1" x14ac:dyDescent="0.25">
      <c r="A74" s="108"/>
      <c r="B74" s="109"/>
      <c r="D74" s="111"/>
      <c r="E74" s="112"/>
    </row>
    <row r="75" spans="1:7" ht="15" customHeight="1" x14ac:dyDescent="0.25">
      <c r="G75" s="113"/>
    </row>
    <row r="76" spans="1:7" ht="15" customHeight="1" x14ac:dyDescent="0.25">
      <c r="A76" s="108"/>
      <c r="B76" s="109"/>
      <c r="D76" s="111"/>
      <c r="E76" s="112"/>
    </row>
    <row r="85" spans="1:7" ht="15" customHeight="1" x14ac:dyDescent="0.25">
      <c r="A85" s="108"/>
      <c r="B85" s="109"/>
      <c r="D85" s="111"/>
      <c r="E85" s="112"/>
    </row>
    <row r="86" spans="1:7" ht="15" customHeight="1" x14ac:dyDescent="0.25">
      <c r="A86" s="108"/>
      <c r="B86" s="109"/>
      <c r="D86" s="111"/>
      <c r="E86" s="112"/>
    </row>
    <row r="87" spans="1:7" ht="15" customHeight="1" x14ac:dyDescent="0.25">
      <c r="G87" s="113"/>
    </row>
    <row r="92" spans="1:7" ht="15" customHeight="1" x14ac:dyDescent="0.25">
      <c r="F92" s="113"/>
    </row>
    <row r="95" spans="1:7" ht="15" customHeight="1" x14ac:dyDescent="0.25">
      <c r="D95" s="111"/>
      <c r="E95" s="112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3C0E2EA5FB1A45B3A6459D8BE64659" ma:contentTypeVersion="7" ma:contentTypeDescription="" ma:contentTypeScope="" ma:versionID="1fbcd25d22123089108c6ce14338cfa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2024-05-29T07:00:00+00:00</OpenedDate>
    <Date1 xmlns="dc463f71-b30c-4ab2-9473-d307f9d35888">2024-05-29T07:00:00+00:00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240397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C84616-9C0E-4610-84CD-A8466F470191}"/>
</file>

<file path=customXml/itemProps2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2EE9F0-39A2-4FF4-A819-FCEA53AAEA67}"/>
</file>

<file path=customXml/itemProps4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2024-05-28T19:22:40Z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0x0101006E56B4D1795A2E4DB2F0B01679ED314A00E53C0E2EA5FB1A45B3A6459D8BE64659</vt:lpwstr>
  </property>
  <property fmtid="{D5CDD505-2E9C-101B-9397-08002B2CF9AE}" pid="3" name="_docset_NoMedatataSyncRequired">
    <vt:lpwstr>False</vt:lpwstr>
  </property>
</Properties>
</file>