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ound Disposal\2024 YW Filing\as filed 2024-05-16\"/>
    </mc:Choice>
  </mc:AlternateContent>
  <xr:revisionPtr revIDLastSave="0" documentId="13_ncr:1_{D84C87C4-FA13-4F88-8897-7236CE6F93C7}" xr6:coauthVersionLast="47" xr6:coauthVersionMax="47" xr10:uidLastSave="{00000000-0000-0000-0000-000000000000}"/>
  <bookViews>
    <workbookView xWindow="28680" yWindow="2025" windowWidth="29040" windowHeight="15720" xr2:uid="{00000000-000D-0000-FFFF-FFFF00000000}"/>
  </bookViews>
  <sheets>
    <sheet name="SDI YW DF Inc" sheetId="10" r:id="rId1"/>
    <sheet name="2023 - Calcs" sheetId="8" r:id="rId2"/>
    <sheet name="2023 - Data" sheetId="7" r:id="rId3"/>
    <sheet name="2023 CG Inv Detail" sheetId="9" r:id="rId4"/>
    <sheet name="Previous Years' Data --&gt;" sheetId="11" r:id="rId5"/>
    <sheet name="2022" sheetId="3" r:id="rId6"/>
    <sheet name="Data  - 2022" sheetId="4" r:id="rId7"/>
    <sheet name="2021" sheetId="2" r:id="rId8"/>
    <sheet name="2020" sheetId="1" r:id="rId9"/>
  </sheets>
  <definedNames>
    <definedName name="_xlnm.Print_Area" localSheetId="3">'2023 CG Inv Detail'!$B$1:$N$181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0" l="1"/>
  <c r="G17" i="10"/>
  <c r="O13" i="8"/>
  <c r="O14" i="8"/>
  <c r="O15" i="8"/>
  <c r="O16" i="8"/>
  <c r="O17" i="8"/>
  <c r="O18" i="8"/>
  <c r="O19" i="8"/>
  <c r="O20" i="8"/>
  <c r="O21" i="8"/>
  <c r="O22" i="8"/>
  <c r="O23" i="8"/>
  <c r="O12" i="8"/>
  <c r="G12" i="9" l="1"/>
  <c r="O39" i="7"/>
  <c r="P39" i="7" s="1"/>
  <c r="O38" i="7"/>
  <c r="P38" i="7" s="1"/>
  <c r="M8" i="8" s="1"/>
  <c r="P13" i="8"/>
  <c r="P14" i="8"/>
  <c r="P15" i="8"/>
  <c r="P16" i="8"/>
  <c r="P17" i="8"/>
  <c r="P18" i="8"/>
  <c r="P19" i="8"/>
  <c r="P20" i="8"/>
  <c r="P21" i="8"/>
  <c r="P22" i="8"/>
  <c r="P23" i="8"/>
  <c r="P12" i="8"/>
  <c r="M19" i="8" l="1"/>
  <c r="M20" i="8"/>
  <c r="M16" i="8"/>
  <c r="M18" i="8"/>
  <c r="M21" i="8"/>
  <c r="M23" i="8"/>
  <c r="M13" i="8"/>
  <c r="M12" i="8"/>
  <c r="M15" i="8"/>
  <c r="M17" i="8"/>
  <c r="M22" i="8"/>
  <c r="M14" i="8"/>
  <c r="R12" i="8"/>
  <c r="D179" i="9" l="1"/>
  <c r="C9" i="10"/>
  <c r="C18" i="10"/>
  <c r="E18" i="10" s="1"/>
  <c r="C17" i="10"/>
  <c r="E17" i="10" s="1"/>
  <c r="D19" i="10"/>
  <c r="C10" i="10" s="1"/>
  <c r="Q13" i="8"/>
  <c r="Q14" i="8"/>
  <c r="Q15" i="8"/>
  <c r="Q16" i="8"/>
  <c r="Q17" i="8"/>
  <c r="Q18" i="8"/>
  <c r="Q19" i="8"/>
  <c r="Q20" i="8"/>
  <c r="Q21" i="8"/>
  <c r="Q22" i="8"/>
  <c r="Q12" i="8"/>
  <c r="H12" i="8"/>
  <c r="I12" i="8" s="1"/>
  <c r="G179" i="9"/>
  <c r="G178" i="9"/>
  <c r="D178" i="9"/>
  <c r="G177" i="9"/>
  <c r="D177" i="9"/>
  <c r="G176" i="9"/>
  <c r="D176" i="9"/>
  <c r="G175" i="9"/>
  <c r="D175" i="9"/>
  <c r="G174" i="9"/>
  <c r="D174" i="9"/>
  <c r="G173" i="9"/>
  <c r="D173" i="9"/>
  <c r="G172" i="9"/>
  <c r="D172" i="9"/>
  <c r="G171" i="9"/>
  <c r="D171" i="9"/>
  <c r="G170" i="9"/>
  <c r="D170" i="9"/>
  <c r="G169" i="9"/>
  <c r="D169" i="9"/>
  <c r="G168" i="9"/>
  <c r="D168" i="9"/>
  <c r="G166" i="9"/>
  <c r="D166" i="9"/>
  <c r="G165" i="9"/>
  <c r="D165" i="9"/>
  <c r="G164" i="9"/>
  <c r="D164" i="9"/>
  <c r="G163" i="9"/>
  <c r="D163" i="9"/>
  <c r="G162" i="9"/>
  <c r="D162" i="9"/>
  <c r="G161" i="9"/>
  <c r="D161" i="9"/>
  <c r="G160" i="9"/>
  <c r="D160" i="9"/>
  <c r="G159" i="9"/>
  <c r="D159" i="9"/>
  <c r="G158" i="9"/>
  <c r="D158" i="9"/>
  <c r="G157" i="9"/>
  <c r="D157" i="9"/>
  <c r="G156" i="9"/>
  <c r="D156" i="9"/>
  <c r="G155" i="9"/>
  <c r="D155" i="9"/>
  <c r="G154" i="9"/>
  <c r="D154" i="9"/>
  <c r="G153" i="9"/>
  <c r="D153" i="9"/>
  <c r="G151" i="9"/>
  <c r="D151" i="9"/>
  <c r="G150" i="9"/>
  <c r="D150" i="9"/>
  <c r="G149" i="9"/>
  <c r="I149" i="9" s="1"/>
  <c r="D149" i="9"/>
  <c r="G148" i="9"/>
  <c r="D148" i="9"/>
  <c r="G147" i="9"/>
  <c r="D147" i="9"/>
  <c r="G146" i="9"/>
  <c r="D146" i="9"/>
  <c r="G145" i="9"/>
  <c r="D145" i="9"/>
  <c r="G144" i="9"/>
  <c r="D144" i="9"/>
  <c r="G143" i="9"/>
  <c r="D143" i="9"/>
  <c r="G142" i="9"/>
  <c r="D142" i="9"/>
  <c r="G141" i="9"/>
  <c r="I141" i="9" s="1"/>
  <c r="D141" i="9"/>
  <c r="G140" i="9"/>
  <c r="D140" i="9"/>
  <c r="G139" i="9"/>
  <c r="D139" i="9"/>
  <c r="G138" i="9"/>
  <c r="D138" i="9"/>
  <c r="G137" i="9"/>
  <c r="D137" i="9"/>
  <c r="G136" i="9"/>
  <c r="D136" i="9"/>
  <c r="G135" i="9"/>
  <c r="D135" i="9"/>
  <c r="G134" i="9"/>
  <c r="D134" i="9"/>
  <c r="G133" i="9"/>
  <c r="D133" i="9"/>
  <c r="G131" i="9"/>
  <c r="D131" i="9"/>
  <c r="G130" i="9"/>
  <c r="D130" i="9"/>
  <c r="G129" i="9"/>
  <c r="D129" i="9"/>
  <c r="G128" i="9"/>
  <c r="D128" i="9"/>
  <c r="G127" i="9"/>
  <c r="D127" i="9"/>
  <c r="G126" i="9"/>
  <c r="D126" i="9"/>
  <c r="G125" i="9"/>
  <c r="D125" i="9"/>
  <c r="I125" i="9" s="1"/>
  <c r="G124" i="9"/>
  <c r="D124" i="9"/>
  <c r="G123" i="9"/>
  <c r="D123" i="9"/>
  <c r="G122" i="9"/>
  <c r="D122" i="9"/>
  <c r="G121" i="9"/>
  <c r="D121" i="9"/>
  <c r="G120" i="9"/>
  <c r="D120" i="9"/>
  <c r="G119" i="9"/>
  <c r="D119" i="9"/>
  <c r="G117" i="9"/>
  <c r="D117" i="9"/>
  <c r="G116" i="9"/>
  <c r="D116" i="9"/>
  <c r="I116" i="9" s="1"/>
  <c r="G115" i="9"/>
  <c r="D115" i="9"/>
  <c r="G114" i="9"/>
  <c r="D114" i="9"/>
  <c r="G113" i="9"/>
  <c r="D113" i="9"/>
  <c r="G112" i="9"/>
  <c r="D112" i="9"/>
  <c r="G111" i="9"/>
  <c r="D111" i="9"/>
  <c r="G110" i="9"/>
  <c r="D110" i="9"/>
  <c r="G109" i="9"/>
  <c r="D109" i="9"/>
  <c r="G108" i="9"/>
  <c r="D108" i="9"/>
  <c r="G107" i="9"/>
  <c r="D107" i="9"/>
  <c r="G106" i="9"/>
  <c r="D106" i="9"/>
  <c r="G105" i="9"/>
  <c r="D105" i="9"/>
  <c r="G104" i="9"/>
  <c r="D104" i="9"/>
  <c r="K105" i="9" s="1"/>
  <c r="G102" i="9"/>
  <c r="D102" i="9"/>
  <c r="G101" i="9"/>
  <c r="D101" i="9"/>
  <c r="G100" i="9"/>
  <c r="D100" i="9"/>
  <c r="G99" i="9"/>
  <c r="D99" i="9"/>
  <c r="G98" i="9"/>
  <c r="D98" i="9"/>
  <c r="G97" i="9"/>
  <c r="D97" i="9"/>
  <c r="G96" i="9"/>
  <c r="D96" i="9"/>
  <c r="G95" i="9"/>
  <c r="D95" i="9"/>
  <c r="G94" i="9"/>
  <c r="D94" i="9"/>
  <c r="G93" i="9"/>
  <c r="D93" i="9"/>
  <c r="G92" i="9"/>
  <c r="D92" i="9"/>
  <c r="G91" i="9"/>
  <c r="D91" i="9"/>
  <c r="G90" i="9"/>
  <c r="D90" i="9"/>
  <c r="G89" i="9"/>
  <c r="D89" i="9"/>
  <c r="G88" i="9"/>
  <c r="D88" i="9"/>
  <c r="G87" i="9"/>
  <c r="D87" i="9"/>
  <c r="G85" i="9"/>
  <c r="D85" i="9"/>
  <c r="G84" i="9"/>
  <c r="D84" i="9"/>
  <c r="G83" i="9"/>
  <c r="D83" i="9"/>
  <c r="I83" i="9" s="1"/>
  <c r="G82" i="9"/>
  <c r="D82" i="9"/>
  <c r="G81" i="9"/>
  <c r="D81" i="9"/>
  <c r="G80" i="9"/>
  <c r="D80" i="9"/>
  <c r="G79" i="9"/>
  <c r="D79" i="9"/>
  <c r="G78" i="9"/>
  <c r="D78" i="9"/>
  <c r="I78" i="9" s="1"/>
  <c r="G77" i="9"/>
  <c r="D77" i="9"/>
  <c r="G76" i="9"/>
  <c r="D76" i="9"/>
  <c r="G75" i="9"/>
  <c r="D75" i="9"/>
  <c r="I75" i="9" s="1"/>
  <c r="G74" i="9"/>
  <c r="D74" i="9"/>
  <c r="G73" i="9"/>
  <c r="D73" i="9"/>
  <c r="K74" i="9" s="1"/>
  <c r="G71" i="9"/>
  <c r="D71" i="9"/>
  <c r="G70" i="9"/>
  <c r="D70" i="9"/>
  <c r="I70" i="9" s="1"/>
  <c r="G69" i="9"/>
  <c r="D69" i="9"/>
  <c r="G68" i="9"/>
  <c r="D68" i="9"/>
  <c r="G67" i="9"/>
  <c r="D67" i="9"/>
  <c r="G66" i="9"/>
  <c r="D66" i="9"/>
  <c r="G65" i="9"/>
  <c r="D65" i="9"/>
  <c r="G64" i="9"/>
  <c r="D64" i="9"/>
  <c r="G63" i="9"/>
  <c r="D63" i="9"/>
  <c r="G62" i="9"/>
  <c r="D62" i="9"/>
  <c r="I62" i="9" s="1"/>
  <c r="G61" i="9"/>
  <c r="D61" i="9"/>
  <c r="G60" i="9"/>
  <c r="D60" i="9"/>
  <c r="G59" i="9"/>
  <c r="D59" i="9"/>
  <c r="G58" i="9"/>
  <c r="D58" i="9"/>
  <c r="G57" i="9"/>
  <c r="D57" i="9"/>
  <c r="G56" i="9"/>
  <c r="D56" i="9"/>
  <c r="G54" i="9"/>
  <c r="D54" i="9"/>
  <c r="G53" i="9"/>
  <c r="D53" i="9"/>
  <c r="G52" i="9"/>
  <c r="D52" i="9"/>
  <c r="I52" i="9" s="1"/>
  <c r="G51" i="9"/>
  <c r="D51" i="9"/>
  <c r="G50" i="9"/>
  <c r="D50" i="9"/>
  <c r="G49" i="9"/>
  <c r="D49" i="9"/>
  <c r="G48" i="9"/>
  <c r="D48" i="9"/>
  <c r="I48" i="9" s="1"/>
  <c r="G47" i="9"/>
  <c r="D47" i="9"/>
  <c r="G46" i="9"/>
  <c r="D46" i="9"/>
  <c r="G45" i="9"/>
  <c r="D45" i="9"/>
  <c r="G44" i="9"/>
  <c r="D44" i="9"/>
  <c r="G43" i="9"/>
  <c r="D43" i="9"/>
  <c r="G40" i="9"/>
  <c r="D40" i="9"/>
  <c r="G39" i="9"/>
  <c r="D39" i="9"/>
  <c r="I39" i="9" s="1"/>
  <c r="G38" i="9"/>
  <c r="D38" i="9"/>
  <c r="G37" i="9"/>
  <c r="D37" i="9"/>
  <c r="I37" i="9" s="1"/>
  <c r="G36" i="9"/>
  <c r="D36" i="9"/>
  <c r="G35" i="9"/>
  <c r="D35" i="9"/>
  <c r="G34" i="9"/>
  <c r="D34" i="9"/>
  <c r="G33" i="9"/>
  <c r="D33" i="9"/>
  <c r="G32" i="9"/>
  <c r="D32" i="9"/>
  <c r="G31" i="9"/>
  <c r="D31" i="9"/>
  <c r="G30" i="9"/>
  <c r="D30" i="9"/>
  <c r="G28" i="9"/>
  <c r="D28" i="9"/>
  <c r="G27" i="9"/>
  <c r="D27" i="9"/>
  <c r="G26" i="9"/>
  <c r="D26" i="9"/>
  <c r="I26" i="9" s="1"/>
  <c r="G25" i="9"/>
  <c r="D25" i="9"/>
  <c r="G24" i="9"/>
  <c r="D24" i="9"/>
  <c r="G23" i="9"/>
  <c r="D23" i="9"/>
  <c r="G22" i="9"/>
  <c r="D22" i="9"/>
  <c r="G21" i="9"/>
  <c r="D21" i="9"/>
  <c r="G17" i="9"/>
  <c r="D17" i="9"/>
  <c r="G16" i="9"/>
  <c r="D16" i="9"/>
  <c r="G15" i="9"/>
  <c r="D15" i="9"/>
  <c r="G14" i="9"/>
  <c r="D14" i="9"/>
  <c r="G13" i="9"/>
  <c r="D13" i="9"/>
  <c r="D12" i="9"/>
  <c r="K12" i="9" s="1"/>
  <c r="I135" i="9" l="1"/>
  <c r="I44" i="9"/>
  <c r="I95" i="9"/>
  <c r="I134" i="9"/>
  <c r="I92" i="9"/>
  <c r="I109" i="9"/>
  <c r="I117" i="9"/>
  <c r="I126" i="9"/>
  <c r="I147" i="9"/>
  <c r="I156" i="9"/>
  <c r="I160" i="9"/>
  <c r="I164" i="9"/>
  <c r="I169" i="9"/>
  <c r="I173" i="9"/>
  <c r="I22" i="9"/>
  <c r="I23" i="9"/>
  <c r="I27" i="9"/>
  <c r="I46" i="9"/>
  <c r="I54" i="9"/>
  <c r="I63" i="9"/>
  <c r="I67" i="9"/>
  <c r="I119" i="9"/>
  <c r="I131" i="9"/>
  <c r="I140" i="9"/>
  <c r="I144" i="9"/>
  <c r="I157" i="9"/>
  <c r="I165" i="9"/>
  <c r="I174" i="9"/>
  <c r="I85" i="9"/>
  <c r="I90" i="9"/>
  <c r="I94" i="9"/>
  <c r="I98" i="9"/>
  <c r="I102" i="9"/>
  <c r="I111" i="9"/>
  <c r="I115" i="9"/>
  <c r="I120" i="9"/>
  <c r="I124" i="9"/>
  <c r="I137" i="9"/>
  <c r="I154" i="9"/>
  <c r="I158" i="9"/>
  <c r="I162" i="9"/>
  <c r="I166" i="9"/>
  <c r="I175" i="9"/>
  <c r="I16" i="9"/>
  <c r="K16" i="9"/>
  <c r="I45" i="9"/>
  <c r="I35" i="9"/>
  <c r="I139" i="9"/>
  <c r="I36" i="9"/>
  <c r="I107" i="9"/>
  <c r="L15" i="9"/>
  <c r="M15" i="9" s="1"/>
  <c r="N15" i="9" s="1"/>
  <c r="K15" i="9"/>
  <c r="L13" i="9"/>
  <c r="M13" i="9" s="1"/>
  <c r="N13" i="9" s="1"/>
  <c r="K13" i="9"/>
  <c r="L17" i="9"/>
  <c r="M17" i="9" s="1"/>
  <c r="N17" i="9" s="1"/>
  <c r="K17" i="9"/>
  <c r="I40" i="9"/>
  <c r="I15" i="9"/>
  <c r="I24" i="9"/>
  <c r="I28" i="9"/>
  <c r="I100" i="9"/>
  <c r="I145" i="9"/>
  <c r="I14" i="9"/>
  <c r="K14" i="9"/>
  <c r="I25" i="9"/>
  <c r="I60" i="9"/>
  <c r="I68" i="9"/>
  <c r="I89" i="9"/>
  <c r="I93" i="9"/>
  <c r="H18" i="9"/>
  <c r="H41" i="9"/>
  <c r="G14" i="8" s="1"/>
  <c r="H86" i="9"/>
  <c r="G17" i="8" s="1"/>
  <c r="I97" i="9"/>
  <c r="I101" i="9"/>
  <c r="I122" i="9"/>
  <c r="I146" i="9"/>
  <c r="I150" i="9"/>
  <c r="I96" i="9"/>
  <c r="I108" i="9"/>
  <c r="I128" i="9"/>
  <c r="I177" i="9"/>
  <c r="I133" i="9"/>
  <c r="I81" i="9"/>
  <c r="I121" i="9"/>
  <c r="I88" i="9"/>
  <c r="I143" i="9"/>
  <c r="I179" i="9"/>
  <c r="I49" i="9"/>
  <c r="I82" i="9"/>
  <c r="I142" i="9"/>
  <c r="E180" i="9"/>
  <c r="I13" i="9"/>
  <c r="I31" i="9"/>
  <c r="I38" i="9"/>
  <c r="I47" i="9"/>
  <c r="I51" i="9"/>
  <c r="I59" i="9"/>
  <c r="I66" i="9"/>
  <c r="I69" i="9"/>
  <c r="E86" i="9"/>
  <c r="I77" i="9"/>
  <c r="I84" i="9"/>
  <c r="I99" i="9"/>
  <c r="I110" i="9"/>
  <c r="I114" i="9"/>
  <c r="I136" i="9"/>
  <c r="I161" i="9"/>
  <c r="H180" i="9"/>
  <c r="G23" i="8" s="1"/>
  <c r="I172" i="9"/>
  <c r="E72" i="9"/>
  <c r="H132" i="9"/>
  <c r="G20" i="8" s="1"/>
  <c r="I129" i="9"/>
  <c r="H118" i="9"/>
  <c r="G19" i="8" s="1"/>
  <c r="L14" i="9"/>
  <c r="M14" i="9" s="1"/>
  <c r="N14" i="9" s="1"/>
  <c r="I17" i="9"/>
  <c r="I32" i="9"/>
  <c r="H72" i="9"/>
  <c r="G16" i="8" s="1"/>
  <c r="I105" i="9"/>
  <c r="I123" i="9"/>
  <c r="I130" i="9"/>
  <c r="I151" i="9"/>
  <c r="I155" i="9"/>
  <c r="I159" i="9"/>
  <c r="I176" i="9"/>
  <c r="H55" i="9"/>
  <c r="G15" i="8" s="1"/>
  <c r="H152" i="9"/>
  <c r="G21" i="8" s="1"/>
  <c r="I104" i="9"/>
  <c r="E18" i="9"/>
  <c r="E29" i="9"/>
  <c r="I33" i="9"/>
  <c r="I57" i="9"/>
  <c r="I64" i="9"/>
  <c r="I71" i="9"/>
  <c r="I79" i="9"/>
  <c r="E103" i="9"/>
  <c r="I112" i="9"/>
  <c r="I127" i="9"/>
  <c r="I138" i="9"/>
  <c r="I148" i="9"/>
  <c r="I170" i="9"/>
  <c r="L16" i="9"/>
  <c r="M16" i="9" s="1"/>
  <c r="N16" i="9" s="1"/>
  <c r="H29" i="9"/>
  <c r="G13" i="8" s="1"/>
  <c r="H103" i="9"/>
  <c r="G18" i="8" s="1"/>
  <c r="E167" i="9"/>
  <c r="L12" i="9"/>
  <c r="M12" i="9" s="1"/>
  <c r="I21" i="9"/>
  <c r="I30" i="9"/>
  <c r="I34" i="9"/>
  <c r="E55" i="9"/>
  <c r="I50" i="9"/>
  <c r="I53" i="9"/>
  <c r="I58" i="9"/>
  <c r="I61" i="9"/>
  <c r="I65" i="9"/>
  <c r="I73" i="9"/>
  <c r="I76" i="9"/>
  <c r="I80" i="9"/>
  <c r="I91" i="9"/>
  <c r="I106" i="9"/>
  <c r="I113" i="9"/>
  <c r="H167" i="9"/>
  <c r="G22" i="8" s="1"/>
  <c r="I163" i="9"/>
  <c r="I171" i="9"/>
  <c r="I178" i="9"/>
  <c r="Q23" i="8"/>
  <c r="E19" i="10"/>
  <c r="H14" i="8"/>
  <c r="E41" i="9"/>
  <c r="E118" i="9"/>
  <c r="E152" i="9"/>
  <c r="I87" i="9"/>
  <c r="E132" i="9"/>
  <c r="I168" i="9"/>
  <c r="I56" i="9"/>
  <c r="I74" i="9"/>
  <c r="I12" i="9"/>
  <c r="I43" i="9"/>
  <c r="I153" i="9"/>
  <c r="P25" i="8"/>
  <c r="J86" i="9" l="1"/>
  <c r="M84" i="9" s="1"/>
  <c r="J41" i="9"/>
  <c r="J29" i="9"/>
  <c r="H19" i="8"/>
  <c r="I19" i="8" s="1"/>
  <c r="H22" i="8"/>
  <c r="I22" i="8" s="1"/>
  <c r="R22" i="8"/>
  <c r="H17" i="8"/>
  <c r="I17" i="8" s="1"/>
  <c r="R17" i="8"/>
  <c r="H18" i="8"/>
  <c r="I18" i="8" s="1"/>
  <c r="R18" i="8"/>
  <c r="H20" i="8"/>
  <c r="I20" i="8" s="1"/>
  <c r="R20" i="8"/>
  <c r="M18" i="9"/>
  <c r="J18" i="9"/>
  <c r="J118" i="9"/>
  <c r="M115" i="9" s="1"/>
  <c r="H13" i="8"/>
  <c r="I13" i="8" s="1"/>
  <c r="H21" i="8"/>
  <c r="I21" i="8" s="1"/>
  <c r="R21" i="8"/>
  <c r="H15" i="8"/>
  <c r="I15" i="8" s="1"/>
  <c r="R15" i="8"/>
  <c r="H16" i="8"/>
  <c r="I16" i="8" s="1"/>
  <c r="J167" i="9"/>
  <c r="M164" i="9" s="1"/>
  <c r="H23" i="8"/>
  <c r="I23" i="8" s="1"/>
  <c r="K12" i="8" s="1"/>
  <c r="R23" i="8"/>
  <c r="J152" i="9"/>
  <c r="M149" i="9" s="1"/>
  <c r="J132" i="9"/>
  <c r="M129" i="9" s="1"/>
  <c r="N12" i="9"/>
  <c r="N18" i="9" s="1"/>
  <c r="J103" i="9"/>
  <c r="J55" i="9"/>
  <c r="J72" i="9"/>
  <c r="G25" i="8"/>
  <c r="J180" i="9"/>
  <c r="I14" i="8"/>
  <c r="R14" i="8"/>
  <c r="D25" i="8"/>
  <c r="C25" i="8"/>
  <c r="E23" i="8"/>
  <c r="N32" i="8" s="1"/>
  <c r="E22" i="8"/>
  <c r="E21" i="8"/>
  <c r="E20" i="8"/>
  <c r="E19" i="8"/>
  <c r="E18" i="8"/>
  <c r="E17" i="8"/>
  <c r="E16" i="8"/>
  <c r="E15" i="8"/>
  <c r="E14" i="8"/>
  <c r="E13" i="8"/>
  <c r="E12" i="8"/>
  <c r="I16" i="7"/>
  <c r="L15" i="7"/>
  <c r="J15" i="7"/>
  <c r="L14" i="7"/>
  <c r="J14" i="7"/>
  <c r="J16" i="7" l="1"/>
  <c r="O25" i="8"/>
  <c r="H25" i="8"/>
  <c r="R13" i="8"/>
  <c r="N33" i="8"/>
  <c r="K16" i="8"/>
  <c r="K17" i="8"/>
  <c r="K18" i="8"/>
  <c r="K19" i="8"/>
  <c r="K23" i="8"/>
  <c r="K20" i="8"/>
  <c r="K13" i="8"/>
  <c r="K21" i="8"/>
  <c r="K15" i="8"/>
  <c r="K14" i="8"/>
  <c r="K22" i="8"/>
  <c r="M25" i="8"/>
  <c r="R16" i="8"/>
  <c r="R19" i="8"/>
  <c r="L16" i="7"/>
  <c r="E11" i="7"/>
  <c r="R25" i="8" l="1"/>
  <c r="R26" i="8" s="1"/>
  <c r="K25" i="8"/>
  <c r="N29" i="8" s="1"/>
  <c r="C8" i="10" l="1"/>
  <c r="D25" i="7"/>
  <c r="E22" i="7"/>
  <c r="E21" i="7"/>
  <c r="E20" i="7"/>
  <c r="E19" i="7"/>
  <c r="E18" i="7"/>
  <c r="E17" i="7"/>
  <c r="E16" i="7"/>
  <c r="E15" i="7"/>
  <c r="E14" i="7"/>
  <c r="E13" i="7"/>
  <c r="E12" i="7"/>
  <c r="C11" i="10" l="1"/>
  <c r="H17" i="10" s="1"/>
  <c r="C28" i="10"/>
  <c r="C25" i="7"/>
  <c r="D51" i="3"/>
  <c r="F37" i="3"/>
  <c r="D32" i="3"/>
  <c r="H18" i="10" l="1"/>
  <c r="H19" i="10" s="1"/>
  <c r="H22" i="10" s="1"/>
  <c r="H23" i="10" s="1"/>
  <c r="D28" i="3"/>
  <c r="F25" i="3"/>
  <c r="O23" i="3"/>
  <c r="O22" i="3"/>
  <c r="C10" i="3"/>
  <c r="B14" i="3"/>
  <c r="B15" i="3"/>
  <c r="B16" i="3"/>
  <c r="B17" i="3"/>
  <c r="B18" i="3"/>
  <c r="B19" i="3"/>
  <c r="B20" i="3"/>
  <c r="B21" i="3"/>
  <c r="B22" i="3"/>
  <c r="B23" i="3"/>
  <c r="B24" i="3"/>
  <c r="C14" i="3"/>
  <c r="C15" i="3"/>
  <c r="C16" i="3"/>
  <c r="C17" i="3"/>
  <c r="C18" i="3"/>
  <c r="C19" i="3"/>
  <c r="C20" i="3"/>
  <c r="C21" i="3"/>
  <c r="C22" i="3"/>
  <c r="C23" i="3"/>
  <c r="C24" i="3"/>
  <c r="C13" i="3"/>
  <c r="B13" i="3"/>
  <c r="B4" i="4"/>
  <c r="D4" i="4"/>
  <c r="B5" i="4"/>
  <c r="D5" i="4"/>
  <c r="B6" i="4"/>
  <c r="D6" i="4"/>
  <c r="B7" i="4"/>
  <c r="D7" i="4"/>
  <c r="B8" i="4"/>
  <c r="D8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C16" i="4"/>
  <c r="C25" i="3" l="1"/>
  <c r="B25" i="3"/>
  <c r="G58" i="3" l="1"/>
  <c r="G55" i="3"/>
  <c r="C48" i="3" l="1"/>
  <c r="C43" i="3" l="1"/>
  <c r="C50" i="3" s="1"/>
  <c r="D17" i="3" l="1"/>
  <c r="D14" i="3"/>
  <c r="D15" i="3"/>
  <c r="F15" i="3"/>
  <c r="D16" i="3"/>
  <c r="D18" i="3"/>
  <c r="D13" i="3"/>
  <c r="F24" i="3"/>
  <c r="D23" i="3"/>
  <c r="F23" i="3" s="1"/>
  <c r="D24" i="3"/>
  <c r="D22" i="3"/>
  <c r="F16" i="3" s="1"/>
  <c r="F13" i="3" l="1"/>
  <c r="F14" i="3"/>
  <c r="F18" i="3"/>
  <c r="D21" i="3"/>
  <c r="F21" i="3" s="1"/>
  <c r="F17" i="3"/>
  <c r="D20" i="3"/>
  <c r="F20" i="3"/>
  <c r="F22" i="3"/>
  <c r="F19" i="3"/>
  <c r="E33" i="3"/>
  <c r="F33" i="3" s="1"/>
  <c r="D19" i="3"/>
  <c r="D30" i="3" s="1"/>
  <c r="B6" i="2" l="1"/>
  <c r="D6" i="2" s="1"/>
  <c r="D50" i="3" l="1"/>
  <c r="B13" i="1"/>
  <c r="D13" i="1" s="1"/>
  <c r="B14" i="1"/>
  <c r="D14" i="1" s="1"/>
  <c r="B15" i="1"/>
  <c r="D15" i="1" s="1"/>
  <c r="B12" i="1"/>
  <c r="D12" i="1" s="1"/>
  <c r="B11" i="1"/>
  <c r="D11" i="1" s="1"/>
  <c r="B10" i="1"/>
  <c r="D10" i="1" s="1"/>
  <c r="B9" i="1"/>
  <c r="D9" i="1" s="1"/>
  <c r="B8" i="1"/>
  <c r="D8" i="1" s="1"/>
  <c r="B7" i="1"/>
  <c r="D7" i="1" s="1"/>
  <c r="B5" i="1"/>
  <c r="D5" i="1" s="1"/>
  <c r="B6" i="1"/>
  <c r="D6" i="1" s="1"/>
  <c r="B4" i="1"/>
  <c r="D4" i="1" s="1"/>
  <c r="E58" i="3" l="1"/>
  <c r="H58" i="3" s="1"/>
  <c r="I58" i="3" s="1"/>
  <c r="E55" i="3"/>
  <c r="H55" i="3" s="1"/>
  <c r="I55" i="3" s="1"/>
  <c r="B5" i="2"/>
  <c r="D5" i="2" s="1"/>
  <c r="B7" i="2"/>
  <c r="D7" i="2" s="1"/>
  <c r="B8" i="2"/>
  <c r="D8" i="2" s="1"/>
  <c r="B9" i="2"/>
  <c r="D9" i="2" s="1"/>
  <c r="B10" i="2"/>
  <c r="D10" i="2" s="1"/>
  <c r="B11" i="2"/>
  <c r="D11" i="2" s="1"/>
  <c r="B12" i="2"/>
  <c r="D12" i="2" s="1"/>
  <c r="B13" i="2"/>
  <c r="D13" i="2" s="1"/>
  <c r="B14" i="2"/>
  <c r="D14" i="2" s="1"/>
  <c r="B15" i="2"/>
  <c r="D15" i="2" s="1"/>
  <c r="B4" i="2"/>
  <c r="D4" i="2" s="1"/>
  <c r="I61" i="3" l="1"/>
  <c r="J61" i="3" s="1"/>
  <c r="C16" i="2"/>
  <c r="B16" i="2"/>
  <c r="B16" i="1" l="1"/>
  <c r="C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G12" authorId="0" shapeId="0" xr:uid="{33C887C8-D9F0-4E41-B98F-8BBFACD3D575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restated for decrease in fuel surcharge, effective 2/1/2023</t>
        </r>
      </text>
    </comment>
  </commentList>
</comments>
</file>

<file path=xl/sharedStrings.xml><?xml version="1.0" encoding="utf-8"?>
<sst xmlns="http://schemas.openxmlformats.org/spreadsheetml/2006/main" count="267" uniqueCount="129">
  <si>
    <t>Month</t>
  </si>
  <si>
    <t>Tons</t>
  </si>
  <si>
    <t>Disposal Cost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</si>
  <si>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</si>
  <si>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</si>
  <si>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</si>
  <si>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</si>
  <si>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</si>
  <si>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</si>
  <si>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</si>
  <si>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</si>
  <si>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</si>
  <si>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</si>
  <si>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</si>
  <si>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</si>
  <si>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</si>
  <si>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Cedar Grove - Tonnage Report - 2020</t>
  </si>
  <si>
    <t>Cedar Grove - Tonnage Report - 2021</t>
  </si>
  <si>
    <t>Cedar Grove - Tonnage Report - 2022</t>
  </si>
  <si>
    <t>Proposed Cost Increase per letter</t>
  </si>
  <si>
    <t>Current Cost Per Ton</t>
  </si>
  <si>
    <t>Revised Cost per ton</t>
  </si>
  <si>
    <t xml:space="preserve">Annual increase in cost </t>
  </si>
  <si>
    <t>Sound Disposal, Inc.</t>
  </si>
  <si>
    <t xml:space="preserve">Cost Calculation </t>
  </si>
  <si>
    <t xml:space="preserve">Customers - EOW </t>
  </si>
  <si>
    <t>Customer Statistics from Rate Case</t>
  </si>
  <si>
    <t>Customers - EOW - Yard Waste Only</t>
  </si>
  <si>
    <t>Annual Pickups</t>
  </si>
  <si>
    <t>Total</t>
  </si>
  <si>
    <t>Total Pickups</t>
  </si>
  <si>
    <t>Total Pickups &amp; Cost Per Pickup</t>
  </si>
  <si>
    <t>Monthly Cost</t>
  </si>
  <si>
    <t>Current Tariff Rate-EOW</t>
  </si>
  <si>
    <t>New Rate - EOW</t>
  </si>
  <si>
    <t>Current Rate - EOW - Yard Waste Only</t>
  </si>
  <si>
    <t>New Rate -- EOW - Yard Waste Only</t>
  </si>
  <si>
    <t>Annual Cost Increase</t>
  </si>
  <si>
    <t>Current Revenue</t>
  </si>
  <si>
    <t>Proposed Revenue</t>
  </si>
  <si>
    <t>Increase</t>
  </si>
  <si>
    <t>Current Rate</t>
  </si>
  <si>
    <t>Proposed Rate</t>
  </si>
  <si>
    <t>Restated using current rate</t>
  </si>
  <si>
    <t>Tonnage</t>
  </si>
  <si>
    <t>Total Increase</t>
  </si>
  <si>
    <t xml:space="preserve">Previous YW Expense </t>
  </si>
  <si>
    <t xml:space="preserve">Yard Waste Tonnage and </t>
  </si>
  <si>
    <t>Restated Exp.</t>
  </si>
  <si>
    <t xml:space="preserve">Check Figure - Immaterial Difference </t>
  </si>
  <si>
    <t>Rate</t>
  </si>
  <si>
    <t>Effective 7/1/2024</t>
  </si>
  <si>
    <t>Test Year Ending 12/31/2023</t>
  </si>
  <si>
    <t xml:space="preserve"> Cost</t>
  </si>
  <si>
    <t>Disposal</t>
  </si>
  <si>
    <t>2023 Cedar Grove - Tonnage Report</t>
  </si>
  <si>
    <t>TG-230840</t>
  </si>
  <si>
    <t>Current</t>
  </si>
  <si>
    <t>Monthly</t>
  </si>
  <si>
    <t>Proposed</t>
  </si>
  <si>
    <t>Cust #</t>
  </si>
  <si>
    <t>Revenue</t>
  </si>
  <si>
    <t>Yardwaste with Garbage</t>
  </si>
  <si>
    <t>Yardwaste Only - EOWY</t>
  </si>
  <si>
    <t>YW Customer Counts *</t>
  </si>
  <si>
    <t>* from GRC price-out</t>
  </si>
  <si>
    <t>breakdown</t>
  </si>
  <si>
    <t xml:space="preserve">Fuel </t>
  </si>
  <si>
    <t xml:space="preserve">Disposal Cost </t>
  </si>
  <si>
    <t>Calculated</t>
  </si>
  <si>
    <t>Restated</t>
  </si>
  <si>
    <t xml:space="preserve"> @ new rate </t>
  </si>
  <si>
    <t>Surcharge</t>
  </si>
  <si>
    <t>to EOP</t>
  </si>
  <si>
    <t>Eff Rate</t>
  </si>
  <si>
    <t>(check)</t>
  </si>
  <si>
    <t>check</t>
  </si>
  <si>
    <t>net of FSC</t>
  </si>
  <si>
    <t>PF Disposal</t>
  </si>
  <si>
    <t>Cost</t>
  </si>
  <si>
    <t>w/ FSC</t>
  </si>
  <si>
    <t>Effective</t>
  </si>
  <si>
    <t>2023 Cedar Grove Invoice Detail</t>
  </si>
  <si>
    <t xml:space="preserve">Restated for </t>
  </si>
  <si>
    <t>2022 Cedar Grove Invoices</t>
  </si>
  <si>
    <t>decreased Fuel Surcharge</t>
  </si>
  <si>
    <t>UTC Rate</t>
  </si>
  <si>
    <t>Fuel Surcharge</t>
  </si>
  <si>
    <t>Quantity</t>
  </si>
  <si>
    <t>Amount</t>
  </si>
  <si>
    <t>Difference</t>
  </si>
  <si>
    <t>Janaury - March</t>
  </si>
  <si>
    <t>April - December</t>
  </si>
  <si>
    <t>Janauary</t>
  </si>
  <si>
    <t>September - December</t>
  </si>
  <si>
    <t>February</t>
  </si>
  <si>
    <t>March</t>
  </si>
  <si>
    <t>April</t>
  </si>
  <si>
    <t>June</t>
  </si>
  <si>
    <t xml:space="preserve">invoice shows </t>
  </si>
  <si>
    <t>for 0.60 tons</t>
  </si>
  <si>
    <t xml:space="preserve">invoice total is </t>
  </si>
  <si>
    <t>July</t>
  </si>
  <si>
    <t>August</t>
  </si>
  <si>
    <t>for 0.45 tons</t>
  </si>
  <si>
    <t>Septemeber</t>
  </si>
  <si>
    <t>October</t>
  </si>
  <si>
    <t>Sales Tax</t>
  </si>
  <si>
    <t>November</t>
  </si>
  <si>
    <t>December</t>
  </si>
  <si>
    <t>Totals</t>
  </si>
  <si>
    <t>Net of FSCn</t>
  </si>
  <si>
    <t>Yard Waste Disposal Fee Increase</t>
  </si>
  <si>
    <t>Increase to YW Disposal Expenses</t>
  </si>
  <si>
    <t>Increase to effective rate</t>
  </si>
  <si>
    <t>Annual YW Expense Increase</t>
  </si>
  <si>
    <t>Annual YW Pickups</t>
  </si>
  <si>
    <t>Increase to Monthly YW Rates</t>
  </si>
  <si>
    <t>Monthly Increased Revenue</t>
  </si>
  <si>
    <t>Annual Increased Revenue</t>
  </si>
  <si>
    <t>EOW YW Pick-ups (Annually)</t>
  </si>
  <si>
    <t>Increase to YW Disp Expenses</t>
  </si>
  <si>
    <t>Pro Forma @</t>
  </si>
  <si>
    <t>new effective rate</t>
  </si>
  <si>
    <t>Revised Cedar</t>
  </si>
  <si>
    <t>Grove Eff Rate</t>
  </si>
  <si>
    <t>FSC</t>
  </si>
  <si>
    <t>TG-230840 Revenue</t>
  </si>
  <si>
    <t>Percentage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</si>
</sst>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rgb="FF0000FF"/>
      <name val="Aptos Narrow"/>
      <family val="2"/>
    </font>
    <font>
      <sz val="11"/>
      <color theme="5" tint="0.39997558519241921"/>
      <name val="Aptos Narrow"/>
      <family val="2"/>
    </font>
    <font>
      <b/>
      <sz val="11"/>
      <color theme="5" tint="0.39997558519241921"/>
      <name val="Aptos Narrow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Aptos Narrow"/>
      <family val="2"/>
    </font>
    <font>
      <sz val="11"/>
      <color rgb="FF0000FF"/>
      <name val="Aptos Narrow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 tint="0.499984740745262"/>
      <name val="Aptos Narrow"/>
      <family val="2"/>
    </font>
    <font>
      <b/>
      <sz val="11"/>
      <color theme="1" tint="0.499984740745262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14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/>
    <xf numFmtId="44" fontId="0" fillId="0" borderId="0" xfId="0" applyNumberFormat="1"/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10" fontId="0" fillId="0" borderId="0" xfId="2" applyNumberFormat="1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4" fontId="5" fillId="0" borderId="0" xfId="1" applyFont="1" applyAlignment="1">
      <alignment horizontal="center" wrapText="1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4" fontId="0" fillId="0" borderId="0" xfId="0" applyNumberFormat="1"/>
    <xf numFmtId="2" fontId="0" fillId="0" borderId="0" xfId="0" applyNumberFormat="1"/>
    <xf numFmtId="0" fontId="6" fillId="0" borderId="0" xfId="0" applyFont="1"/>
    <xf numFmtId="165" fontId="0" fillId="0" borderId="0" xfId="3" applyNumberFormat="1" applyFont="1"/>
    <xf numFmtId="165" fontId="0" fillId="0" borderId="0" xfId="3" applyNumberFormat="1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4" fontId="6" fillId="3" borderId="0" xfId="0" applyNumberFormat="1" applyFont="1" applyFill="1"/>
    <xf numFmtId="0" fontId="0" fillId="3" borderId="0" xfId="0" applyFill="1"/>
    <xf numFmtId="44" fontId="0" fillId="3" borderId="0" xfId="0" applyNumberFormat="1" applyFill="1"/>
    <xf numFmtId="44" fontId="0" fillId="3" borderId="6" xfId="0" applyNumberFormat="1" applyFill="1" applyBorder="1"/>
    <xf numFmtId="1" fontId="2" fillId="3" borderId="1" xfId="0" applyNumberFormat="1" applyFont="1" applyFill="1" applyBorder="1" applyAlignment="1">
      <alignment horizontal="center"/>
    </xf>
    <xf numFmtId="164" fontId="4" fillId="3" borderId="1" xfId="1" applyNumberFormat="1" applyFont="1" applyFill="1" applyBorder="1"/>
    <xf numFmtId="14" fontId="0" fillId="0" borderId="0" xfId="0" applyNumberFormat="1"/>
    <xf numFmtId="44" fontId="0" fillId="3" borderId="0" xfId="1" applyFont="1" applyFill="1"/>
    <xf numFmtId="0" fontId="6" fillId="4" borderId="0" xfId="0" applyFont="1" applyFill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2" fillId="0" borderId="6" xfId="0" applyFont="1" applyBorder="1" applyAlignment="1">
      <alignment horizontal="center" wrapText="1"/>
    </xf>
    <xf numFmtId="0" fontId="3" fillId="3" borderId="0" xfId="0" applyFont="1" applyFill="1"/>
    <xf numFmtId="0" fontId="6" fillId="0" borderId="7" xfId="0" applyFont="1" applyBorder="1"/>
    <xf numFmtId="0" fontId="0" fillId="0" borderId="7" xfId="0" applyBorder="1"/>
    <xf numFmtId="4" fontId="0" fillId="0" borderId="7" xfId="0" applyNumberFormat="1" applyBorder="1"/>
    <xf numFmtId="0" fontId="7" fillId="3" borderId="0" xfId="0" applyFont="1" applyFill="1"/>
    <xf numFmtId="164" fontId="6" fillId="3" borderId="0" xfId="1" applyNumberFormat="1" applyFont="1" applyFill="1"/>
    <xf numFmtId="44" fontId="0" fillId="0" borderId="0" xfId="1" applyFont="1"/>
    <xf numFmtId="165" fontId="6" fillId="0" borderId="0" xfId="3" applyNumberFormat="1" applyFont="1"/>
    <xf numFmtId="164" fontId="6" fillId="0" borderId="0" xfId="1" applyNumberFormat="1" applyFont="1"/>
    <xf numFmtId="44" fontId="6" fillId="0" borderId="0" xfId="0" applyNumberFormat="1" applyFont="1"/>
    <xf numFmtId="0" fontId="9" fillId="0" borderId="0" xfId="0" applyFont="1"/>
    <xf numFmtId="0" fontId="10" fillId="0" borderId="0" xfId="0" applyFont="1"/>
    <xf numFmtId="44" fontId="10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2" fillId="5" borderId="0" xfId="0" applyFont="1" applyFill="1" applyAlignment="1">
      <alignment horizontal="center"/>
    </xf>
    <xf numFmtId="43" fontId="10" fillId="0" borderId="0" xfId="3" applyFont="1" applyBorder="1"/>
    <xf numFmtId="43" fontId="10" fillId="0" borderId="0" xfId="3" applyFont="1" applyBorder="1" applyAlignment="1">
      <alignment horizontal="center"/>
    </xf>
    <xf numFmtId="0" fontId="10" fillId="5" borderId="0" xfId="0" applyFont="1" applyFill="1"/>
    <xf numFmtId="0" fontId="13" fillId="0" borderId="0" xfId="0" applyFont="1" applyAlignment="1">
      <alignment horizontal="left"/>
    </xf>
    <xf numFmtId="43" fontId="13" fillId="0" borderId="8" xfId="3" applyFont="1" applyFill="1" applyBorder="1"/>
    <xf numFmtId="43" fontId="13" fillId="0" borderId="8" xfId="3" applyFont="1" applyFill="1" applyBorder="1" applyAlignment="1">
      <alignment horizontal="center"/>
    </xf>
    <xf numFmtId="10" fontId="10" fillId="0" borderId="0" xfId="0" applyNumberFormat="1" applyFont="1"/>
    <xf numFmtId="43" fontId="10" fillId="0" borderId="0" xfId="3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7" fillId="0" borderId="0" xfId="4" applyFont="1"/>
    <xf numFmtId="0" fontId="17" fillId="0" borderId="0" xfId="4" applyFont="1" applyAlignment="1">
      <alignment horizontal="center"/>
    </xf>
    <xf numFmtId="0" fontId="17" fillId="0" borderId="6" xfId="4" applyFont="1" applyBorder="1" applyAlignment="1">
      <alignment horizontal="center"/>
    </xf>
    <xf numFmtId="0" fontId="1" fillId="0" borderId="0" xfId="4" applyFont="1"/>
    <xf numFmtId="43" fontId="10" fillId="0" borderId="0" xfId="3" applyFont="1"/>
    <xf numFmtId="165" fontId="10" fillId="0" borderId="0" xfId="3" applyNumberFormat="1" applyFont="1"/>
    <xf numFmtId="165" fontId="10" fillId="0" borderId="8" xfId="3" applyNumberFormat="1" applyFont="1" applyBorder="1"/>
    <xf numFmtId="0" fontId="18" fillId="0" borderId="0" xfId="0" applyFont="1" applyAlignment="1">
      <alignment horizontal="left"/>
    </xf>
    <xf numFmtId="165" fontId="19" fillId="0" borderId="0" xfId="3" applyNumberFormat="1" applyFont="1"/>
    <xf numFmtId="165" fontId="19" fillId="0" borderId="8" xfId="3" applyNumberFormat="1" applyFont="1" applyBorder="1"/>
    <xf numFmtId="0" fontId="20" fillId="0" borderId="0" xfId="4" applyFont="1" applyAlignment="1">
      <alignment horizontal="center"/>
    </xf>
    <xf numFmtId="0" fontId="20" fillId="0" borderId="6" xfId="4" applyFont="1" applyBorder="1" applyAlignment="1">
      <alignment horizontal="center"/>
    </xf>
    <xf numFmtId="0" fontId="20" fillId="0" borderId="0" xfId="4" applyFont="1"/>
    <xf numFmtId="43" fontId="10" fillId="0" borderId="0" xfId="3" applyFont="1" applyFill="1" applyBorder="1"/>
    <xf numFmtId="43" fontId="10" fillId="0" borderId="0" xfId="0" applyNumberFormat="1" applyFont="1"/>
    <xf numFmtId="0" fontId="12" fillId="5" borderId="8" xfId="0" applyFont="1" applyFill="1" applyBorder="1" applyAlignment="1">
      <alignment horizontal="center"/>
    </xf>
    <xf numFmtId="43" fontId="10" fillId="2" borderId="0" xfId="3" applyFont="1" applyFill="1" applyBorder="1"/>
    <xf numFmtId="43" fontId="13" fillId="0" borderId="0" xfId="3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43" fontId="19" fillId="0" borderId="0" xfId="3" applyFont="1" applyBorder="1"/>
    <xf numFmtId="43" fontId="0" fillId="0" borderId="0" xfId="3" applyFont="1"/>
    <xf numFmtId="43" fontId="6" fillId="0" borderId="0" xfId="3" applyFont="1"/>
    <xf numFmtId="43" fontId="6" fillId="0" borderId="0" xfId="3" applyFont="1" applyAlignment="1"/>
    <xf numFmtId="10" fontId="6" fillId="0" borderId="0" xfId="2" applyNumberFormat="1" applyFont="1"/>
    <xf numFmtId="43" fontId="0" fillId="0" borderId="0" xfId="0" applyNumberFormat="1"/>
    <xf numFmtId="43" fontId="0" fillId="0" borderId="8" xfId="0" applyNumberFormat="1" applyBorder="1"/>
    <xf numFmtId="43" fontId="0" fillId="2" borderId="0" xfId="3" applyFont="1" applyFill="1"/>
    <xf numFmtId="6" fontId="0" fillId="0" borderId="0" xfId="0" applyNumberFormat="1"/>
    <xf numFmtId="14" fontId="6" fillId="0" borderId="0" xfId="0" applyNumberFormat="1" applyFont="1" applyAlignment="1">
      <alignment vertical="center" textRotation="90"/>
    </xf>
    <xf numFmtId="0" fontId="24" fillId="5" borderId="0" xfId="0" applyFont="1" applyFill="1"/>
    <xf numFmtId="0" fontId="25" fillId="5" borderId="0" xfId="0" applyFont="1" applyFill="1" applyAlignment="1">
      <alignment horizontal="center"/>
    </xf>
    <xf numFmtId="43" fontId="24" fillId="0" borderId="0" xfId="3" applyFont="1" applyBorder="1"/>
    <xf numFmtId="0" fontId="25" fillId="5" borderId="8" xfId="0" applyFont="1" applyFill="1" applyBorder="1" applyAlignment="1">
      <alignment horizontal="center"/>
    </xf>
    <xf numFmtId="43" fontId="19" fillId="0" borderId="0" xfId="0" applyNumberFormat="1" applyFont="1"/>
    <xf numFmtId="44" fontId="19" fillId="0" borderId="0" xfId="0" applyNumberFormat="1" applyFont="1"/>
    <xf numFmtId="43" fontId="12" fillId="0" borderId="0" xfId="0" applyNumberFormat="1" applyFont="1"/>
    <xf numFmtId="43" fontId="13" fillId="0" borderId="0" xfId="0" applyNumberFormat="1" applyFont="1"/>
    <xf numFmtId="0" fontId="26" fillId="0" borderId="0" xfId="0" applyFont="1"/>
    <xf numFmtId="43" fontId="27" fillId="0" borderId="0" xfId="0" applyNumberFormat="1" applyFont="1"/>
    <xf numFmtId="165" fontId="26" fillId="0" borderId="0" xfId="0" applyNumberFormat="1" applyFont="1"/>
    <xf numFmtId="43" fontId="1" fillId="0" borderId="0" xfId="3" applyFont="1"/>
    <xf numFmtId="43" fontId="19" fillId="0" borderId="0" xfId="3" applyFont="1"/>
    <xf numFmtId="0" fontId="19" fillId="0" borderId="0" xfId="0" applyFont="1"/>
    <xf numFmtId="0" fontId="27" fillId="0" borderId="0" xfId="0" applyFont="1" applyAlignment="1">
      <alignment horizontal="left"/>
    </xf>
    <xf numFmtId="43" fontId="27" fillId="0" borderId="8" xfId="3" applyFont="1" applyFill="1" applyBorder="1" applyAlignment="1">
      <alignment horizontal="center"/>
    </xf>
    <xf numFmtId="43" fontId="27" fillId="0" borderId="8" xfId="3" applyFont="1" applyFill="1" applyBorder="1"/>
    <xf numFmtId="166" fontId="10" fillId="0" borderId="0" xfId="2" applyNumberFormat="1" applyFont="1"/>
    <xf numFmtId="43" fontId="10" fillId="5" borderId="0" xfId="3" applyFont="1" applyFill="1"/>
    <xf numFmtId="2" fontId="12" fillId="0" borderId="0" xfId="3" applyNumberFormat="1" applyFont="1" applyFill="1" applyBorder="1" applyAlignment="1">
      <alignment horizontal="center"/>
    </xf>
    <xf numFmtId="43" fontId="6" fillId="0" borderId="0" xfId="0" applyNumberFormat="1" applyFont="1"/>
    <xf numFmtId="0" fontId="27" fillId="0" borderId="0" xfId="0" applyFont="1" applyAlignment="1">
      <alignment horizontal="center"/>
    </xf>
    <xf numFmtId="43" fontId="26" fillId="0" borderId="0" xfId="0" applyNumberFormat="1" applyFont="1"/>
    <xf numFmtId="0" fontId="11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4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4" applyFont="1" applyAlignment="1">
      <alignment horizontal="center"/>
    </xf>
    <xf numFmtId="0" fontId="28" fillId="0" borderId="0" xfId="4" applyFont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14" fontId="6" fillId="0" borderId="0" xfId="0" applyNumberFormat="1" applyFont="1" applyAlignment="1">
      <alignment horizontal="center" vertical="center" textRotation="90"/>
    </xf>
    <xf numFmtId="43" fontId="6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 3" xfId="4" xr:uid="{8068A252-F493-45C0-B693-C11E51534F5E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26</xdr:row>
      <xdr:rowOff>57151</xdr:rowOff>
    </xdr:from>
    <xdr:to>
      <xdr:col>11</xdr:col>
      <xdr:colOff>561975</xdr:colOff>
      <xdr:row>43</xdr:row>
      <xdr:rowOff>161567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6EC9D44D-C680-C2EA-7860-3B202D4A0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5019676"/>
          <a:ext cx="6486525" cy="3342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8599C-AB25-4B30-B5B0-E9B4BC048CB0}">
  <sheetPr>
    <pageSetUpPr fitToPage="1"/>
  </sheetPr>
  <dimension ref="B1:L28"/>
  <sheetViews>
    <sheetView tabSelected="1" workbookViewId="0">
      <selection activeCell="B1" sqref="B1:I1"/>
    </sheetView>
  </sheetViews>
  <sheetFormatPr defaultRowHeight="15" x14ac:dyDescent="0.25"/>
  <cols>
    <col min="1" max="1" width="2.7109375" customWidth="1"/>
    <col min="2" max="2" width="31.28515625" bestFit="1" customWidth="1"/>
    <col min="3" max="3" width="13.28515625" bestFit="1" customWidth="1"/>
    <col min="5" max="5" width="10.5703125" bestFit="1" customWidth="1"/>
    <col min="6" max="6" width="2.7109375" customWidth="1"/>
    <col min="8" max="8" width="10.5703125" bestFit="1" customWidth="1"/>
    <col min="9" max="9" width="25.28515625" bestFit="1" customWidth="1"/>
    <col min="10" max="10" width="20.42578125" bestFit="1" customWidth="1"/>
  </cols>
  <sheetData>
    <row r="1" spans="2:12" ht="15.75" x14ac:dyDescent="0.25">
      <c r="B1" s="126" t="s">
        <v>23</v>
      </c>
      <c r="C1" s="126"/>
      <c r="D1" s="126"/>
      <c r="E1" s="126"/>
      <c r="F1" s="126"/>
      <c r="G1" s="126"/>
      <c r="H1" s="126"/>
      <c r="I1" s="126"/>
    </row>
    <row r="2" spans="2:12" x14ac:dyDescent="0.25">
      <c r="B2" s="127" t="s">
        <v>112</v>
      </c>
      <c r="C2" s="127"/>
      <c r="D2" s="127"/>
      <c r="E2" s="127"/>
      <c r="F2" s="127"/>
      <c r="G2" s="127"/>
      <c r="H2" s="127"/>
      <c r="I2" s="127"/>
    </row>
    <row r="3" spans="2:12" x14ac:dyDescent="0.25">
      <c r="B3" s="127" t="s">
        <v>52</v>
      </c>
      <c r="C3" s="127"/>
      <c r="D3" s="127"/>
      <c r="E3" s="127"/>
      <c r="F3" s="127"/>
      <c r="G3" s="127"/>
      <c r="H3" s="127"/>
      <c r="I3" s="127"/>
    </row>
    <row r="4" spans="2:12" x14ac:dyDescent="0.25">
      <c r="B4" s="127" t="s">
        <v>51</v>
      </c>
      <c r="C4" s="127"/>
      <c r="D4" s="127"/>
      <c r="E4" s="127"/>
      <c r="F4" s="127"/>
      <c r="G4" s="127"/>
      <c r="H4" s="127"/>
      <c r="I4" s="127"/>
    </row>
    <row r="8" spans="2:12" x14ac:dyDescent="0.25">
      <c r="B8" s="24" t="s">
        <v>115</v>
      </c>
      <c r="C8" s="120">
        <f>'2023 - Calcs'!N29</f>
        <v>3810.7487235066947</v>
      </c>
    </row>
    <row r="9" spans="2:12" x14ac:dyDescent="0.25">
      <c r="B9" t="s">
        <v>120</v>
      </c>
      <c r="C9" s="95">
        <f>12*2.167</f>
        <v>26.003999999999998</v>
      </c>
    </row>
    <row r="10" spans="2:12" x14ac:dyDescent="0.25">
      <c r="B10" t="s">
        <v>116</v>
      </c>
      <c r="C10" s="95">
        <f>D19*C9</f>
        <v>35443.451999999997</v>
      </c>
    </row>
    <row r="11" spans="2:12" x14ac:dyDescent="0.25">
      <c r="B11" s="24" t="s">
        <v>117</v>
      </c>
      <c r="C11" s="120">
        <f>C8/C10*2.167</f>
        <v>0.2329878163063521</v>
      </c>
    </row>
    <row r="12" spans="2:12" x14ac:dyDescent="0.25">
      <c r="C12" s="95"/>
    </row>
    <row r="13" spans="2:12" x14ac:dyDescent="0.25">
      <c r="C13" s="131" t="s">
        <v>57</v>
      </c>
      <c r="D13" s="131"/>
      <c r="E13" s="131"/>
      <c r="G13" s="129" t="s">
        <v>59</v>
      </c>
      <c r="H13" s="129"/>
    </row>
    <row r="14" spans="2:12" x14ac:dyDescent="0.25">
      <c r="B14" s="71"/>
      <c r="D14" s="128" t="s">
        <v>58</v>
      </c>
      <c r="E14" s="128"/>
      <c r="F14" s="72"/>
      <c r="G14" s="130" t="s">
        <v>58</v>
      </c>
      <c r="H14" s="130"/>
      <c r="I14" s="52"/>
      <c r="J14" s="108"/>
      <c r="K14" s="108"/>
      <c r="L14" s="52"/>
    </row>
    <row r="15" spans="2:12" x14ac:dyDescent="0.25">
      <c r="B15" s="71"/>
      <c r="C15" s="73" t="s">
        <v>50</v>
      </c>
      <c r="D15" s="73" t="s">
        <v>60</v>
      </c>
      <c r="E15" s="73" t="s">
        <v>61</v>
      </c>
      <c r="F15" s="72"/>
      <c r="G15" s="82" t="s">
        <v>50</v>
      </c>
      <c r="H15" s="82" t="s">
        <v>61</v>
      </c>
      <c r="I15" s="69"/>
      <c r="J15" s="108"/>
      <c r="K15" s="108"/>
    </row>
    <row r="16" spans="2:12" x14ac:dyDescent="0.25">
      <c r="B16" s="74"/>
      <c r="C16" s="71"/>
      <c r="D16" s="71"/>
      <c r="E16" s="74"/>
      <c r="F16" s="74"/>
      <c r="G16" s="83"/>
      <c r="H16" s="83"/>
      <c r="I16" s="69"/>
      <c r="J16" s="108"/>
      <c r="K16" s="108"/>
    </row>
    <row r="17" spans="2:12" x14ac:dyDescent="0.25">
      <c r="B17" s="52" t="s">
        <v>62</v>
      </c>
      <c r="C17" s="75">
        <f>'2023 - Data'!$K$14</f>
        <v>14.290157023167914</v>
      </c>
      <c r="D17" s="76">
        <v>1346</v>
      </c>
      <c r="E17" s="76">
        <f>C17*D17</f>
        <v>19234.551353184012</v>
      </c>
      <c r="F17" s="52"/>
      <c r="G17" s="112">
        <f>$C$11+C17</f>
        <v>14.523144839474266</v>
      </c>
      <c r="H17" s="79">
        <f>D17*G17</f>
        <v>19548.152953932364</v>
      </c>
      <c r="I17" s="70"/>
      <c r="J17" s="109"/>
      <c r="K17" s="109"/>
    </row>
    <row r="18" spans="2:12" x14ac:dyDescent="0.25">
      <c r="B18" s="52" t="s">
        <v>63</v>
      </c>
      <c r="C18" s="75">
        <f>'2023 - Data'!$K$15</f>
        <v>15.899628633285801</v>
      </c>
      <c r="D18" s="76">
        <v>17</v>
      </c>
      <c r="E18" s="76">
        <f>C18*D18</f>
        <v>270.29368676585864</v>
      </c>
      <c r="F18" s="52"/>
      <c r="G18" s="112">
        <f>$C$11+C18</f>
        <v>16.132616449592152</v>
      </c>
      <c r="H18" s="79">
        <f>D18*G18</f>
        <v>274.25447964306659</v>
      </c>
      <c r="I18" s="52"/>
      <c r="J18" s="108"/>
      <c r="K18" s="108"/>
    </row>
    <row r="19" spans="2:12" x14ac:dyDescent="0.25">
      <c r="B19" s="52"/>
      <c r="C19" s="52"/>
      <c r="D19" s="77">
        <f>SUM(D17:D18)</f>
        <v>1363</v>
      </c>
      <c r="E19" s="77">
        <f>SUM(E17:E18)</f>
        <v>19504.845039949869</v>
      </c>
      <c r="F19" s="52"/>
      <c r="G19" s="113"/>
      <c r="H19" s="80">
        <f>SUM(H17:H18)</f>
        <v>19822.40743357543</v>
      </c>
      <c r="I19" s="52"/>
      <c r="J19" s="108"/>
      <c r="K19" s="110"/>
    </row>
    <row r="20" spans="2:12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2:12" x14ac:dyDescent="0.25">
      <c r="B21" s="52"/>
      <c r="H21" s="125" t="s">
        <v>76</v>
      </c>
      <c r="I21" s="125"/>
    </row>
    <row r="22" spans="2:12" x14ac:dyDescent="0.25">
      <c r="B22" s="54"/>
      <c r="C22" s="54"/>
      <c r="D22" s="54"/>
      <c r="E22" s="54"/>
      <c r="F22" s="54"/>
      <c r="G22" s="54"/>
      <c r="H22" s="75">
        <f>H19-E19</f>
        <v>317.56239362556153</v>
      </c>
      <c r="I22" s="52" t="s">
        <v>118</v>
      </c>
      <c r="J22" s="52"/>
      <c r="K22" s="54"/>
      <c r="L22" s="54"/>
    </row>
    <row r="23" spans="2:12" x14ac:dyDescent="0.25">
      <c r="H23" s="111">
        <f>H22*12</f>
        <v>3810.7487235067383</v>
      </c>
      <c r="I23" t="s">
        <v>119</v>
      </c>
    </row>
    <row r="27" spans="2:12" x14ac:dyDescent="0.25">
      <c r="B27" t="s">
        <v>127</v>
      </c>
      <c r="C27" s="91">
        <v>2095699.1631556002</v>
      </c>
    </row>
    <row r="28" spans="2:12" x14ac:dyDescent="0.25">
      <c r="B28" t="s">
        <v>128</v>
      </c>
      <c r="C28" s="15">
        <f>C8/C27</f>
        <v>1.8183662953649596E-3</v>
      </c>
    </row>
  </sheetData>
  <mergeCells count="9">
    <mergeCell ref="H21:I21"/>
    <mergeCell ref="B1:I1"/>
    <mergeCell ref="B2:I2"/>
    <mergeCell ref="B3:I3"/>
    <mergeCell ref="B4:I4"/>
    <mergeCell ref="D14:E14"/>
    <mergeCell ref="G13:H13"/>
    <mergeCell ref="G14:H14"/>
    <mergeCell ref="C13:E13"/>
  </mergeCells>
  <pageMargins left="0.7" right="0.7" top="0.75" bottom="0.75" header="0.3" footer="0.3"/>
  <pageSetup scale="78" orientation="portrait" horizontalDpi="0" verticalDpi="0" r:id="rId1"/>
  <headerFooter scaleWithDoc="0">
    <oddFooter>&amp;L&amp;F&amp;R&amp;P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538C-5427-42E0-A9FF-4CCE3395827E}">
  <sheetPr>
    <pageSetUpPr fitToPage="1"/>
  </sheetPr>
  <dimension ref="B1:V34"/>
  <sheetViews>
    <sheetView workbookViewId="0">
      <selection activeCell="B1" sqref="B1:S1"/>
    </sheetView>
  </sheetViews>
  <sheetFormatPr defaultRowHeight="15" x14ac:dyDescent="0.25"/>
  <cols>
    <col min="1" max="1" width="2.7109375" style="52" customWidth="1"/>
    <col min="2" max="2" width="6.7109375" style="52" bestFit="1" customWidth="1"/>
    <col min="3" max="3" width="8" style="52" bestFit="1" customWidth="1"/>
    <col min="4" max="4" width="10.5703125" style="52" bestFit="1" customWidth="1"/>
    <col min="5" max="5" width="9.140625" style="52" bestFit="1" customWidth="1"/>
    <col min="6" max="6" width="2.7109375" style="52" customWidth="1"/>
    <col min="7" max="7" width="10" style="52" bestFit="1" customWidth="1"/>
    <col min="8" max="8" width="14.140625" style="52" bestFit="1" customWidth="1"/>
    <col min="9" max="9" width="10.7109375" style="52" bestFit="1" customWidth="1"/>
    <col min="10" max="10" width="2.7109375" style="52" customWidth="1"/>
    <col min="11" max="11" width="10.5703125" style="52" bestFit="1" customWidth="1"/>
    <col min="12" max="12" width="5.7109375" style="52" customWidth="1"/>
    <col min="13" max="13" width="17.5703125" style="52" bestFit="1" customWidth="1"/>
    <col min="14" max="14" width="9.5703125" style="52" bestFit="1" customWidth="1"/>
    <col min="15" max="15" width="10" style="52" bestFit="1" customWidth="1"/>
    <col min="16" max="16" width="13.7109375" style="52" bestFit="1" customWidth="1"/>
    <col min="17" max="17" width="7.7109375" style="52" bestFit="1" customWidth="1"/>
    <col min="18" max="18" width="11.42578125" style="52" bestFit="1" customWidth="1"/>
    <col min="19" max="19" width="6.140625" style="52" bestFit="1" customWidth="1"/>
    <col min="20" max="20" width="2.7109375" style="52" customWidth="1"/>
    <col min="21" max="21" width="11.5703125" style="52" bestFit="1" customWidth="1"/>
    <col min="22" max="22" width="9.140625" style="52"/>
    <col min="23" max="23" width="13.28515625" style="52" bestFit="1" customWidth="1"/>
    <col min="24" max="24" width="9.5703125" style="52" bestFit="1" customWidth="1"/>
    <col min="25" max="25" width="9.5703125" style="52" customWidth="1"/>
    <col min="26" max="16384" width="9.140625" style="52"/>
  </cols>
  <sheetData>
    <row r="1" spans="2:22" ht="15.75" x14ac:dyDescent="0.25">
      <c r="B1" s="126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2:22" x14ac:dyDescent="0.25">
      <c r="B2" s="127" t="s">
        <v>112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2:22" x14ac:dyDescent="0.25">
      <c r="B3" s="127" t="s">
        <v>52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2:22" x14ac:dyDescent="0.25">
      <c r="B4" s="127" t="s">
        <v>51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6" spans="2:22" x14ac:dyDescent="0.25">
      <c r="B6" s="135" t="s">
        <v>55</v>
      </c>
      <c r="C6" s="135"/>
      <c r="D6" s="135"/>
      <c r="E6" s="135"/>
      <c r="M6" s="56" t="s">
        <v>124</v>
      </c>
    </row>
    <row r="7" spans="2:22" x14ac:dyDescent="0.25">
      <c r="M7" s="56" t="s">
        <v>125</v>
      </c>
      <c r="R7" s="54"/>
      <c r="S7" s="54"/>
      <c r="T7" s="54"/>
    </row>
    <row r="8" spans="2:22" x14ac:dyDescent="0.25">
      <c r="F8" s="55"/>
      <c r="G8" s="55"/>
      <c r="H8" s="55"/>
      <c r="I8" s="55"/>
      <c r="J8" s="55"/>
      <c r="K8" s="55"/>
      <c r="L8" s="55"/>
      <c r="M8" s="119">
        <f>'2023 - Data'!P38</f>
        <v>85.248239999999996</v>
      </c>
      <c r="N8" s="55"/>
      <c r="O8" s="134" t="s">
        <v>76</v>
      </c>
      <c r="P8" s="134"/>
      <c r="Q8" s="134"/>
      <c r="R8" s="134"/>
      <c r="S8" s="54"/>
      <c r="T8" s="55"/>
      <c r="V8" s="54"/>
    </row>
    <row r="9" spans="2:22" x14ac:dyDescent="0.25">
      <c r="G9" s="134" t="s">
        <v>66</v>
      </c>
      <c r="H9" s="134"/>
      <c r="I9" s="134"/>
      <c r="J9" s="55"/>
      <c r="K9" s="55"/>
      <c r="L9" s="55"/>
      <c r="N9" s="55"/>
      <c r="O9" s="63"/>
      <c r="P9" s="60" t="s">
        <v>2</v>
      </c>
      <c r="Q9" s="100"/>
      <c r="R9" s="89" t="s">
        <v>78</v>
      </c>
      <c r="S9" s="121"/>
    </row>
    <row r="10" spans="2:22" x14ac:dyDescent="0.25">
      <c r="B10" s="63"/>
      <c r="C10" s="63"/>
      <c r="D10" s="60" t="s">
        <v>54</v>
      </c>
      <c r="E10" s="60" t="s">
        <v>81</v>
      </c>
      <c r="G10" s="86" t="s">
        <v>67</v>
      </c>
      <c r="H10" s="86" t="s">
        <v>68</v>
      </c>
      <c r="I10" s="103" t="s">
        <v>69</v>
      </c>
      <c r="J10" s="55"/>
      <c r="K10" s="89" t="s">
        <v>70</v>
      </c>
      <c r="L10" s="55"/>
      <c r="M10" s="89" t="s">
        <v>122</v>
      </c>
      <c r="N10" s="55"/>
      <c r="O10" s="60" t="s">
        <v>67</v>
      </c>
      <c r="P10" s="60" t="s">
        <v>71</v>
      </c>
      <c r="Q10" s="101" t="s">
        <v>50</v>
      </c>
      <c r="R10" s="89" t="s">
        <v>79</v>
      </c>
      <c r="S10" s="121"/>
    </row>
    <row r="11" spans="2:22" x14ac:dyDescent="0.25">
      <c r="B11" s="60" t="s">
        <v>0</v>
      </c>
      <c r="C11" s="60" t="s">
        <v>1</v>
      </c>
      <c r="D11" s="60" t="s">
        <v>53</v>
      </c>
      <c r="E11" s="60" t="s">
        <v>50</v>
      </c>
      <c r="F11" s="55"/>
      <c r="G11" s="60" t="s">
        <v>72</v>
      </c>
      <c r="H11" s="60" t="s">
        <v>111</v>
      </c>
      <c r="I11" s="101" t="s">
        <v>50</v>
      </c>
      <c r="J11" s="55"/>
      <c r="K11" s="89" t="s">
        <v>73</v>
      </c>
      <c r="L11" s="55"/>
      <c r="M11" s="89" t="s">
        <v>123</v>
      </c>
      <c r="N11" s="55"/>
      <c r="O11" s="60" t="s">
        <v>72</v>
      </c>
      <c r="P11" s="60" t="s">
        <v>77</v>
      </c>
      <c r="Q11" s="101" t="s">
        <v>75</v>
      </c>
      <c r="R11" s="89" t="s">
        <v>80</v>
      </c>
      <c r="S11" s="121"/>
    </row>
    <row r="12" spans="2:22" x14ac:dyDescent="0.25">
      <c r="B12" s="59" t="s">
        <v>3</v>
      </c>
      <c r="C12" s="68">
        <v>40.5</v>
      </c>
      <c r="D12" s="62">
        <v>3035.69</v>
      </c>
      <c r="E12" s="61">
        <f>D12/C12</f>
        <v>74.955308641975307</v>
      </c>
      <c r="F12" s="84"/>
      <c r="G12" s="87">
        <v>155.16</v>
      </c>
      <c r="H12" s="61">
        <f t="shared" ref="H12:H23" si="0">D12-G12</f>
        <v>2880.53</v>
      </c>
      <c r="I12" s="102">
        <f t="shared" ref="I12:I13" si="1">H12/C12</f>
        <v>71.124197530864208</v>
      </c>
      <c r="J12" s="84"/>
      <c r="K12" s="90">
        <f t="shared" ref="K12:K23" si="2">($I$23*C12)+G12</f>
        <v>3258.2621782935153</v>
      </c>
      <c r="L12" s="84"/>
      <c r="M12" s="90">
        <f t="shared" ref="M12:M23" si="3">$M$8*C12</f>
        <v>3452.5537199999999</v>
      </c>
      <c r="N12" s="84"/>
      <c r="O12" s="84">
        <f>P12*'2023 - Data'!$P$35</f>
        <v>178.12871999999999</v>
      </c>
      <c r="P12" s="61">
        <f>'2023 - Data'!$N$38*'2023 - Calcs'!C12</f>
        <v>3274.4249999999997</v>
      </c>
      <c r="Q12" s="102">
        <f t="shared" ref="Q12:Q23" si="4">P12/C12</f>
        <v>80.849999999999994</v>
      </c>
      <c r="R12" s="104">
        <f>O12+P12</f>
        <v>3452.5537199999999</v>
      </c>
      <c r="S12" s="122"/>
    </row>
    <row r="13" spans="2:22" x14ac:dyDescent="0.25">
      <c r="B13" s="59" t="s">
        <v>4</v>
      </c>
      <c r="C13" s="68">
        <v>44.23</v>
      </c>
      <c r="D13" s="62">
        <v>3284.1</v>
      </c>
      <c r="E13" s="61">
        <f>D13/C13</f>
        <v>74.250508704499211</v>
      </c>
      <c r="F13" s="84"/>
      <c r="G13" s="61">
        <f>'2023 CG Inv Detail'!H29</f>
        <v>169.42988800000001</v>
      </c>
      <c r="H13" s="61">
        <f t="shared" si="0"/>
        <v>3114.6701119999998</v>
      </c>
      <c r="I13" s="102">
        <f t="shared" si="1"/>
        <v>70.419853312231524</v>
      </c>
      <c r="J13" s="84"/>
      <c r="K13" s="90">
        <f t="shared" si="2"/>
        <v>3558.3239459240044</v>
      </c>
      <c r="L13" s="84"/>
      <c r="M13" s="90">
        <f t="shared" si="3"/>
        <v>3770.5296551999995</v>
      </c>
      <c r="N13" s="84"/>
      <c r="O13" s="84">
        <f>P13*'2023 - Data'!$P$35</f>
        <v>194.53415519999996</v>
      </c>
      <c r="P13" s="61">
        <f>'2023 - Data'!$N$38*'2023 - Calcs'!C13</f>
        <v>3575.9954999999995</v>
      </c>
      <c r="Q13" s="102">
        <f t="shared" si="4"/>
        <v>80.849999999999994</v>
      </c>
      <c r="R13" s="104">
        <f t="shared" ref="R13:R22" si="5">O13+P13</f>
        <v>3770.5296551999995</v>
      </c>
      <c r="S13" s="122"/>
    </row>
    <row r="14" spans="2:22" x14ac:dyDescent="0.25">
      <c r="B14" s="59" t="s">
        <v>5</v>
      </c>
      <c r="C14" s="68">
        <v>45.41</v>
      </c>
      <c r="D14" s="62">
        <v>3371.72</v>
      </c>
      <c r="E14" s="61">
        <f t="shared" ref="E14:E23" si="6">D14/C14</f>
        <v>74.250605593481609</v>
      </c>
      <c r="F14" s="84"/>
      <c r="G14" s="61">
        <f>'2023 CG Inv Detail'!H41</f>
        <v>173.94998400000003</v>
      </c>
      <c r="H14" s="61">
        <f t="shared" si="0"/>
        <v>3197.7700159999999</v>
      </c>
      <c r="I14" s="102">
        <f t="shared" ref="I14:I23" si="7">H14/C14</f>
        <v>70.419951904866778</v>
      </c>
      <c r="J14" s="84"/>
      <c r="K14" s="90">
        <f t="shared" si="2"/>
        <v>3653.2554140323091</v>
      </c>
      <c r="L14" s="84"/>
      <c r="M14" s="90">
        <f t="shared" si="3"/>
        <v>3871.1225783999994</v>
      </c>
      <c r="N14" s="84"/>
      <c r="O14" s="84">
        <f>P14*'2023 - Data'!$P$35</f>
        <v>199.72407839999994</v>
      </c>
      <c r="P14" s="61">
        <f>'2023 - Data'!$N$38*'2023 - Calcs'!C14</f>
        <v>3671.3984999999993</v>
      </c>
      <c r="Q14" s="102">
        <f t="shared" si="4"/>
        <v>80.849999999999994</v>
      </c>
      <c r="R14" s="104">
        <f t="shared" si="5"/>
        <v>3871.1225783999994</v>
      </c>
      <c r="S14" s="122"/>
    </row>
    <row r="15" spans="2:22" x14ac:dyDescent="0.25">
      <c r="B15" s="59" t="s">
        <v>6</v>
      </c>
      <c r="C15" s="68">
        <v>51.14</v>
      </c>
      <c r="D15" s="62">
        <v>4130.72</v>
      </c>
      <c r="E15" s="61">
        <f t="shared" si="6"/>
        <v>80.772780602268284</v>
      </c>
      <c r="F15" s="84"/>
      <c r="G15" s="61">
        <f>'2023 CG Inv Detail'!H55</f>
        <v>213.12940799999998</v>
      </c>
      <c r="H15" s="61">
        <f t="shared" si="0"/>
        <v>3917.5905920000005</v>
      </c>
      <c r="I15" s="102">
        <f t="shared" si="7"/>
        <v>76.605212983965586</v>
      </c>
      <c r="J15" s="84"/>
      <c r="K15" s="90">
        <f t="shared" si="2"/>
        <v>4131.4663314056879</v>
      </c>
      <c r="L15" s="84"/>
      <c r="M15" s="90">
        <f t="shared" si="3"/>
        <v>4359.5949935999997</v>
      </c>
      <c r="N15" s="84"/>
      <c r="O15" s="84">
        <f>P15*'2023 - Data'!$P$35</f>
        <v>224.92599359999997</v>
      </c>
      <c r="P15" s="61">
        <f>'2023 - Data'!$N$38*'2023 - Calcs'!C15</f>
        <v>4134.6689999999999</v>
      </c>
      <c r="Q15" s="102">
        <f t="shared" si="4"/>
        <v>80.849999999999994</v>
      </c>
      <c r="R15" s="104">
        <f t="shared" si="5"/>
        <v>4359.5949935999997</v>
      </c>
      <c r="S15" s="122"/>
    </row>
    <row r="16" spans="2:22" x14ac:dyDescent="0.25">
      <c r="B16" s="59" t="s">
        <v>7</v>
      </c>
      <c r="C16" s="68">
        <v>131.5</v>
      </c>
      <c r="D16" s="62">
        <v>10622.85</v>
      </c>
      <c r="E16" s="61">
        <f t="shared" si="6"/>
        <v>80.78212927756654</v>
      </c>
      <c r="F16" s="84"/>
      <c r="G16" s="61">
        <f>'2023 CG Inv Detail'!H72</f>
        <v>548.07945600000005</v>
      </c>
      <c r="H16" s="61">
        <f t="shared" si="0"/>
        <v>10074.770544000001</v>
      </c>
      <c r="I16" s="102">
        <f t="shared" si="7"/>
        <v>76.614224669201533</v>
      </c>
      <c r="J16" s="84"/>
      <c r="K16" s="90">
        <f t="shared" si="2"/>
        <v>10623.584059594994</v>
      </c>
      <c r="L16" s="84"/>
      <c r="M16" s="90">
        <f t="shared" si="3"/>
        <v>11210.143559999999</v>
      </c>
      <c r="N16" s="84"/>
      <c r="O16" s="84">
        <f>P16*'2023 - Data'!$P$35</f>
        <v>578.36856</v>
      </c>
      <c r="P16" s="61">
        <f>'2023 - Data'!$N$38*'2023 - Calcs'!C16</f>
        <v>10631.775</v>
      </c>
      <c r="Q16" s="102">
        <f t="shared" si="4"/>
        <v>80.849999999999994</v>
      </c>
      <c r="R16" s="104">
        <f t="shared" si="5"/>
        <v>11210.14356</v>
      </c>
      <c r="S16" s="122"/>
    </row>
    <row r="17" spans="2:20" x14ac:dyDescent="0.25">
      <c r="B17" s="59" t="s">
        <v>8</v>
      </c>
      <c r="C17" s="68">
        <v>89.27</v>
      </c>
      <c r="D17" s="62">
        <v>7211.38</v>
      </c>
      <c r="E17" s="61">
        <f t="shared" si="6"/>
        <v>80.781673574549131</v>
      </c>
      <c r="F17" s="84"/>
      <c r="G17" s="61">
        <f>'2023 CG Inv Detail'!H86</f>
        <v>372.06009600000004</v>
      </c>
      <c r="H17" s="61">
        <f t="shared" si="0"/>
        <v>6839.319904</v>
      </c>
      <c r="I17" s="102">
        <f t="shared" si="7"/>
        <v>76.61386696538591</v>
      </c>
      <c r="J17" s="84"/>
      <c r="K17" s="90">
        <f t="shared" si="2"/>
        <v>7211.910255413879</v>
      </c>
      <c r="L17" s="84"/>
      <c r="M17" s="90">
        <f t="shared" si="3"/>
        <v>7610.1103847999993</v>
      </c>
      <c r="N17" s="84"/>
      <c r="O17" s="84">
        <f>P17*'2023 - Data'!$P$35</f>
        <v>392.63088479999993</v>
      </c>
      <c r="P17" s="61">
        <f>'2023 - Data'!$N$38*'2023 - Calcs'!C17</f>
        <v>7217.4794999999995</v>
      </c>
      <c r="Q17" s="102">
        <f t="shared" si="4"/>
        <v>80.849999999999994</v>
      </c>
      <c r="R17" s="104">
        <f t="shared" si="5"/>
        <v>7610.1103847999993</v>
      </c>
      <c r="S17" s="122"/>
    </row>
    <row r="18" spans="2:20" x14ac:dyDescent="0.25">
      <c r="B18" s="59" t="s">
        <v>9</v>
      </c>
      <c r="C18" s="68">
        <v>88.85</v>
      </c>
      <c r="D18" s="62">
        <v>7177.22</v>
      </c>
      <c r="E18" s="61">
        <f t="shared" si="6"/>
        <v>80.779065841305581</v>
      </c>
      <c r="F18" s="84"/>
      <c r="G18" s="61">
        <f>'2023 CG Inv Detail'!H103</f>
        <v>370.28992</v>
      </c>
      <c r="H18" s="61">
        <f t="shared" si="0"/>
        <v>6806.9300800000001</v>
      </c>
      <c r="I18" s="102">
        <f t="shared" si="7"/>
        <v>76.61148092290378</v>
      </c>
      <c r="J18" s="84"/>
      <c r="K18" s="90">
        <f t="shared" si="2"/>
        <v>7177.9597605278723</v>
      </c>
      <c r="L18" s="84"/>
      <c r="M18" s="90">
        <f t="shared" si="3"/>
        <v>7574.3061239999988</v>
      </c>
      <c r="N18" s="84"/>
      <c r="O18" s="84">
        <f>P18*'2023 - Data'!$P$35</f>
        <v>390.78362399999992</v>
      </c>
      <c r="P18" s="61">
        <f>'2023 - Data'!$N$38*'2023 - Calcs'!C18</f>
        <v>7183.5224999999991</v>
      </c>
      <c r="Q18" s="102">
        <f t="shared" si="4"/>
        <v>80.849999999999994</v>
      </c>
      <c r="R18" s="104">
        <f t="shared" si="5"/>
        <v>7574.3061239999988</v>
      </c>
      <c r="S18" s="122"/>
    </row>
    <row r="19" spans="2:20" x14ac:dyDescent="0.25">
      <c r="B19" s="59" t="s">
        <v>10</v>
      </c>
      <c r="C19" s="68">
        <v>61.93</v>
      </c>
      <c r="D19" s="62">
        <v>5002.6099999999997</v>
      </c>
      <c r="E19" s="61">
        <f t="shared" si="6"/>
        <v>80.778459551106081</v>
      </c>
      <c r="F19" s="84"/>
      <c r="G19" s="61">
        <f>'2023 CG Inv Detail'!H118</f>
        <v>258.09971200000001</v>
      </c>
      <c r="H19" s="61">
        <f t="shared" si="0"/>
        <v>4744.5102879999995</v>
      </c>
      <c r="I19" s="102">
        <f t="shared" si="7"/>
        <v>76.610855611173903</v>
      </c>
      <c r="J19" s="84"/>
      <c r="K19" s="90">
        <f t="shared" si="2"/>
        <v>5003.1643515485785</v>
      </c>
      <c r="L19" s="84"/>
      <c r="M19" s="90">
        <f t="shared" si="3"/>
        <v>5279.4235031999997</v>
      </c>
      <c r="N19" s="84"/>
      <c r="O19" s="84">
        <f>P19*'2023 - Data'!$P$35</f>
        <v>272.38300319999996</v>
      </c>
      <c r="P19" s="61">
        <f>'2023 - Data'!$N$38*'2023 - Calcs'!C19</f>
        <v>5007.0405000000001</v>
      </c>
      <c r="Q19" s="102">
        <f t="shared" si="4"/>
        <v>80.850000000000009</v>
      </c>
      <c r="R19" s="104">
        <f t="shared" si="5"/>
        <v>5279.4235031999997</v>
      </c>
      <c r="S19" s="122"/>
    </row>
    <row r="20" spans="2:20" x14ac:dyDescent="0.25">
      <c r="B20" s="59" t="s">
        <v>11</v>
      </c>
      <c r="C20" s="68">
        <v>63.27</v>
      </c>
      <c r="D20" s="62">
        <v>5110.67</v>
      </c>
      <c r="E20" s="61">
        <f t="shared" si="6"/>
        <v>80.775565038722931</v>
      </c>
      <c r="F20" s="84"/>
      <c r="G20" s="61">
        <f>'2023 CG Inv Detail'!H132</f>
        <v>263.68060800000001</v>
      </c>
      <c r="H20" s="61">
        <f t="shared" si="0"/>
        <v>4846.9893920000004</v>
      </c>
      <c r="I20" s="102">
        <f t="shared" si="7"/>
        <v>76.608019472103692</v>
      </c>
      <c r="J20" s="84"/>
      <c r="K20" s="90">
        <f t="shared" si="2"/>
        <v>5111.4157887563142</v>
      </c>
      <c r="L20" s="84"/>
      <c r="M20" s="90">
        <f t="shared" si="3"/>
        <v>5393.6561448000002</v>
      </c>
      <c r="N20" s="84"/>
      <c r="O20" s="84">
        <f>P20*'2023 - Data'!$P$35</f>
        <v>278.27664479999999</v>
      </c>
      <c r="P20" s="61">
        <f>'2023 - Data'!$N$38*'2023 - Calcs'!C20</f>
        <v>5115.3795</v>
      </c>
      <c r="Q20" s="102">
        <f t="shared" si="4"/>
        <v>80.849999999999994</v>
      </c>
      <c r="R20" s="104">
        <f t="shared" si="5"/>
        <v>5393.6561448000002</v>
      </c>
      <c r="S20" s="122"/>
    </row>
    <row r="21" spans="2:20" x14ac:dyDescent="0.25">
      <c r="B21" s="59" t="s">
        <v>12</v>
      </c>
      <c r="C21" s="68">
        <v>103.29</v>
      </c>
      <c r="D21" s="62">
        <v>8344.16</v>
      </c>
      <c r="E21" s="61">
        <f t="shared" si="6"/>
        <v>80.783812566560158</v>
      </c>
      <c r="F21" s="84"/>
      <c r="G21" s="61">
        <f>'2023 CG Inv Detail'!H152</f>
        <v>428.29990399999997</v>
      </c>
      <c r="H21" s="61">
        <f t="shared" si="0"/>
        <v>7915.8600960000003</v>
      </c>
      <c r="I21" s="102">
        <f t="shared" si="7"/>
        <v>76.637235898925354</v>
      </c>
      <c r="J21" s="84"/>
      <c r="K21" s="90">
        <f t="shared" si="2"/>
        <v>8342.3597557515368</v>
      </c>
      <c r="L21" s="84"/>
      <c r="M21" s="90">
        <f t="shared" si="3"/>
        <v>8805.2907095999999</v>
      </c>
      <c r="N21" s="84"/>
      <c r="O21" s="84">
        <f>P21*'2023 - Data'!$P$35</f>
        <v>454.29420959999993</v>
      </c>
      <c r="P21" s="61">
        <f>'2023 - Data'!$N$38*'2023 - Calcs'!C21</f>
        <v>8350.9964999999993</v>
      </c>
      <c r="Q21" s="102">
        <f t="shared" si="4"/>
        <v>80.849999999999994</v>
      </c>
      <c r="R21" s="104">
        <f t="shared" si="5"/>
        <v>8805.2907095999999</v>
      </c>
      <c r="S21" s="122"/>
    </row>
    <row r="22" spans="2:20" x14ac:dyDescent="0.25">
      <c r="B22" s="59" t="s">
        <v>13</v>
      </c>
      <c r="C22" s="68">
        <v>80.63</v>
      </c>
      <c r="D22" s="62">
        <v>6513.14</v>
      </c>
      <c r="E22" s="61">
        <f t="shared" si="6"/>
        <v>80.778122286989969</v>
      </c>
      <c r="F22" s="84"/>
      <c r="G22" s="61">
        <f>'2023 CG Inv Detail'!H167</f>
        <v>336.03152</v>
      </c>
      <c r="H22" s="61">
        <f t="shared" si="0"/>
        <v>6177.1084800000008</v>
      </c>
      <c r="I22" s="102">
        <f t="shared" si="7"/>
        <v>76.610547935011795</v>
      </c>
      <c r="J22" s="84"/>
      <c r="K22" s="90">
        <f t="shared" si="2"/>
        <v>6513.8865480445966</v>
      </c>
      <c r="L22" s="84"/>
      <c r="M22" s="90">
        <f t="shared" si="3"/>
        <v>6873.5655911999993</v>
      </c>
      <c r="N22" s="84"/>
      <c r="O22" s="84">
        <f>P22*'2023 - Data'!$P$35</f>
        <v>354.63009119999998</v>
      </c>
      <c r="P22" s="61">
        <f>'2023 - Data'!$N$38*'2023 - Calcs'!C22</f>
        <v>6518.9354999999996</v>
      </c>
      <c r="Q22" s="102">
        <f t="shared" si="4"/>
        <v>80.849999999999994</v>
      </c>
      <c r="R22" s="104">
        <f t="shared" si="5"/>
        <v>6873.5655911999993</v>
      </c>
      <c r="S22" s="122"/>
    </row>
    <row r="23" spans="2:20" x14ac:dyDescent="0.25">
      <c r="B23" s="59" t="s">
        <v>14</v>
      </c>
      <c r="C23" s="68">
        <v>43.95</v>
      </c>
      <c r="D23" s="62">
        <v>3550.62</v>
      </c>
      <c r="E23" s="61">
        <f t="shared" si="6"/>
        <v>80.787713310580202</v>
      </c>
      <c r="F23" s="84"/>
      <c r="G23" s="61">
        <f>'2023 CG Inv Detail'!H180</f>
        <v>183.17948799999999</v>
      </c>
      <c r="H23" s="61">
        <f t="shared" si="0"/>
        <v>3367.4405120000001</v>
      </c>
      <c r="I23" s="102">
        <f t="shared" si="7"/>
        <v>76.619806871444823</v>
      </c>
      <c r="J23" s="84"/>
      <c r="K23" s="90">
        <f t="shared" si="2"/>
        <v>3550.62</v>
      </c>
      <c r="L23" s="84"/>
      <c r="M23" s="90">
        <f t="shared" si="3"/>
        <v>3746.6601479999999</v>
      </c>
      <c r="N23" s="84"/>
      <c r="O23" s="84">
        <f>P23*'2023 - Data'!$P$35</f>
        <v>193.302648</v>
      </c>
      <c r="P23" s="61">
        <f>'2023 - Data'!$N$38*'2023 - Calcs'!C23</f>
        <v>3553.3575000000001</v>
      </c>
      <c r="Q23" s="102">
        <f t="shared" si="4"/>
        <v>80.849999999999994</v>
      </c>
      <c r="R23" s="104">
        <f>O23+P23</f>
        <v>3746.6601479999999</v>
      </c>
      <c r="S23" s="122"/>
    </row>
    <row r="24" spans="2:20" x14ac:dyDescent="0.25">
      <c r="B24" s="56"/>
      <c r="C24" s="57"/>
      <c r="D24" s="58"/>
      <c r="E24" s="53"/>
      <c r="F24" s="53"/>
      <c r="G24" s="53"/>
      <c r="H24" s="53"/>
      <c r="I24" s="53"/>
      <c r="J24" s="53"/>
      <c r="K24" s="53"/>
      <c r="L24" s="53"/>
      <c r="M24" s="105"/>
      <c r="N24" s="53"/>
      <c r="O24" s="53"/>
      <c r="P24" s="53"/>
      <c r="Q24" s="53"/>
      <c r="R24" s="105"/>
      <c r="S24" s="53"/>
      <c r="T24" s="53"/>
    </row>
    <row r="25" spans="2:20" x14ac:dyDescent="0.25">
      <c r="B25" s="114" t="s">
        <v>110</v>
      </c>
      <c r="C25" s="115">
        <f>SUM(C12:C23)</f>
        <v>843.96999999999991</v>
      </c>
      <c r="D25" s="116">
        <f>SUM(D12:D23)</f>
        <v>67354.87999999999</v>
      </c>
      <c r="E25" s="108"/>
      <c r="F25" s="108"/>
      <c r="G25" s="115">
        <f>SUM(G12:G23)</f>
        <v>3471.3899840000004</v>
      </c>
      <c r="H25" s="115">
        <f>SUM(H12:H23)</f>
        <v>63883.490016000003</v>
      </c>
      <c r="I25" s="88"/>
      <c r="J25" s="88"/>
      <c r="K25" s="66">
        <f>SUM(K12:K23)</f>
        <v>68136.208389293286</v>
      </c>
      <c r="L25" s="88"/>
      <c r="M25" s="66">
        <f>SUM(M12:M23)</f>
        <v>71946.957112799981</v>
      </c>
      <c r="N25" s="88"/>
      <c r="O25" s="115">
        <f t="shared" ref="O25:P25" si="8">SUM(O12:O23)</f>
        <v>3711.9826127999991</v>
      </c>
      <c r="P25" s="115">
        <f t="shared" si="8"/>
        <v>68234.974500000011</v>
      </c>
      <c r="R25" s="66">
        <f>SUM(R12:R23)</f>
        <v>71946.957112799981</v>
      </c>
      <c r="S25" s="88"/>
    </row>
    <row r="26" spans="2:20" x14ac:dyDescent="0.25">
      <c r="R26" s="85">
        <f>M25-R25</f>
        <v>0</v>
      </c>
      <c r="S26" s="52" t="s">
        <v>76</v>
      </c>
    </row>
    <row r="27" spans="2:20" x14ac:dyDescent="0.25">
      <c r="M27" s="106"/>
    </row>
    <row r="28" spans="2:20" x14ac:dyDescent="0.25">
      <c r="M28" s="106"/>
    </row>
    <row r="29" spans="2:20" x14ac:dyDescent="0.25">
      <c r="K29" s="124" t="s">
        <v>113</v>
      </c>
      <c r="L29" s="124"/>
      <c r="M29" s="124"/>
      <c r="N29" s="107">
        <f>M25-K25</f>
        <v>3810.7487235066947</v>
      </c>
    </row>
    <row r="31" spans="2:20" x14ac:dyDescent="0.25">
      <c r="K31" s="132" t="s">
        <v>76</v>
      </c>
      <c r="L31" s="132"/>
      <c r="M31" s="132"/>
      <c r="N31" s="132"/>
    </row>
    <row r="32" spans="2:20" x14ac:dyDescent="0.25">
      <c r="K32" s="133" t="s">
        <v>114</v>
      </c>
      <c r="L32" s="133"/>
      <c r="M32" s="133"/>
      <c r="N32" s="118">
        <f>M8-E23</f>
        <v>4.4605266894197939</v>
      </c>
    </row>
    <row r="33" spans="11:14" x14ac:dyDescent="0.25">
      <c r="K33" s="133" t="s">
        <v>121</v>
      </c>
      <c r="L33" s="133"/>
      <c r="M33" s="133"/>
      <c r="N33" s="118">
        <f>C25*N32</f>
        <v>3764.5507100696232</v>
      </c>
    </row>
    <row r="34" spans="11:14" x14ac:dyDescent="0.25">
      <c r="M34" s="106"/>
    </row>
  </sheetData>
  <mergeCells count="10">
    <mergeCell ref="O8:R8"/>
    <mergeCell ref="B1:S1"/>
    <mergeCell ref="B2:S2"/>
    <mergeCell ref="B3:S3"/>
    <mergeCell ref="B4:S4"/>
    <mergeCell ref="K31:N31"/>
    <mergeCell ref="K32:M32"/>
    <mergeCell ref="K33:M33"/>
    <mergeCell ref="G9:I9"/>
    <mergeCell ref="B6:E6"/>
  </mergeCells>
  <pageMargins left="0.7" right="0.7" top="0.75" bottom="0.75" header="0.3" footer="0.3"/>
  <pageSetup scale="71" orientation="landscape" horizontalDpi="0" verticalDpi="0" r:id="rId1"/>
  <headerFooter scaleWithDoc="0">
    <oddFooter>&amp;L&amp;F&amp;R&amp;P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7C29-C0C6-4D51-B113-BBA0BE8A2771}">
  <sheetPr>
    <pageSetUpPr fitToPage="1"/>
  </sheetPr>
  <dimension ref="B1:T39"/>
  <sheetViews>
    <sheetView workbookViewId="0">
      <selection activeCell="B1" sqref="B1:P1"/>
    </sheetView>
  </sheetViews>
  <sheetFormatPr defaultRowHeight="15" x14ac:dyDescent="0.25"/>
  <cols>
    <col min="1" max="1" width="2.7109375" style="52" customWidth="1"/>
    <col min="2" max="2" width="6.7109375" style="52" bestFit="1" customWidth="1"/>
    <col min="3" max="3" width="8" style="52" bestFit="1" customWidth="1"/>
    <col min="4" max="4" width="11.7109375" style="52" customWidth="1"/>
    <col min="5" max="5" width="8.42578125" style="52" bestFit="1" customWidth="1"/>
    <col min="6" max="6" width="5.7109375" style="52" customWidth="1"/>
    <col min="7" max="7" width="22.5703125" style="52" bestFit="1" customWidth="1"/>
    <col min="8" max="16384" width="9.140625" style="52"/>
  </cols>
  <sheetData>
    <row r="1" spans="2:20" ht="15.75" x14ac:dyDescent="0.25">
      <c r="B1" s="126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3"/>
      <c r="R1" s="123"/>
      <c r="S1" s="123"/>
      <c r="T1" s="123"/>
    </row>
    <row r="2" spans="2:20" x14ac:dyDescent="0.25">
      <c r="B2" s="127" t="s">
        <v>112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2:20" x14ac:dyDescent="0.25">
      <c r="B3" s="127" t="s">
        <v>52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2:20" x14ac:dyDescent="0.25">
      <c r="B4" s="127" t="s">
        <v>51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7" spans="2:20" x14ac:dyDescent="0.25">
      <c r="B7" s="135" t="s">
        <v>55</v>
      </c>
      <c r="C7" s="135"/>
      <c r="D7" s="135"/>
      <c r="E7" s="135"/>
      <c r="G7" s="135" t="s">
        <v>56</v>
      </c>
      <c r="H7" s="135"/>
      <c r="I7" s="135"/>
      <c r="J7" s="135"/>
      <c r="K7" s="135"/>
      <c r="L7" s="135"/>
    </row>
    <row r="9" spans="2:20" x14ac:dyDescent="0.25">
      <c r="B9" s="63"/>
      <c r="C9" s="63"/>
      <c r="D9" s="60" t="s">
        <v>54</v>
      </c>
      <c r="E9" s="63"/>
      <c r="G9" s="136" t="s">
        <v>64</v>
      </c>
      <c r="H9" s="136"/>
      <c r="I9" s="136"/>
      <c r="J9" s="136"/>
      <c r="K9" s="136"/>
      <c r="L9" s="136"/>
    </row>
    <row r="10" spans="2:20" x14ac:dyDescent="0.25">
      <c r="B10" s="60" t="s">
        <v>0</v>
      </c>
      <c r="C10" s="60" t="s">
        <v>1</v>
      </c>
      <c r="D10" s="60" t="s">
        <v>53</v>
      </c>
      <c r="E10" s="60" t="s">
        <v>50</v>
      </c>
    </row>
    <row r="11" spans="2:20" x14ac:dyDescent="0.25">
      <c r="B11" s="59" t="s">
        <v>3</v>
      </c>
      <c r="C11" s="68">
        <v>40.5</v>
      </c>
      <c r="D11" s="62">
        <v>3035.69</v>
      </c>
      <c r="E11" s="61">
        <f>D11/C11</f>
        <v>74.955308641975307</v>
      </c>
      <c r="G11" s="71"/>
      <c r="H11" s="72" t="s">
        <v>57</v>
      </c>
      <c r="I11" s="81" t="s">
        <v>58</v>
      </c>
      <c r="J11" s="72" t="s">
        <v>57</v>
      </c>
      <c r="K11" s="72" t="s">
        <v>59</v>
      </c>
      <c r="L11" s="72" t="s">
        <v>59</v>
      </c>
    </row>
    <row r="12" spans="2:20" x14ac:dyDescent="0.25">
      <c r="B12" s="59" t="s">
        <v>4</v>
      </c>
      <c r="C12" s="68">
        <v>44.23</v>
      </c>
      <c r="D12" s="62">
        <v>3284.1</v>
      </c>
      <c r="E12" s="61">
        <f>D12/C12</f>
        <v>74.250508704499211</v>
      </c>
      <c r="G12" s="71"/>
      <c r="H12" s="73" t="s">
        <v>50</v>
      </c>
      <c r="I12" s="82" t="s">
        <v>60</v>
      </c>
      <c r="J12" s="73" t="s">
        <v>61</v>
      </c>
      <c r="K12" s="73" t="s">
        <v>50</v>
      </c>
      <c r="L12" s="73" t="s">
        <v>61</v>
      </c>
    </row>
    <row r="13" spans="2:20" x14ac:dyDescent="0.25">
      <c r="B13" s="59" t="s">
        <v>5</v>
      </c>
      <c r="C13" s="68">
        <v>45.41</v>
      </c>
      <c r="D13" s="62">
        <v>3371.72</v>
      </c>
      <c r="E13" s="61">
        <f t="shared" ref="E13:E22" si="0">D13/C13</f>
        <v>74.250605593481609</v>
      </c>
      <c r="G13" s="74"/>
      <c r="H13" s="71"/>
      <c r="I13" s="83"/>
      <c r="J13" s="74"/>
      <c r="K13" s="74"/>
      <c r="L13" s="74"/>
    </row>
    <row r="14" spans="2:20" x14ac:dyDescent="0.25">
      <c r="B14" s="59" t="s">
        <v>6</v>
      </c>
      <c r="C14" s="68">
        <v>51.14</v>
      </c>
      <c r="D14" s="62">
        <v>4130.72</v>
      </c>
      <c r="E14" s="61">
        <f t="shared" si="0"/>
        <v>80.772780602268284</v>
      </c>
      <c r="G14" s="52" t="s">
        <v>62</v>
      </c>
      <c r="H14" s="75">
        <v>11.72</v>
      </c>
      <c r="I14" s="79">
        <v>1346</v>
      </c>
      <c r="J14" s="76">
        <f>H14*I14*12</f>
        <v>189301.44</v>
      </c>
      <c r="K14" s="75">
        <v>14.290157023167914</v>
      </c>
      <c r="L14" s="76">
        <f>I14*K14*12</f>
        <v>230814.61623820814</v>
      </c>
    </row>
    <row r="15" spans="2:20" x14ac:dyDescent="0.25">
      <c r="B15" s="59" t="s">
        <v>7</v>
      </c>
      <c r="C15" s="68">
        <v>131.5</v>
      </c>
      <c r="D15" s="62">
        <v>10622.85</v>
      </c>
      <c r="E15" s="61">
        <f t="shared" si="0"/>
        <v>80.78212927756654</v>
      </c>
      <c r="G15" s="52" t="s">
        <v>63</v>
      </c>
      <c r="H15" s="75">
        <v>13.04</v>
      </c>
      <c r="I15" s="79">
        <v>17</v>
      </c>
      <c r="J15" s="76">
        <f>H15*I15*12</f>
        <v>2660.16</v>
      </c>
      <c r="K15" s="75">
        <v>15.899628633285801</v>
      </c>
      <c r="L15" s="76">
        <f>I15*K15*12</f>
        <v>3243.5242411903037</v>
      </c>
    </row>
    <row r="16" spans="2:20" x14ac:dyDescent="0.25">
      <c r="B16" s="59" t="s">
        <v>8</v>
      </c>
      <c r="C16" s="68">
        <v>89.27</v>
      </c>
      <c r="D16" s="62">
        <v>7211.38</v>
      </c>
      <c r="E16" s="61">
        <f t="shared" si="0"/>
        <v>80.781673574549131</v>
      </c>
      <c r="I16" s="80">
        <f>SUM(I14:I15)</f>
        <v>1363</v>
      </c>
      <c r="J16" s="77">
        <f>SUM(J14:J15)</f>
        <v>191961.60000000001</v>
      </c>
      <c r="L16" s="77">
        <f>SUM(L14:L15)</f>
        <v>234058.14047939845</v>
      </c>
    </row>
    <row r="17" spans="2:8" x14ac:dyDescent="0.25">
      <c r="B17" s="59" t="s">
        <v>9</v>
      </c>
      <c r="C17" s="68">
        <v>88.85</v>
      </c>
      <c r="D17" s="62">
        <v>7177.22</v>
      </c>
      <c r="E17" s="61">
        <f t="shared" si="0"/>
        <v>80.779065841305581</v>
      </c>
    </row>
    <row r="18" spans="2:8" x14ac:dyDescent="0.25">
      <c r="B18" s="59" t="s">
        <v>10</v>
      </c>
      <c r="C18" s="68">
        <v>61.93</v>
      </c>
      <c r="D18" s="62">
        <v>5002.6099999999997</v>
      </c>
      <c r="E18" s="61">
        <f t="shared" si="0"/>
        <v>80.778459551106081</v>
      </c>
      <c r="H18" s="78" t="s">
        <v>65</v>
      </c>
    </row>
    <row r="19" spans="2:8" x14ac:dyDescent="0.25">
      <c r="B19" s="59" t="s">
        <v>11</v>
      </c>
      <c r="C19" s="68">
        <v>63.27</v>
      </c>
      <c r="D19" s="62">
        <v>5110.67</v>
      </c>
      <c r="E19" s="61">
        <f t="shared" si="0"/>
        <v>80.775565038722931</v>
      </c>
    </row>
    <row r="20" spans="2:8" x14ac:dyDescent="0.25">
      <c r="B20" s="59" t="s">
        <v>12</v>
      </c>
      <c r="C20" s="68">
        <v>103.29</v>
      </c>
      <c r="D20" s="62">
        <v>8344.16</v>
      </c>
      <c r="E20" s="61">
        <f t="shared" si="0"/>
        <v>80.783812566560158</v>
      </c>
    </row>
    <row r="21" spans="2:8" x14ac:dyDescent="0.25">
      <c r="B21" s="59" t="s">
        <v>13</v>
      </c>
      <c r="C21" s="68">
        <v>80.63</v>
      </c>
      <c r="D21" s="62">
        <v>6513.14</v>
      </c>
      <c r="E21" s="61">
        <f t="shared" si="0"/>
        <v>80.778122286989969</v>
      </c>
    </row>
    <row r="22" spans="2:8" x14ac:dyDescent="0.25">
      <c r="B22" s="59" t="s">
        <v>14</v>
      </c>
      <c r="C22" s="68">
        <v>43.95</v>
      </c>
      <c r="D22" s="62">
        <v>3550.62</v>
      </c>
      <c r="E22" s="61">
        <f t="shared" si="0"/>
        <v>80.787713310580202</v>
      </c>
    </row>
    <row r="23" spans="2:8" x14ac:dyDescent="0.25">
      <c r="B23" s="56"/>
      <c r="C23" s="57"/>
      <c r="D23" s="58"/>
      <c r="E23" s="53"/>
    </row>
    <row r="24" spans="2:8" x14ac:dyDescent="0.25">
      <c r="B24" s="56"/>
      <c r="C24" s="57"/>
      <c r="D24" s="58"/>
      <c r="E24" s="53"/>
    </row>
    <row r="25" spans="2:8" x14ac:dyDescent="0.25">
      <c r="B25" s="64" t="s">
        <v>29</v>
      </c>
      <c r="C25" s="66">
        <f>SUM(C11:C22)</f>
        <v>843.96999999999991</v>
      </c>
      <c r="D25" s="65">
        <f>SUM(D11:D22)</f>
        <v>67354.87999999999</v>
      </c>
    </row>
    <row r="33" spans="2:16" x14ac:dyDescent="0.25">
      <c r="B33" s="71"/>
    </row>
    <row r="34" spans="2:16" x14ac:dyDescent="0.25">
      <c r="B34" s="71"/>
    </row>
    <row r="35" spans="2:16" x14ac:dyDescent="0.25">
      <c r="B35" s="74"/>
      <c r="N35" s="52" t="s">
        <v>87</v>
      </c>
      <c r="P35" s="67">
        <v>5.4399999999999997E-2</v>
      </c>
    </row>
    <row r="36" spans="2:16" x14ac:dyDescent="0.25">
      <c r="O36" s="117"/>
    </row>
    <row r="37" spans="2:16" x14ac:dyDescent="0.25">
      <c r="N37" s="52" t="s">
        <v>50</v>
      </c>
      <c r="O37" s="52" t="s">
        <v>126</v>
      </c>
      <c r="P37" s="52" t="s">
        <v>74</v>
      </c>
    </row>
    <row r="38" spans="2:16" x14ac:dyDescent="0.25">
      <c r="N38" s="52">
        <v>80.849999999999994</v>
      </c>
      <c r="O38" s="75">
        <f>$P$35*N38</f>
        <v>4.3982399999999995</v>
      </c>
      <c r="P38" s="85">
        <f>N38+O38</f>
        <v>85.248239999999996</v>
      </c>
    </row>
    <row r="39" spans="2:16" x14ac:dyDescent="0.25">
      <c r="N39" s="52">
        <v>118.99</v>
      </c>
      <c r="O39" s="75">
        <f>$P$35*N39</f>
        <v>6.4730559999999997</v>
      </c>
      <c r="P39" s="85">
        <f>N39+O39</f>
        <v>125.46305599999999</v>
      </c>
    </row>
  </sheetData>
  <mergeCells count="7">
    <mergeCell ref="B7:E7"/>
    <mergeCell ref="G7:L7"/>
    <mergeCell ref="G9:L9"/>
    <mergeCell ref="B1:P1"/>
    <mergeCell ref="B2:P2"/>
    <mergeCell ref="B3:P3"/>
    <mergeCell ref="B4:P4"/>
  </mergeCells>
  <pageMargins left="0.7" right="0.7" top="0.75" bottom="0.75" header="0.3" footer="0.3"/>
  <pageSetup scale="78" orientation="landscape" horizontalDpi="0" verticalDpi="0" r:id="rId1"/>
  <headerFooter scaleWithDoc="0">
    <oddFooter>&amp;L&amp;F&amp;R&amp;P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80AD-74A9-4AF1-B6F3-5EB5F0D85087}">
  <sheetPr>
    <pageSetUpPr fitToPage="1"/>
  </sheetPr>
  <dimension ref="B1:R181"/>
  <sheetViews>
    <sheetView workbookViewId="0">
      <selection activeCell="B1" sqref="B1:N1"/>
    </sheetView>
  </sheetViews>
  <sheetFormatPr defaultRowHeight="15" x14ac:dyDescent="0.25"/>
  <cols>
    <col min="1" max="1" width="2.7109375" customWidth="1"/>
    <col min="2" max="2" width="6.85546875" style="35" bestFit="1" customWidth="1"/>
    <col min="3" max="3" width="10.140625" style="91" bestFit="1" customWidth="1"/>
    <col min="4" max="4" width="9.5703125" style="91" bestFit="1" customWidth="1"/>
    <col min="5" max="5" width="10.5703125" bestFit="1" customWidth="1"/>
    <col min="6" max="6" width="10.140625" style="91" bestFit="1" customWidth="1"/>
    <col min="7" max="7" width="9.5703125" style="91" bestFit="1" customWidth="1"/>
    <col min="8" max="8" width="8" bestFit="1" customWidth="1"/>
    <col min="9" max="9" width="8" style="91" bestFit="1" customWidth="1"/>
    <col min="10" max="10" width="10.5703125" bestFit="1" customWidth="1"/>
    <col min="11" max="11" width="14.42578125" bestFit="1" customWidth="1"/>
    <col min="12" max="12" width="10.140625" bestFit="1" customWidth="1"/>
    <col min="13" max="14" width="11.85546875" bestFit="1" customWidth="1"/>
    <col min="15" max="15" width="11.7109375" customWidth="1"/>
    <col min="16" max="16" width="14.140625" bestFit="1" customWidth="1"/>
    <col min="17" max="17" width="7" bestFit="1" customWidth="1"/>
    <col min="18" max="18" width="22" bestFit="1" customWidth="1"/>
  </cols>
  <sheetData>
    <row r="1" spans="2:18" ht="15.75" x14ac:dyDescent="0.25">
      <c r="B1" s="126" t="s">
        <v>23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2:18" x14ac:dyDescent="0.25">
      <c r="B2" s="127" t="s">
        <v>112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2:18" x14ac:dyDescent="0.25">
      <c r="B3" s="127" t="s">
        <v>52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8" x14ac:dyDescent="0.25">
      <c r="B4" s="127" t="s">
        <v>51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6" spans="2:18" x14ac:dyDescent="0.25">
      <c r="B6" s="140" t="s">
        <v>82</v>
      </c>
      <c r="C6" s="140"/>
      <c r="D6" s="140"/>
      <c r="E6" s="140"/>
      <c r="F6" s="140"/>
      <c r="G6" s="140"/>
      <c r="H6" s="140"/>
      <c r="I6" s="140"/>
      <c r="J6" s="140"/>
    </row>
    <row r="7" spans="2:18" x14ac:dyDescent="0.25">
      <c r="L7" s="139" t="s">
        <v>83</v>
      </c>
      <c r="M7" s="139"/>
      <c r="N7" s="139"/>
      <c r="O7" s="24"/>
      <c r="P7" s="139" t="s">
        <v>84</v>
      </c>
      <c r="Q7" s="139"/>
      <c r="R7" s="139"/>
    </row>
    <row r="8" spans="2:18" x14ac:dyDescent="0.25">
      <c r="L8" s="139" t="s">
        <v>85</v>
      </c>
      <c r="M8" s="139"/>
      <c r="N8" s="139"/>
    </row>
    <row r="9" spans="2:18" x14ac:dyDescent="0.25">
      <c r="C9" s="138" t="s">
        <v>86</v>
      </c>
      <c r="D9" s="138"/>
      <c r="E9" s="92">
        <v>70.42</v>
      </c>
      <c r="F9" s="138" t="s">
        <v>87</v>
      </c>
      <c r="G9" s="138"/>
      <c r="H9" s="93"/>
      <c r="I9" s="94">
        <v>6.4399999999999999E-2</v>
      </c>
      <c r="L9" s="93"/>
      <c r="M9" s="93"/>
      <c r="N9" s="93"/>
      <c r="O9" s="93"/>
    </row>
    <row r="10" spans="2:18" x14ac:dyDescent="0.25">
      <c r="B10" s="35" t="s">
        <v>0</v>
      </c>
      <c r="C10" s="91" t="s">
        <v>88</v>
      </c>
      <c r="D10" s="91" t="s">
        <v>89</v>
      </c>
      <c r="F10" s="91" t="s">
        <v>88</v>
      </c>
      <c r="G10" s="91" t="s">
        <v>89</v>
      </c>
      <c r="I10" s="91" t="s">
        <v>29</v>
      </c>
      <c r="L10" s="91" t="s">
        <v>88</v>
      </c>
      <c r="M10" s="91" t="s">
        <v>89</v>
      </c>
      <c r="N10" s="91" t="s">
        <v>90</v>
      </c>
      <c r="P10" t="s">
        <v>50</v>
      </c>
      <c r="Q10" s="91">
        <v>66.099999999999994</v>
      </c>
      <c r="R10" t="s">
        <v>91</v>
      </c>
    </row>
    <row r="11" spans="2:18" x14ac:dyDescent="0.25">
      <c r="L11" s="91"/>
      <c r="M11" s="91"/>
      <c r="N11" s="91"/>
      <c r="Q11" s="91">
        <v>70.42</v>
      </c>
      <c r="R11" t="s">
        <v>92</v>
      </c>
    </row>
    <row r="12" spans="2:18" x14ac:dyDescent="0.25">
      <c r="B12" s="137" t="s">
        <v>93</v>
      </c>
      <c r="C12" s="91">
        <v>6.24</v>
      </c>
      <c r="D12" s="91">
        <f t="shared" ref="D12:D17" si="0">$E$9*C12</f>
        <v>439.42080000000004</v>
      </c>
      <c r="F12" s="91">
        <v>439.44</v>
      </c>
      <c r="G12" s="91">
        <f t="shared" ref="G12:G17" si="1">$I$9*F12</f>
        <v>28.299935999999999</v>
      </c>
      <c r="H12" s="91"/>
      <c r="I12" s="91">
        <f t="shared" ref="I12:I17" si="2">D12+G12</f>
        <v>467.72073600000004</v>
      </c>
      <c r="K12" s="95">
        <f>F12-D12</f>
        <v>1.9199999999955253E-2</v>
      </c>
      <c r="L12" s="91">
        <f>D12</f>
        <v>439.42080000000004</v>
      </c>
      <c r="M12" s="91">
        <f t="shared" ref="M12:M17" si="3">$I$20*L12</f>
        <v>23.904491520000001</v>
      </c>
      <c r="N12" s="91">
        <f>M12-G12</f>
        <v>-4.3954444799999983</v>
      </c>
    </row>
    <row r="13" spans="2:18" x14ac:dyDescent="0.25">
      <c r="B13" s="137"/>
      <c r="C13" s="91">
        <v>5.71</v>
      </c>
      <c r="D13" s="91">
        <f t="shared" si="0"/>
        <v>402.09820000000002</v>
      </c>
      <c r="F13" s="91">
        <v>402.17</v>
      </c>
      <c r="G13" s="91">
        <f t="shared" si="1"/>
        <v>25.899747999999999</v>
      </c>
      <c r="I13" s="91">
        <f t="shared" si="2"/>
        <v>427.99794800000001</v>
      </c>
      <c r="K13" s="95">
        <f t="shared" ref="K13:K17" si="4">F13-D13</f>
        <v>7.1799999999996089E-2</v>
      </c>
      <c r="L13" s="91">
        <f t="shared" ref="L13:L17" si="5">D13</f>
        <v>402.09820000000002</v>
      </c>
      <c r="M13" s="91">
        <f t="shared" si="3"/>
        <v>21.874142079999999</v>
      </c>
      <c r="N13" s="91">
        <f t="shared" ref="N13:N17" si="6">M13-G13</f>
        <v>-4.0256059200000003</v>
      </c>
      <c r="P13" t="s">
        <v>87</v>
      </c>
      <c r="Q13" s="15">
        <v>6.4399999999999999E-2</v>
      </c>
      <c r="R13" t="s">
        <v>94</v>
      </c>
    </row>
    <row r="14" spans="2:18" x14ac:dyDescent="0.25">
      <c r="B14" s="137"/>
      <c r="C14" s="91">
        <v>7.28</v>
      </c>
      <c r="D14" s="91">
        <f t="shared" si="0"/>
        <v>512.6576</v>
      </c>
      <c r="F14" s="91">
        <v>512.73</v>
      </c>
      <c r="G14" s="91">
        <f t="shared" si="1"/>
        <v>33.019812000000002</v>
      </c>
      <c r="I14" s="91">
        <f t="shared" si="2"/>
        <v>545.677412</v>
      </c>
      <c r="K14" s="95">
        <f t="shared" si="4"/>
        <v>7.2400000000016007E-2</v>
      </c>
      <c r="L14" s="91">
        <f t="shared" si="5"/>
        <v>512.6576</v>
      </c>
      <c r="M14" s="91">
        <f t="shared" si="3"/>
        <v>27.888573439999998</v>
      </c>
      <c r="N14" s="91">
        <f t="shared" si="6"/>
        <v>-5.1312385600000034</v>
      </c>
    </row>
    <row r="15" spans="2:18" x14ac:dyDescent="0.25">
      <c r="B15" s="137"/>
      <c r="C15" s="91">
        <v>6.39</v>
      </c>
      <c r="D15" s="91">
        <f t="shared" si="0"/>
        <v>449.98379999999997</v>
      </c>
      <c r="F15" s="91">
        <v>450</v>
      </c>
      <c r="G15" s="91">
        <f t="shared" si="1"/>
        <v>28.98</v>
      </c>
      <c r="I15" s="91">
        <f t="shared" si="2"/>
        <v>478.96379999999999</v>
      </c>
      <c r="K15" s="95">
        <f t="shared" si="4"/>
        <v>1.6200000000026193E-2</v>
      </c>
      <c r="L15" s="91">
        <f t="shared" si="5"/>
        <v>449.98379999999997</v>
      </c>
      <c r="M15" s="91">
        <f t="shared" si="3"/>
        <v>24.479118719999999</v>
      </c>
      <c r="N15" s="91">
        <f t="shared" si="6"/>
        <v>-4.5008812800000015</v>
      </c>
    </row>
    <row r="16" spans="2:18" x14ac:dyDescent="0.25">
      <c r="B16" s="137"/>
      <c r="C16" s="91">
        <v>6.97</v>
      </c>
      <c r="D16" s="91">
        <f t="shared" si="0"/>
        <v>490.82740000000001</v>
      </c>
      <c r="F16" s="91">
        <v>490.84</v>
      </c>
      <c r="G16" s="91">
        <f t="shared" si="1"/>
        <v>31.610095999999999</v>
      </c>
      <c r="I16" s="91">
        <f t="shared" si="2"/>
        <v>522.43749600000001</v>
      </c>
      <c r="K16" s="95">
        <f t="shared" si="4"/>
        <v>1.2599999999963529E-2</v>
      </c>
      <c r="L16" s="91">
        <f t="shared" si="5"/>
        <v>490.82740000000001</v>
      </c>
      <c r="M16" s="91">
        <f t="shared" si="3"/>
        <v>26.70101056</v>
      </c>
      <c r="N16" s="91">
        <f t="shared" si="6"/>
        <v>-4.9090854399999984</v>
      </c>
    </row>
    <row r="17" spans="2:15" x14ac:dyDescent="0.25">
      <c r="B17" s="137"/>
      <c r="C17" s="91">
        <v>7.91</v>
      </c>
      <c r="D17" s="91">
        <f t="shared" si="0"/>
        <v>557.0222</v>
      </c>
      <c r="F17" s="91">
        <v>556.99</v>
      </c>
      <c r="G17" s="91">
        <f t="shared" si="1"/>
        <v>35.870156000000001</v>
      </c>
      <c r="I17" s="91">
        <f t="shared" si="2"/>
        <v>592.89235599999995</v>
      </c>
      <c r="K17" s="95">
        <f t="shared" si="4"/>
        <v>-3.2199999999988904E-2</v>
      </c>
      <c r="L17" s="91">
        <f t="shared" si="5"/>
        <v>557.0222</v>
      </c>
      <c r="M17" s="91">
        <f t="shared" si="3"/>
        <v>30.302007679999999</v>
      </c>
      <c r="N17" s="91">
        <f t="shared" si="6"/>
        <v>-5.5681483200000024</v>
      </c>
    </row>
    <row r="18" spans="2:15" x14ac:dyDescent="0.25">
      <c r="E18" s="95">
        <f>SUM(D12:D17)</f>
        <v>2852.0099999999998</v>
      </c>
      <c r="H18" s="95">
        <f>SUM(G12:G17)</f>
        <v>183.67974800000002</v>
      </c>
      <c r="J18" s="95">
        <f>SUM(I12:I17)</f>
        <v>3035.6897479999998</v>
      </c>
      <c r="L18" s="91"/>
      <c r="M18" s="96">
        <f>SUM(M12:M17)</f>
        <v>155.14934399999999</v>
      </c>
      <c r="N18" s="96">
        <f>SUM(N12:N17)</f>
        <v>-28.530404000000004</v>
      </c>
    </row>
    <row r="19" spans="2:15" x14ac:dyDescent="0.25">
      <c r="E19" s="95"/>
      <c r="H19" s="95"/>
      <c r="J19" s="95"/>
      <c r="L19" s="91"/>
      <c r="M19" s="91"/>
      <c r="N19" s="91"/>
      <c r="O19" s="95"/>
    </row>
    <row r="20" spans="2:15" x14ac:dyDescent="0.25">
      <c r="E20" s="95"/>
      <c r="F20" s="138" t="s">
        <v>87</v>
      </c>
      <c r="G20" s="138"/>
      <c r="H20" s="21"/>
      <c r="I20" s="94">
        <v>5.4399999999999997E-2</v>
      </c>
      <c r="L20" s="91"/>
      <c r="M20" s="91"/>
      <c r="N20" s="91"/>
      <c r="O20" s="95"/>
    </row>
    <row r="21" spans="2:15" ht="15" customHeight="1" x14ac:dyDescent="0.25">
      <c r="B21" s="137" t="s">
        <v>95</v>
      </c>
      <c r="C21" s="91">
        <v>1.58</v>
      </c>
      <c r="D21" s="91">
        <f t="shared" ref="D21:D28" si="7">$E$9*C21</f>
        <v>111.26360000000001</v>
      </c>
      <c r="F21" s="91">
        <v>111.21</v>
      </c>
      <c r="G21" s="91">
        <f t="shared" ref="G21:G28" si="8">$I$20*F21</f>
        <v>6.0498239999999992</v>
      </c>
      <c r="I21" s="91">
        <f t="shared" ref="I21:I28" si="9">D21+G21</f>
        <v>117.31342400000001</v>
      </c>
    </row>
    <row r="22" spans="2:15" x14ac:dyDescent="0.25">
      <c r="B22" s="137"/>
      <c r="C22" s="91">
        <v>6.66</v>
      </c>
      <c r="D22" s="91">
        <f t="shared" si="7"/>
        <v>468.99720000000002</v>
      </c>
      <c r="F22" s="91">
        <v>468.93</v>
      </c>
      <c r="G22" s="91">
        <f t="shared" si="8"/>
        <v>25.509791999999997</v>
      </c>
      <c r="I22" s="91">
        <f t="shared" si="9"/>
        <v>494.50699200000003</v>
      </c>
    </row>
    <row r="23" spans="2:15" x14ac:dyDescent="0.25">
      <c r="B23" s="137"/>
      <c r="C23" s="91">
        <v>6.41</v>
      </c>
      <c r="D23" s="91">
        <f t="shared" si="7"/>
        <v>451.3922</v>
      </c>
      <c r="F23" s="91">
        <v>451.47</v>
      </c>
      <c r="G23" s="91">
        <f t="shared" si="8"/>
        <v>24.559968000000001</v>
      </c>
      <c r="I23" s="91">
        <f t="shared" si="9"/>
        <v>475.95216800000003</v>
      </c>
    </row>
    <row r="24" spans="2:15" x14ac:dyDescent="0.25">
      <c r="B24" s="137"/>
      <c r="C24" s="91">
        <v>5.86</v>
      </c>
      <c r="D24" s="91">
        <f t="shared" si="7"/>
        <v>412.66120000000001</v>
      </c>
      <c r="F24" s="91">
        <v>412.68</v>
      </c>
      <c r="G24" s="91">
        <f t="shared" si="8"/>
        <v>22.449791999999999</v>
      </c>
      <c r="I24" s="91">
        <f t="shared" si="9"/>
        <v>435.11099200000001</v>
      </c>
    </row>
    <row r="25" spans="2:15" x14ac:dyDescent="0.25">
      <c r="B25" s="137"/>
      <c r="C25" s="91">
        <v>7.69</v>
      </c>
      <c r="D25" s="91">
        <f t="shared" si="7"/>
        <v>541.52980000000002</v>
      </c>
      <c r="F25" s="91">
        <v>541.54</v>
      </c>
      <c r="G25" s="91">
        <f t="shared" si="8"/>
        <v>29.459775999999998</v>
      </c>
      <c r="I25" s="91">
        <f t="shared" si="9"/>
        <v>570.98957600000006</v>
      </c>
    </row>
    <row r="26" spans="2:15" x14ac:dyDescent="0.25">
      <c r="B26" s="137"/>
      <c r="C26" s="91">
        <v>6.19</v>
      </c>
      <c r="D26" s="91">
        <f t="shared" si="7"/>
        <v>435.89980000000003</v>
      </c>
      <c r="F26" s="91">
        <v>435.85</v>
      </c>
      <c r="G26" s="91">
        <f t="shared" si="8"/>
        <v>23.710239999999999</v>
      </c>
      <c r="I26" s="91">
        <f t="shared" si="9"/>
        <v>459.61004000000003</v>
      </c>
    </row>
    <row r="27" spans="2:15" x14ac:dyDescent="0.25">
      <c r="B27" s="137"/>
      <c r="C27" s="91">
        <v>6.08</v>
      </c>
      <c r="D27" s="91">
        <f t="shared" si="7"/>
        <v>428.15360000000004</v>
      </c>
      <c r="F27" s="91">
        <v>428.13</v>
      </c>
      <c r="G27" s="91">
        <f t="shared" si="8"/>
        <v>23.290271999999998</v>
      </c>
      <c r="I27" s="91">
        <f t="shared" si="9"/>
        <v>451.44387200000006</v>
      </c>
    </row>
    <row r="28" spans="2:15" x14ac:dyDescent="0.25">
      <c r="B28" s="137"/>
      <c r="C28" s="91">
        <v>3.76</v>
      </c>
      <c r="D28" s="91">
        <f t="shared" si="7"/>
        <v>264.7792</v>
      </c>
      <c r="F28" s="91">
        <v>264.70999999999998</v>
      </c>
      <c r="G28" s="91">
        <f t="shared" si="8"/>
        <v>14.400223999999998</v>
      </c>
      <c r="I28" s="91">
        <f t="shared" si="9"/>
        <v>279.17942399999998</v>
      </c>
    </row>
    <row r="29" spans="2:15" x14ac:dyDescent="0.25">
      <c r="E29" s="95">
        <f>SUM(D21:D28)</f>
        <v>3114.6766000000002</v>
      </c>
      <c r="H29" s="95">
        <f>SUM(G21:G28)</f>
        <v>169.42988800000001</v>
      </c>
      <c r="J29" s="95">
        <f>SUM(I21:I28)</f>
        <v>3284.1064880000004</v>
      </c>
    </row>
    <row r="30" spans="2:15" ht="15" customHeight="1" x14ac:dyDescent="0.25">
      <c r="B30" s="137" t="s">
        <v>96</v>
      </c>
      <c r="C30" s="91">
        <v>3</v>
      </c>
      <c r="D30" s="91">
        <f t="shared" ref="D30:D40" si="10">$E$9*C30</f>
        <v>211.26</v>
      </c>
      <c r="F30" s="91">
        <v>211.21</v>
      </c>
      <c r="G30" s="91">
        <f t="shared" ref="G30:G40" si="11">$I$20*F30</f>
        <v>11.489824</v>
      </c>
      <c r="I30" s="91">
        <f t="shared" ref="I30:I40" si="12">D30+G30</f>
        <v>222.74982399999999</v>
      </c>
    </row>
    <row r="31" spans="2:15" x14ac:dyDescent="0.25">
      <c r="B31" s="137"/>
      <c r="C31" s="91">
        <v>3.69</v>
      </c>
      <c r="D31" s="91">
        <f t="shared" si="10"/>
        <v>259.84980000000002</v>
      </c>
      <c r="F31" s="91">
        <v>259.93</v>
      </c>
      <c r="G31" s="91">
        <f t="shared" si="11"/>
        <v>14.140191999999999</v>
      </c>
      <c r="I31" s="91">
        <f t="shared" si="12"/>
        <v>273.98999200000003</v>
      </c>
    </row>
    <row r="32" spans="2:15" x14ac:dyDescent="0.25">
      <c r="B32" s="137"/>
      <c r="C32" s="91">
        <v>3.47</v>
      </c>
      <c r="D32" s="91">
        <f t="shared" si="10"/>
        <v>244.35740000000001</v>
      </c>
      <c r="F32" s="91">
        <v>244.3</v>
      </c>
      <c r="G32" s="91">
        <f t="shared" si="11"/>
        <v>13.28992</v>
      </c>
      <c r="I32" s="91">
        <f t="shared" si="12"/>
        <v>257.64732000000004</v>
      </c>
    </row>
    <row r="33" spans="2:10" x14ac:dyDescent="0.25">
      <c r="B33" s="137"/>
      <c r="C33" s="91">
        <v>3.58</v>
      </c>
      <c r="D33" s="91">
        <f t="shared" si="10"/>
        <v>252.1036</v>
      </c>
      <c r="F33" s="91">
        <v>252.02</v>
      </c>
      <c r="G33" s="91">
        <f t="shared" si="11"/>
        <v>13.709887999999999</v>
      </c>
      <c r="I33" s="91">
        <f t="shared" si="12"/>
        <v>265.81348800000001</v>
      </c>
    </row>
    <row r="34" spans="2:10" x14ac:dyDescent="0.25">
      <c r="B34" s="137"/>
      <c r="C34" s="91">
        <v>3.61</v>
      </c>
      <c r="D34" s="91">
        <f t="shared" si="10"/>
        <v>254.21619999999999</v>
      </c>
      <c r="F34" s="91">
        <v>254.23</v>
      </c>
      <c r="G34" s="91">
        <f t="shared" si="11"/>
        <v>13.830111999999998</v>
      </c>
      <c r="I34" s="91">
        <f t="shared" si="12"/>
        <v>268.046312</v>
      </c>
    </row>
    <row r="35" spans="2:10" x14ac:dyDescent="0.25">
      <c r="B35" s="137"/>
      <c r="C35" s="91">
        <v>4.29</v>
      </c>
      <c r="D35" s="91">
        <f t="shared" si="10"/>
        <v>302.10180000000003</v>
      </c>
      <c r="F35" s="91">
        <v>302.02</v>
      </c>
      <c r="G35" s="91">
        <f t="shared" si="11"/>
        <v>16.429887999999998</v>
      </c>
      <c r="I35" s="91">
        <f t="shared" si="12"/>
        <v>318.53168800000003</v>
      </c>
    </row>
    <row r="36" spans="2:10" x14ac:dyDescent="0.25">
      <c r="B36" s="137"/>
      <c r="C36" s="91">
        <v>5.4</v>
      </c>
      <c r="D36" s="91">
        <f t="shared" si="10"/>
        <v>380.26800000000003</v>
      </c>
      <c r="F36" s="91">
        <v>380.33</v>
      </c>
      <c r="G36" s="91">
        <f t="shared" si="11"/>
        <v>20.689951999999998</v>
      </c>
      <c r="I36" s="91">
        <f t="shared" si="12"/>
        <v>400.95795200000003</v>
      </c>
    </row>
    <row r="37" spans="2:10" x14ac:dyDescent="0.25">
      <c r="B37" s="137"/>
      <c r="C37" s="91">
        <v>4.7699999999999996</v>
      </c>
      <c r="D37" s="91">
        <f t="shared" si="10"/>
        <v>335.90339999999998</v>
      </c>
      <c r="F37" s="91">
        <v>335.85</v>
      </c>
      <c r="G37" s="91">
        <f t="shared" si="11"/>
        <v>18.270240000000001</v>
      </c>
      <c r="I37" s="91">
        <f t="shared" si="12"/>
        <v>354.17363999999998</v>
      </c>
    </row>
    <row r="38" spans="2:10" x14ac:dyDescent="0.25">
      <c r="B38" s="137"/>
      <c r="C38" s="91">
        <v>4.1500000000000004</v>
      </c>
      <c r="D38" s="91">
        <f t="shared" si="10"/>
        <v>292.24300000000005</v>
      </c>
      <c r="F38" s="91">
        <v>292.27999999999997</v>
      </c>
      <c r="G38" s="91">
        <f t="shared" si="11"/>
        <v>15.900031999999998</v>
      </c>
      <c r="I38" s="91">
        <f t="shared" si="12"/>
        <v>308.14303200000006</v>
      </c>
    </row>
    <row r="39" spans="2:10" x14ac:dyDescent="0.25">
      <c r="B39" s="137"/>
      <c r="C39" s="91">
        <v>4.21</v>
      </c>
      <c r="D39" s="91">
        <f t="shared" si="10"/>
        <v>296.46820000000002</v>
      </c>
      <c r="F39" s="91">
        <v>296.51</v>
      </c>
      <c r="G39" s="91">
        <f t="shared" si="11"/>
        <v>16.130143999999998</v>
      </c>
      <c r="I39" s="91">
        <f t="shared" si="12"/>
        <v>312.598344</v>
      </c>
    </row>
    <row r="40" spans="2:10" x14ac:dyDescent="0.25">
      <c r="B40" s="137"/>
      <c r="C40" s="91">
        <v>5.24</v>
      </c>
      <c r="D40" s="91">
        <f t="shared" si="10"/>
        <v>369.00080000000003</v>
      </c>
      <c r="F40" s="91">
        <v>368.93</v>
      </c>
      <c r="G40" s="91">
        <f t="shared" si="11"/>
        <v>20.069792</v>
      </c>
      <c r="I40" s="91">
        <f t="shared" si="12"/>
        <v>389.07059200000003</v>
      </c>
    </row>
    <row r="41" spans="2:10" x14ac:dyDescent="0.25">
      <c r="E41" s="95">
        <f>SUM(D30:D40)</f>
        <v>3197.7722000000003</v>
      </c>
      <c r="H41" s="95">
        <f>SUM(G30:G40)</f>
        <v>173.94998400000003</v>
      </c>
      <c r="J41" s="95">
        <f>SUM(I30:I40)</f>
        <v>3371.7221840000002</v>
      </c>
    </row>
    <row r="42" spans="2:10" x14ac:dyDescent="0.25">
      <c r="C42" s="138" t="s">
        <v>86</v>
      </c>
      <c r="D42" s="138"/>
      <c r="E42" s="92">
        <v>76.62</v>
      </c>
      <c r="H42" s="95"/>
      <c r="J42" s="95"/>
    </row>
    <row r="43" spans="2:10" ht="15" customHeight="1" x14ac:dyDescent="0.25">
      <c r="B43" s="137" t="s">
        <v>97</v>
      </c>
      <c r="C43" s="91">
        <v>2.75</v>
      </c>
      <c r="D43" s="91">
        <f t="shared" ref="D43:D54" si="13">$E$42*C43</f>
        <v>210.70500000000001</v>
      </c>
      <c r="F43" s="91">
        <v>210.66</v>
      </c>
      <c r="G43" s="91">
        <f t="shared" ref="G43:G54" si="14">$I$20*F43</f>
        <v>11.459904</v>
      </c>
      <c r="I43" s="91">
        <f t="shared" ref="I43:I54" si="15">D43+G43</f>
        <v>222.16490400000001</v>
      </c>
    </row>
    <row r="44" spans="2:10" x14ac:dyDescent="0.25">
      <c r="B44" s="137"/>
      <c r="C44" s="91">
        <v>2.95</v>
      </c>
      <c r="D44" s="91">
        <f t="shared" si="13"/>
        <v>226.02900000000002</v>
      </c>
      <c r="F44" s="91">
        <v>226.1</v>
      </c>
      <c r="G44" s="91">
        <f t="shared" si="14"/>
        <v>12.29984</v>
      </c>
      <c r="I44" s="91">
        <f t="shared" si="15"/>
        <v>238.32884000000001</v>
      </c>
    </row>
    <row r="45" spans="2:10" x14ac:dyDescent="0.25">
      <c r="B45" s="137"/>
      <c r="C45" s="91">
        <v>2.54</v>
      </c>
      <c r="D45" s="91">
        <f t="shared" si="13"/>
        <v>194.6148</v>
      </c>
      <c r="F45" s="91">
        <v>194.67</v>
      </c>
      <c r="G45" s="91">
        <f t="shared" si="14"/>
        <v>10.590047999999999</v>
      </c>
      <c r="I45" s="91">
        <f t="shared" si="15"/>
        <v>205.204848</v>
      </c>
    </row>
    <row r="46" spans="2:10" x14ac:dyDescent="0.25">
      <c r="B46" s="137"/>
      <c r="C46" s="91">
        <v>3.4</v>
      </c>
      <c r="D46" s="91">
        <f t="shared" si="13"/>
        <v>260.50799999999998</v>
      </c>
      <c r="F46" s="91">
        <v>260.48</v>
      </c>
      <c r="G46" s="91">
        <f t="shared" si="14"/>
        <v>14.170112</v>
      </c>
      <c r="I46" s="91">
        <f t="shared" si="15"/>
        <v>274.678112</v>
      </c>
    </row>
    <row r="47" spans="2:10" x14ac:dyDescent="0.25">
      <c r="B47" s="137"/>
      <c r="C47" s="91">
        <v>3.34</v>
      </c>
      <c r="D47" s="91">
        <f t="shared" si="13"/>
        <v>255.91079999999999</v>
      </c>
      <c r="F47" s="91">
        <v>255.88</v>
      </c>
      <c r="G47" s="91">
        <f t="shared" si="14"/>
        <v>13.919872</v>
      </c>
      <c r="I47" s="91">
        <f t="shared" si="15"/>
        <v>269.83067199999999</v>
      </c>
    </row>
    <row r="48" spans="2:10" x14ac:dyDescent="0.25">
      <c r="B48" s="137"/>
      <c r="C48" s="91">
        <v>3.09</v>
      </c>
      <c r="D48" s="91">
        <f t="shared" si="13"/>
        <v>236.75579999999999</v>
      </c>
      <c r="F48" s="91">
        <v>236.76</v>
      </c>
      <c r="G48" s="91">
        <f t="shared" si="14"/>
        <v>12.879743999999999</v>
      </c>
      <c r="I48" s="91">
        <f t="shared" si="15"/>
        <v>249.63554399999998</v>
      </c>
    </row>
    <row r="49" spans="2:10" x14ac:dyDescent="0.25">
      <c r="B49" s="137"/>
      <c r="C49" s="91">
        <v>7.76</v>
      </c>
      <c r="D49" s="91">
        <f t="shared" si="13"/>
        <v>594.57119999999998</v>
      </c>
      <c r="F49" s="91">
        <v>594.49</v>
      </c>
      <c r="G49" s="91">
        <f t="shared" si="14"/>
        <v>32.340255999999997</v>
      </c>
      <c r="I49" s="91">
        <f t="shared" si="15"/>
        <v>626.91145599999993</v>
      </c>
    </row>
    <row r="50" spans="2:10" x14ac:dyDescent="0.25">
      <c r="B50" s="137"/>
      <c r="C50" s="91">
        <v>5.27</v>
      </c>
      <c r="D50" s="91">
        <f t="shared" si="13"/>
        <v>403.78739999999999</v>
      </c>
      <c r="F50" s="91">
        <v>403.86</v>
      </c>
      <c r="G50" s="91">
        <f t="shared" si="14"/>
        <v>21.969984</v>
      </c>
      <c r="I50" s="91">
        <f t="shared" si="15"/>
        <v>425.757384</v>
      </c>
    </row>
    <row r="51" spans="2:10" x14ac:dyDescent="0.25">
      <c r="B51" s="137"/>
      <c r="C51" s="91">
        <v>4.08</v>
      </c>
      <c r="D51" s="91">
        <f t="shared" si="13"/>
        <v>312.6096</v>
      </c>
      <c r="F51" s="91">
        <v>312.68</v>
      </c>
      <c r="G51" s="91">
        <f t="shared" si="14"/>
        <v>17.009792000000001</v>
      </c>
      <c r="I51" s="91">
        <f t="shared" si="15"/>
        <v>329.619392</v>
      </c>
    </row>
    <row r="52" spans="2:10" x14ac:dyDescent="0.25">
      <c r="B52" s="137"/>
      <c r="C52" s="91">
        <v>5.46</v>
      </c>
      <c r="D52" s="91">
        <f t="shared" si="13"/>
        <v>418.34520000000003</v>
      </c>
      <c r="F52" s="91">
        <v>418.38</v>
      </c>
      <c r="G52" s="91">
        <f t="shared" si="14"/>
        <v>22.759871999999998</v>
      </c>
      <c r="I52" s="91">
        <f t="shared" si="15"/>
        <v>441.10507200000001</v>
      </c>
    </row>
    <row r="53" spans="2:10" x14ac:dyDescent="0.25">
      <c r="B53" s="137"/>
      <c r="C53" s="91">
        <v>4.33</v>
      </c>
      <c r="D53" s="91">
        <f t="shared" si="13"/>
        <v>331.76460000000003</v>
      </c>
      <c r="F53" s="91">
        <v>331.8</v>
      </c>
      <c r="G53" s="91">
        <f t="shared" si="14"/>
        <v>18.04992</v>
      </c>
      <c r="I53" s="91">
        <f t="shared" si="15"/>
        <v>349.81452000000002</v>
      </c>
    </row>
    <row r="54" spans="2:10" x14ac:dyDescent="0.25">
      <c r="B54" s="137"/>
      <c r="C54" s="91">
        <v>6.16</v>
      </c>
      <c r="D54" s="91">
        <f t="shared" si="13"/>
        <v>471.97920000000005</v>
      </c>
      <c r="F54" s="91">
        <v>472.06</v>
      </c>
      <c r="G54" s="91">
        <f t="shared" si="14"/>
        <v>25.680063999999998</v>
      </c>
      <c r="I54" s="91">
        <f t="shared" si="15"/>
        <v>497.65926400000006</v>
      </c>
    </row>
    <row r="55" spans="2:10" x14ac:dyDescent="0.25">
      <c r="E55" s="95">
        <f>SUM(D43:D54)</f>
        <v>3917.5806000000007</v>
      </c>
      <c r="H55" s="95">
        <f>SUM(G43:G54)</f>
        <v>213.12940799999998</v>
      </c>
      <c r="J55" s="95">
        <f>SUM(I43:I54)</f>
        <v>4130.710008</v>
      </c>
    </row>
    <row r="56" spans="2:10" ht="15" customHeight="1" x14ac:dyDescent="0.25">
      <c r="B56" s="137" t="s">
        <v>7</v>
      </c>
      <c r="C56" s="91">
        <v>7.09</v>
      </c>
      <c r="D56" s="91">
        <f t="shared" ref="D56:D71" si="16">$E$42*C56</f>
        <v>543.23580000000004</v>
      </c>
      <c r="F56" s="91">
        <v>543.20000000000005</v>
      </c>
      <c r="G56" s="91">
        <f t="shared" ref="G56:G71" si="17">$I$20*F56</f>
        <v>29.550080000000001</v>
      </c>
      <c r="I56" s="91">
        <f t="shared" ref="I56:I71" si="18">D56+G56</f>
        <v>572.78588000000002</v>
      </c>
    </row>
    <row r="57" spans="2:10" x14ac:dyDescent="0.25">
      <c r="B57" s="137"/>
      <c r="C57" s="91">
        <v>7.59</v>
      </c>
      <c r="D57" s="91">
        <f t="shared" si="16"/>
        <v>581.54579999999999</v>
      </c>
      <c r="F57" s="91">
        <v>581.62</v>
      </c>
      <c r="G57" s="91">
        <f t="shared" si="17"/>
        <v>31.640127999999997</v>
      </c>
      <c r="I57" s="91">
        <f t="shared" si="18"/>
        <v>613.18592799999999</v>
      </c>
    </row>
    <row r="58" spans="2:10" x14ac:dyDescent="0.25">
      <c r="B58" s="137"/>
      <c r="C58" s="91">
        <v>9.66</v>
      </c>
      <c r="D58" s="91">
        <f t="shared" si="16"/>
        <v>740.14920000000006</v>
      </c>
      <c r="F58" s="91">
        <v>740.07</v>
      </c>
      <c r="G58" s="91">
        <f t="shared" si="17"/>
        <v>40.259808</v>
      </c>
      <c r="I58" s="91">
        <f t="shared" si="18"/>
        <v>780.40900800000009</v>
      </c>
    </row>
    <row r="59" spans="2:10" x14ac:dyDescent="0.25">
      <c r="B59" s="137"/>
      <c r="C59" s="91">
        <v>8.02</v>
      </c>
      <c r="D59" s="91">
        <f t="shared" si="16"/>
        <v>614.49239999999998</v>
      </c>
      <c r="F59" s="91">
        <v>614.52</v>
      </c>
      <c r="G59" s="91">
        <f t="shared" si="17"/>
        <v>33.429887999999998</v>
      </c>
      <c r="I59" s="91">
        <f t="shared" si="18"/>
        <v>647.92228799999998</v>
      </c>
    </row>
    <row r="60" spans="2:10" x14ac:dyDescent="0.25">
      <c r="B60" s="137"/>
      <c r="C60" s="91">
        <v>9.43</v>
      </c>
      <c r="D60" s="91">
        <f t="shared" si="16"/>
        <v>722.52660000000003</v>
      </c>
      <c r="F60" s="91">
        <v>722.61</v>
      </c>
      <c r="G60" s="91">
        <f t="shared" si="17"/>
        <v>39.309984</v>
      </c>
      <c r="I60" s="91">
        <f t="shared" si="18"/>
        <v>761.83658400000002</v>
      </c>
    </row>
    <row r="61" spans="2:10" x14ac:dyDescent="0.25">
      <c r="B61" s="137"/>
      <c r="C61" s="91">
        <v>7.95</v>
      </c>
      <c r="D61" s="91">
        <f t="shared" si="16"/>
        <v>609.12900000000002</v>
      </c>
      <c r="F61" s="91">
        <v>609.19000000000005</v>
      </c>
      <c r="G61" s="91">
        <f t="shared" si="17"/>
        <v>33.139935999999999</v>
      </c>
      <c r="I61" s="91">
        <f t="shared" si="18"/>
        <v>642.26893600000005</v>
      </c>
    </row>
    <row r="62" spans="2:10" x14ac:dyDescent="0.25">
      <c r="B62" s="137"/>
      <c r="C62" s="91">
        <v>9.11</v>
      </c>
      <c r="D62" s="91">
        <f t="shared" si="16"/>
        <v>698.00819999999999</v>
      </c>
      <c r="F62" s="91">
        <v>697.98</v>
      </c>
      <c r="G62" s="91">
        <f t="shared" si="17"/>
        <v>37.970112</v>
      </c>
      <c r="I62" s="91">
        <f t="shared" si="18"/>
        <v>735.97831199999996</v>
      </c>
    </row>
    <row r="63" spans="2:10" x14ac:dyDescent="0.25">
      <c r="B63" s="137"/>
      <c r="C63" s="91">
        <v>9.7799999999999994</v>
      </c>
      <c r="D63" s="91">
        <f t="shared" si="16"/>
        <v>749.34360000000004</v>
      </c>
      <c r="F63" s="91">
        <v>749.26</v>
      </c>
      <c r="G63" s="91">
        <f t="shared" si="17"/>
        <v>40.759743999999998</v>
      </c>
      <c r="I63" s="91">
        <f t="shared" si="18"/>
        <v>790.10334399999999</v>
      </c>
    </row>
    <row r="64" spans="2:10" x14ac:dyDescent="0.25">
      <c r="B64" s="137"/>
      <c r="C64" s="91">
        <v>8.5399999999999991</v>
      </c>
      <c r="D64" s="91">
        <f t="shared" si="16"/>
        <v>654.33479999999997</v>
      </c>
      <c r="F64" s="91">
        <v>654.41</v>
      </c>
      <c r="G64" s="91">
        <f t="shared" si="17"/>
        <v>35.599903999999995</v>
      </c>
      <c r="I64" s="91">
        <f t="shared" si="18"/>
        <v>689.93470400000001</v>
      </c>
    </row>
    <row r="65" spans="2:13" x14ac:dyDescent="0.25">
      <c r="B65" s="137"/>
      <c r="C65" s="91">
        <v>10.4</v>
      </c>
      <c r="D65" s="91">
        <f t="shared" si="16"/>
        <v>796.84800000000007</v>
      </c>
      <c r="F65" s="91">
        <v>796.88</v>
      </c>
      <c r="G65" s="91">
        <f t="shared" si="17"/>
        <v>43.350271999999997</v>
      </c>
      <c r="I65" s="91">
        <f t="shared" si="18"/>
        <v>840.19827200000009</v>
      </c>
    </row>
    <row r="66" spans="2:13" x14ac:dyDescent="0.25">
      <c r="B66" s="137"/>
      <c r="C66" s="91">
        <v>8.02</v>
      </c>
      <c r="D66" s="91">
        <f t="shared" si="16"/>
        <v>614.49239999999998</v>
      </c>
      <c r="F66" s="91">
        <v>614.52</v>
      </c>
      <c r="G66" s="91">
        <f t="shared" si="17"/>
        <v>33.429887999999998</v>
      </c>
      <c r="I66" s="91">
        <f t="shared" si="18"/>
        <v>647.92228799999998</v>
      </c>
    </row>
    <row r="67" spans="2:13" x14ac:dyDescent="0.25">
      <c r="B67" s="137"/>
      <c r="C67" s="91">
        <v>7.67</v>
      </c>
      <c r="D67" s="91">
        <f t="shared" si="16"/>
        <v>587.67540000000008</v>
      </c>
      <c r="F67" s="91">
        <v>587.67999999999995</v>
      </c>
      <c r="G67" s="91">
        <f t="shared" si="17"/>
        <v>31.969791999999995</v>
      </c>
      <c r="I67" s="91">
        <f t="shared" si="18"/>
        <v>619.64519200000007</v>
      </c>
    </row>
    <row r="68" spans="2:13" x14ac:dyDescent="0.25">
      <c r="B68" s="137"/>
      <c r="C68" s="91">
        <v>8.34</v>
      </c>
      <c r="D68" s="91">
        <f t="shared" si="16"/>
        <v>639.01080000000002</v>
      </c>
      <c r="F68" s="91">
        <v>638.97</v>
      </c>
      <c r="G68" s="91">
        <f t="shared" si="17"/>
        <v>34.759968000000001</v>
      </c>
      <c r="I68" s="91">
        <f t="shared" si="18"/>
        <v>673.77076799999998</v>
      </c>
    </row>
    <row r="69" spans="2:13" x14ac:dyDescent="0.25">
      <c r="B69" s="137"/>
      <c r="C69" s="91">
        <v>8.66</v>
      </c>
      <c r="D69" s="91">
        <f t="shared" si="16"/>
        <v>663.52920000000006</v>
      </c>
      <c r="F69" s="91">
        <v>663.6</v>
      </c>
      <c r="G69" s="91">
        <f t="shared" si="17"/>
        <v>36.09984</v>
      </c>
      <c r="I69" s="91">
        <f t="shared" si="18"/>
        <v>699.62904000000003</v>
      </c>
    </row>
    <row r="70" spans="2:13" x14ac:dyDescent="0.25">
      <c r="B70" s="137"/>
      <c r="C70" s="91">
        <v>9.49</v>
      </c>
      <c r="D70" s="91">
        <f t="shared" si="16"/>
        <v>727.12380000000007</v>
      </c>
      <c r="F70" s="91">
        <v>727.21</v>
      </c>
      <c r="G70" s="91">
        <f t="shared" si="17"/>
        <v>39.560223999999998</v>
      </c>
      <c r="I70" s="91">
        <f t="shared" si="18"/>
        <v>766.68402400000002</v>
      </c>
    </row>
    <row r="71" spans="2:13" x14ac:dyDescent="0.25">
      <c r="B71" s="137"/>
      <c r="C71" s="91">
        <v>1.74</v>
      </c>
      <c r="D71" s="91">
        <f t="shared" si="16"/>
        <v>133.31880000000001</v>
      </c>
      <c r="F71" s="91">
        <v>133.27000000000001</v>
      </c>
      <c r="G71" s="91">
        <f t="shared" si="17"/>
        <v>7.2498880000000003</v>
      </c>
      <c r="I71" s="91">
        <f t="shared" si="18"/>
        <v>140.56868800000001</v>
      </c>
    </row>
    <row r="72" spans="2:13" x14ac:dyDescent="0.25">
      <c r="E72" s="95">
        <f>SUM(D56:D71)</f>
        <v>10074.763800000001</v>
      </c>
      <c r="H72" s="95">
        <f>SUM(G56:G71)</f>
        <v>548.07945600000005</v>
      </c>
      <c r="J72" s="95">
        <f>SUM(I56:I71)</f>
        <v>10622.843256</v>
      </c>
    </row>
    <row r="73" spans="2:13" ht="15" customHeight="1" x14ac:dyDescent="0.25">
      <c r="B73" s="137" t="s">
        <v>98</v>
      </c>
      <c r="C73" s="91">
        <v>0.6</v>
      </c>
      <c r="D73" s="97">
        <f t="shared" ref="D73:D85" si="19">$E$42*C73</f>
        <v>45.972000000000001</v>
      </c>
      <c r="F73" s="91">
        <v>50</v>
      </c>
      <c r="G73" s="91">
        <f t="shared" ref="G73:G85" si="20">$I$20*F73</f>
        <v>2.7199999999999998</v>
      </c>
      <c r="I73" s="91">
        <f t="shared" ref="I73:I85" si="21">D73+G73</f>
        <v>48.692</v>
      </c>
      <c r="K73" t="s">
        <v>99</v>
      </c>
      <c r="L73" s="98">
        <v>50</v>
      </c>
      <c r="M73" t="s">
        <v>100</v>
      </c>
    </row>
    <row r="74" spans="2:13" x14ac:dyDescent="0.25">
      <c r="B74" s="137"/>
      <c r="C74" s="91">
        <v>7.68</v>
      </c>
      <c r="D74" s="91">
        <f t="shared" si="19"/>
        <v>588.44159999999999</v>
      </c>
      <c r="F74" s="91">
        <v>588.41999999999996</v>
      </c>
      <c r="G74" s="91">
        <f t="shared" si="20"/>
        <v>32.010047999999998</v>
      </c>
      <c r="I74" s="91">
        <f t="shared" si="21"/>
        <v>620.45164799999998</v>
      </c>
      <c r="K74" s="95">
        <f>L73-D73</f>
        <v>4.0279999999999987</v>
      </c>
    </row>
    <row r="75" spans="2:13" x14ac:dyDescent="0.25">
      <c r="B75" s="137"/>
      <c r="C75" s="91">
        <v>8.14</v>
      </c>
      <c r="D75" s="91">
        <f t="shared" si="19"/>
        <v>623.68680000000006</v>
      </c>
      <c r="F75" s="91">
        <v>623.71</v>
      </c>
      <c r="G75" s="91">
        <f t="shared" si="20"/>
        <v>33.929824000000004</v>
      </c>
      <c r="I75" s="91">
        <f t="shared" si="21"/>
        <v>657.61662400000012</v>
      </c>
    </row>
    <row r="76" spans="2:13" x14ac:dyDescent="0.25">
      <c r="B76" s="137"/>
      <c r="C76" s="91">
        <v>9.34</v>
      </c>
      <c r="D76" s="91">
        <f t="shared" si="19"/>
        <v>715.63080000000002</v>
      </c>
      <c r="F76" s="91">
        <v>715.63</v>
      </c>
      <c r="G76" s="91">
        <f t="shared" si="20"/>
        <v>38.930271999999995</v>
      </c>
      <c r="I76" s="91">
        <f t="shared" si="21"/>
        <v>754.56107199999997</v>
      </c>
    </row>
    <row r="77" spans="2:13" x14ac:dyDescent="0.25">
      <c r="B77" s="137"/>
      <c r="C77" s="91">
        <v>9.43</v>
      </c>
      <c r="D77" s="91">
        <f t="shared" si="19"/>
        <v>722.52660000000003</v>
      </c>
      <c r="F77" s="91">
        <v>722.61</v>
      </c>
      <c r="G77" s="91">
        <f t="shared" si="20"/>
        <v>39.309984</v>
      </c>
      <c r="I77" s="91">
        <f t="shared" si="21"/>
        <v>761.83658400000002</v>
      </c>
    </row>
    <row r="78" spans="2:13" x14ac:dyDescent="0.25">
      <c r="B78" s="137"/>
      <c r="C78" s="91">
        <v>7.66</v>
      </c>
      <c r="D78" s="91">
        <f t="shared" si="19"/>
        <v>586.90920000000006</v>
      </c>
      <c r="F78" s="91">
        <v>586.95000000000005</v>
      </c>
      <c r="G78" s="91">
        <f t="shared" si="20"/>
        <v>31.93008</v>
      </c>
      <c r="I78" s="91">
        <f t="shared" si="21"/>
        <v>618.83928000000003</v>
      </c>
    </row>
    <row r="79" spans="2:13" x14ac:dyDescent="0.25">
      <c r="B79" s="137"/>
      <c r="C79" s="91">
        <v>8.11</v>
      </c>
      <c r="D79" s="91">
        <f t="shared" si="19"/>
        <v>621.38819999999998</v>
      </c>
      <c r="F79" s="91">
        <v>621.32000000000005</v>
      </c>
      <c r="G79" s="91">
        <f t="shared" si="20"/>
        <v>33.799807999999999</v>
      </c>
      <c r="I79" s="91">
        <f t="shared" si="21"/>
        <v>655.18800799999997</v>
      </c>
    </row>
    <row r="80" spans="2:13" x14ac:dyDescent="0.25">
      <c r="B80" s="137"/>
      <c r="C80" s="91">
        <v>6.3</v>
      </c>
      <c r="D80" s="91">
        <f t="shared" si="19"/>
        <v>482.70600000000002</v>
      </c>
      <c r="F80" s="91">
        <v>482.72</v>
      </c>
      <c r="G80" s="91">
        <f t="shared" si="20"/>
        <v>26.259968000000001</v>
      </c>
      <c r="I80" s="91">
        <f t="shared" si="21"/>
        <v>508.96596800000003</v>
      </c>
    </row>
    <row r="81" spans="2:15" x14ac:dyDescent="0.25">
      <c r="B81" s="137"/>
      <c r="C81" s="91">
        <v>5.45</v>
      </c>
      <c r="D81" s="91">
        <f t="shared" si="19"/>
        <v>417.57900000000006</v>
      </c>
      <c r="F81" s="91">
        <v>417.65</v>
      </c>
      <c r="G81" s="91">
        <f t="shared" si="20"/>
        <v>22.720159999999996</v>
      </c>
      <c r="I81" s="91">
        <f t="shared" si="21"/>
        <v>440.29916000000009</v>
      </c>
    </row>
    <row r="82" spans="2:15" x14ac:dyDescent="0.25">
      <c r="B82" s="137"/>
      <c r="C82" s="91">
        <v>4.72</v>
      </c>
      <c r="D82" s="91">
        <f t="shared" si="19"/>
        <v>361.64640000000003</v>
      </c>
      <c r="F82" s="91">
        <v>361.58</v>
      </c>
      <c r="G82" s="91">
        <f t="shared" si="20"/>
        <v>19.669951999999999</v>
      </c>
      <c r="I82" s="91">
        <f t="shared" si="21"/>
        <v>381.31635200000005</v>
      </c>
    </row>
    <row r="83" spans="2:15" x14ac:dyDescent="0.25">
      <c r="B83" s="137"/>
      <c r="C83" s="91">
        <v>8.98</v>
      </c>
      <c r="D83" s="91">
        <f t="shared" si="19"/>
        <v>688.0476000000001</v>
      </c>
      <c r="F83" s="91">
        <v>688.05</v>
      </c>
      <c r="G83" s="91">
        <f t="shared" si="20"/>
        <v>37.429919999999996</v>
      </c>
      <c r="I83" s="91">
        <f t="shared" si="21"/>
        <v>725.47752000000014</v>
      </c>
    </row>
    <row r="84" spans="2:15" x14ac:dyDescent="0.25">
      <c r="B84" s="137"/>
      <c r="C84" s="91">
        <v>5.88</v>
      </c>
      <c r="D84" s="91">
        <f t="shared" si="19"/>
        <v>450.5256</v>
      </c>
      <c r="F84" s="91">
        <v>450.55</v>
      </c>
      <c r="G84" s="91">
        <f t="shared" si="20"/>
        <v>24.509919999999997</v>
      </c>
      <c r="I84" s="91">
        <f t="shared" si="21"/>
        <v>475.03552000000002</v>
      </c>
      <c r="K84" t="s">
        <v>101</v>
      </c>
      <c r="L84" s="91">
        <v>7211.38</v>
      </c>
      <c r="M84" s="95">
        <f>L84-J86</f>
        <v>4.0497039999991102</v>
      </c>
      <c r="N84" s="95"/>
      <c r="O84" s="95"/>
    </row>
    <row r="85" spans="2:15" x14ac:dyDescent="0.25">
      <c r="B85" s="137"/>
      <c r="C85" s="91">
        <v>6.92</v>
      </c>
      <c r="D85" s="91">
        <f t="shared" si="19"/>
        <v>530.21040000000005</v>
      </c>
      <c r="F85" s="91">
        <v>530.15</v>
      </c>
      <c r="G85" s="91">
        <f t="shared" si="20"/>
        <v>28.840159999999997</v>
      </c>
      <c r="I85" s="91">
        <f t="shared" si="21"/>
        <v>559.05056000000002</v>
      </c>
    </row>
    <row r="86" spans="2:15" x14ac:dyDescent="0.25">
      <c r="E86" s="95">
        <f>SUM(D73:D85)</f>
        <v>6835.270199999999</v>
      </c>
      <c r="H86" s="95">
        <f>SUM(G73:G85)</f>
        <v>372.06009600000004</v>
      </c>
      <c r="J86" s="95">
        <f>SUM(I73:I85)</f>
        <v>7207.330296000001</v>
      </c>
    </row>
    <row r="87" spans="2:15" ht="15" customHeight="1" x14ac:dyDescent="0.25">
      <c r="B87" s="137" t="s">
        <v>102</v>
      </c>
      <c r="C87" s="91">
        <v>6.25</v>
      </c>
      <c r="D87" s="91">
        <f t="shared" ref="D87:D102" si="22">$E$42*C87</f>
        <v>478.875</v>
      </c>
      <c r="F87" s="91">
        <v>478.86</v>
      </c>
      <c r="G87" s="91">
        <f t="shared" ref="G87:G102" si="23">$I$20*F87</f>
        <v>26.049983999999998</v>
      </c>
      <c r="I87" s="91">
        <f t="shared" ref="I87:I102" si="24">D87+G87</f>
        <v>504.92498399999999</v>
      </c>
    </row>
    <row r="88" spans="2:15" x14ac:dyDescent="0.25">
      <c r="B88" s="137"/>
      <c r="C88" s="91">
        <v>6.54</v>
      </c>
      <c r="D88" s="91">
        <f t="shared" si="22"/>
        <v>501.09480000000002</v>
      </c>
      <c r="F88" s="91">
        <v>501.1</v>
      </c>
      <c r="G88" s="91">
        <f t="shared" si="23"/>
        <v>27.259840000000001</v>
      </c>
      <c r="I88" s="91">
        <f t="shared" si="24"/>
        <v>528.35464000000002</v>
      </c>
    </row>
    <row r="89" spans="2:15" x14ac:dyDescent="0.25">
      <c r="B89" s="137"/>
      <c r="C89" s="91">
        <v>7.22</v>
      </c>
      <c r="D89" s="91">
        <f t="shared" si="22"/>
        <v>553.19640000000004</v>
      </c>
      <c r="F89" s="91">
        <v>553.13</v>
      </c>
      <c r="G89" s="91">
        <f t="shared" si="23"/>
        <v>30.090271999999999</v>
      </c>
      <c r="I89" s="91">
        <f t="shared" si="24"/>
        <v>583.28667200000007</v>
      </c>
    </row>
    <row r="90" spans="2:15" x14ac:dyDescent="0.25">
      <c r="B90" s="137"/>
      <c r="C90" s="91">
        <v>1.08</v>
      </c>
      <c r="D90" s="91">
        <f t="shared" si="22"/>
        <v>82.749600000000015</v>
      </c>
      <c r="F90" s="91">
        <v>82.72</v>
      </c>
      <c r="G90" s="91">
        <f t="shared" si="23"/>
        <v>4.499968</v>
      </c>
      <c r="I90" s="91">
        <f t="shared" si="24"/>
        <v>87.249568000000011</v>
      </c>
    </row>
    <row r="91" spans="2:15" x14ac:dyDescent="0.25">
      <c r="B91" s="137"/>
      <c r="C91" s="91">
        <v>7.12</v>
      </c>
      <c r="D91" s="91">
        <f t="shared" si="22"/>
        <v>545.53440000000001</v>
      </c>
      <c r="F91" s="91">
        <v>545.59</v>
      </c>
      <c r="G91" s="91">
        <f t="shared" si="23"/>
        <v>29.680095999999999</v>
      </c>
      <c r="I91" s="91">
        <f t="shared" si="24"/>
        <v>575.21449600000005</v>
      </c>
    </row>
    <row r="92" spans="2:15" x14ac:dyDescent="0.25">
      <c r="B92" s="137"/>
      <c r="C92" s="91">
        <v>5.9</v>
      </c>
      <c r="D92" s="91">
        <f t="shared" si="22"/>
        <v>452.05800000000005</v>
      </c>
      <c r="F92" s="91">
        <v>452.02</v>
      </c>
      <c r="G92" s="91">
        <f t="shared" si="23"/>
        <v>24.589887999999998</v>
      </c>
      <c r="I92" s="91">
        <f t="shared" si="24"/>
        <v>476.64788800000002</v>
      </c>
    </row>
    <row r="93" spans="2:15" x14ac:dyDescent="0.25">
      <c r="B93" s="137"/>
      <c r="C93" s="91">
        <v>5.72</v>
      </c>
      <c r="D93" s="91">
        <f t="shared" si="22"/>
        <v>438.26640000000003</v>
      </c>
      <c r="F93" s="91">
        <v>438.24</v>
      </c>
      <c r="G93" s="91">
        <f t="shared" si="23"/>
        <v>23.840256</v>
      </c>
      <c r="I93" s="91">
        <f t="shared" si="24"/>
        <v>462.10665600000004</v>
      </c>
    </row>
    <row r="94" spans="2:15" x14ac:dyDescent="0.25">
      <c r="B94" s="137"/>
      <c r="C94" s="91">
        <v>6.22</v>
      </c>
      <c r="D94" s="91">
        <f t="shared" si="22"/>
        <v>476.57640000000004</v>
      </c>
      <c r="F94" s="91">
        <v>476.65</v>
      </c>
      <c r="G94" s="91">
        <f t="shared" si="23"/>
        <v>25.929759999999998</v>
      </c>
      <c r="I94" s="91">
        <f t="shared" si="24"/>
        <v>502.50616000000002</v>
      </c>
    </row>
    <row r="95" spans="2:15" x14ac:dyDescent="0.25">
      <c r="B95" s="137"/>
      <c r="C95" s="91">
        <v>4.47</v>
      </c>
      <c r="D95" s="91">
        <f t="shared" si="22"/>
        <v>342.4914</v>
      </c>
      <c r="F95" s="91">
        <v>342.46</v>
      </c>
      <c r="G95" s="91">
        <f t="shared" si="23"/>
        <v>18.629823999999999</v>
      </c>
      <c r="I95" s="91">
        <f t="shared" si="24"/>
        <v>361.12122399999998</v>
      </c>
    </row>
    <row r="96" spans="2:15" x14ac:dyDescent="0.25">
      <c r="B96" s="137"/>
      <c r="C96" s="91">
        <v>5.76</v>
      </c>
      <c r="D96" s="91">
        <f t="shared" si="22"/>
        <v>441.33120000000002</v>
      </c>
      <c r="F96" s="91">
        <v>441.36</v>
      </c>
      <c r="G96" s="91">
        <f t="shared" si="23"/>
        <v>24.009983999999999</v>
      </c>
      <c r="I96" s="91">
        <f t="shared" si="24"/>
        <v>465.341184</v>
      </c>
    </row>
    <row r="97" spans="2:13" x14ac:dyDescent="0.25">
      <c r="B97" s="137"/>
      <c r="C97" s="91">
        <v>6</v>
      </c>
      <c r="D97" s="91">
        <f t="shared" si="22"/>
        <v>459.72</v>
      </c>
      <c r="F97" s="91">
        <v>459.74</v>
      </c>
      <c r="G97" s="91">
        <f t="shared" si="23"/>
        <v>25.009855999999999</v>
      </c>
      <c r="I97" s="91">
        <f t="shared" si="24"/>
        <v>484.72985600000004</v>
      </c>
    </row>
    <row r="98" spans="2:13" x14ac:dyDescent="0.25">
      <c r="B98" s="137"/>
      <c r="C98" s="91">
        <v>5.88</v>
      </c>
      <c r="D98" s="91">
        <f t="shared" si="22"/>
        <v>450.5256</v>
      </c>
      <c r="F98" s="91">
        <v>450.55</v>
      </c>
      <c r="G98" s="91">
        <f t="shared" si="23"/>
        <v>24.509919999999997</v>
      </c>
      <c r="I98" s="91">
        <f t="shared" si="24"/>
        <v>475.03552000000002</v>
      </c>
    </row>
    <row r="99" spans="2:13" x14ac:dyDescent="0.25">
      <c r="B99" s="137"/>
      <c r="C99" s="91">
        <v>5.56</v>
      </c>
      <c r="D99" s="91">
        <f t="shared" si="22"/>
        <v>426.00720000000001</v>
      </c>
      <c r="F99" s="91">
        <v>425.92</v>
      </c>
      <c r="G99" s="91">
        <f t="shared" si="23"/>
        <v>23.170048000000001</v>
      </c>
      <c r="I99" s="91">
        <f t="shared" si="24"/>
        <v>449.17724800000002</v>
      </c>
    </row>
    <row r="100" spans="2:13" x14ac:dyDescent="0.25">
      <c r="B100" s="137"/>
      <c r="C100" s="91">
        <v>4.83</v>
      </c>
      <c r="D100" s="91">
        <f t="shared" si="22"/>
        <v>370.07460000000003</v>
      </c>
      <c r="F100" s="91">
        <v>370.04</v>
      </c>
      <c r="G100" s="91">
        <f t="shared" si="23"/>
        <v>20.130175999999999</v>
      </c>
      <c r="I100" s="91">
        <f t="shared" si="24"/>
        <v>390.20477600000004</v>
      </c>
    </row>
    <row r="101" spans="2:13" x14ac:dyDescent="0.25">
      <c r="B101" s="137"/>
      <c r="C101" s="91">
        <v>5.23</v>
      </c>
      <c r="D101" s="91">
        <f t="shared" si="22"/>
        <v>400.72260000000006</v>
      </c>
      <c r="F101" s="91">
        <v>400.74</v>
      </c>
      <c r="G101" s="91">
        <f t="shared" si="23"/>
        <v>21.800256000000001</v>
      </c>
      <c r="I101" s="91">
        <f t="shared" si="24"/>
        <v>422.52285600000005</v>
      </c>
    </row>
    <row r="102" spans="2:13" x14ac:dyDescent="0.25">
      <c r="B102" s="137"/>
      <c r="C102" s="91">
        <v>5.0599999999999996</v>
      </c>
      <c r="D102" s="91">
        <f t="shared" si="22"/>
        <v>387.69720000000001</v>
      </c>
      <c r="F102" s="91">
        <v>387.68</v>
      </c>
      <c r="G102" s="91">
        <f t="shared" si="23"/>
        <v>21.089791999999999</v>
      </c>
      <c r="I102" s="91">
        <f t="shared" si="24"/>
        <v>408.786992</v>
      </c>
    </row>
    <row r="103" spans="2:13" x14ac:dyDescent="0.25">
      <c r="E103" s="95">
        <f>SUM(D87:D102)</f>
        <v>6806.9207999999999</v>
      </c>
      <c r="H103" s="95">
        <f>SUM(G87:G102)</f>
        <v>370.28992</v>
      </c>
      <c r="J103" s="95">
        <f>SUM(I87:I102)</f>
        <v>7177.21072</v>
      </c>
    </row>
    <row r="104" spans="2:13" ht="15" customHeight="1" x14ac:dyDescent="0.25">
      <c r="B104" s="137" t="s">
        <v>103</v>
      </c>
      <c r="C104" s="91">
        <v>0.45</v>
      </c>
      <c r="D104" s="97">
        <f t="shared" ref="D104:D117" si="25">$E$42*C104</f>
        <v>34.479000000000006</v>
      </c>
      <c r="F104" s="91">
        <v>50</v>
      </c>
      <c r="G104" s="91">
        <f t="shared" ref="G104:G117" si="26">$I$20*F104</f>
        <v>2.7199999999999998</v>
      </c>
      <c r="I104" s="91">
        <f t="shared" ref="I104:I117" si="27">D104+G104</f>
        <v>37.199000000000005</v>
      </c>
      <c r="K104" t="s">
        <v>99</v>
      </c>
      <c r="L104" s="98">
        <v>50</v>
      </c>
      <c r="M104" t="s">
        <v>104</v>
      </c>
    </row>
    <row r="105" spans="2:13" x14ac:dyDescent="0.25">
      <c r="B105" s="137"/>
      <c r="C105" s="91">
        <v>5.29</v>
      </c>
      <c r="D105" s="91">
        <f t="shared" si="25"/>
        <v>405.31980000000004</v>
      </c>
      <c r="F105" s="91">
        <v>405.33</v>
      </c>
      <c r="G105" s="91">
        <f t="shared" si="26"/>
        <v>22.049951999999998</v>
      </c>
      <c r="I105" s="91">
        <f t="shared" si="27"/>
        <v>427.36975200000006</v>
      </c>
      <c r="K105" s="95">
        <f>L104-D104</f>
        <v>15.520999999999994</v>
      </c>
    </row>
    <row r="106" spans="2:13" x14ac:dyDescent="0.25">
      <c r="B106" s="137"/>
      <c r="C106" s="91">
        <v>5</v>
      </c>
      <c r="D106" s="91">
        <f t="shared" si="25"/>
        <v>383.1</v>
      </c>
      <c r="F106" s="91">
        <v>383.09</v>
      </c>
      <c r="G106" s="91">
        <f t="shared" si="26"/>
        <v>20.840095999999999</v>
      </c>
      <c r="I106" s="91">
        <f t="shared" si="27"/>
        <v>403.94009600000004</v>
      </c>
    </row>
    <row r="107" spans="2:13" x14ac:dyDescent="0.25">
      <c r="B107" s="137"/>
      <c r="C107" s="91">
        <v>5.65</v>
      </c>
      <c r="D107" s="91">
        <f t="shared" si="25"/>
        <v>432.90300000000008</v>
      </c>
      <c r="F107" s="91">
        <v>432.9</v>
      </c>
      <c r="G107" s="91">
        <f t="shared" si="26"/>
        <v>23.549759999999999</v>
      </c>
      <c r="I107" s="91">
        <f t="shared" si="27"/>
        <v>456.45276000000007</v>
      </c>
    </row>
    <row r="108" spans="2:13" x14ac:dyDescent="0.25">
      <c r="B108" s="137"/>
      <c r="C108" s="91">
        <v>4.62</v>
      </c>
      <c r="D108" s="91">
        <f t="shared" si="25"/>
        <v>353.98440000000005</v>
      </c>
      <c r="F108" s="91">
        <v>354.04</v>
      </c>
      <c r="G108" s="91">
        <f t="shared" si="26"/>
        <v>19.259775999999999</v>
      </c>
      <c r="I108" s="91">
        <f t="shared" si="27"/>
        <v>373.24417600000004</v>
      </c>
    </row>
    <row r="109" spans="2:13" x14ac:dyDescent="0.25">
      <c r="B109" s="137"/>
      <c r="C109" s="91">
        <v>5.0599999999999996</v>
      </c>
      <c r="D109" s="91">
        <f t="shared" si="25"/>
        <v>387.69720000000001</v>
      </c>
      <c r="F109" s="91">
        <v>387.68</v>
      </c>
      <c r="G109" s="91">
        <f t="shared" si="26"/>
        <v>21.089791999999999</v>
      </c>
      <c r="I109" s="91">
        <f t="shared" si="27"/>
        <v>408.786992</v>
      </c>
    </row>
    <row r="110" spans="2:13" x14ac:dyDescent="0.25">
      <c r="B110" s="137"/>
      <c r="C110" s="91">
        <v>5.28</v>
      </c>
      <c r="D110" s="91">
        <f t="shared" si="25"/>
        <v>404.55360000000002</v>
      </c>
      <c r="F110" s="91">
        <v>404.6</v>
      </c>
      <c r="G110" s="91">
        <f t="shared" si="26"/>
        <v>22.01024</v>
      </c>
      <c r="I110" s="91">
        <f t="shared" si="27"/>
        <v>426.56384000000003</v>
      </c>
    </row>
    <row r="111" spans="2:13" x14ac:dyDescent="0.25">
      <c r="B111" s="137"/>
      <c r="C111" s="91">
        <v>4.7</v>
      </c>
      <c r="D111" s="91">
        <f t="shared" si="25"/>
        <v>360.11400000000003</v>
      </c>
      <c r="F111" s="91">
        <v>360.11</v>
      </c>
      <c r="G111" s="91">
        <f t="shared" si="26"/>
        <v>19.589984000000001</v>
      </c>
      <c r="I111" s="91">
        <f t="shared" si="27"/>
        <v>379.70398400000005</v>
      </c>
    </row>
    <row r="112" spans="2:13" x14ac:dyDescent="0.25">
      <c r="B112" s="137"/>
      <c r="C112" s="91">
        <v>4.55</v>
      </c>
      <c r="D112" s="91">
        <f t="shared" si="25"/>
        <v>348.62099999999998</v>
      </c>
      <c r="F112" s="91">
        <v>348.53</v>
      </c>
      <c r="G112" s="91">
        <f t="shared" si="26"/>
        <v>18.960031999999998</v>
      </c>
      <c r="I112" s="91">
        <f t="shared" si="27"/>
        <v>367.58103199999999</v>
      </c>
    </row>
    <row r="113" spans="2:15" x14ac:dyDescent="0.25">
      <c r="B113" s="137"/>
      <c r="C113" s="91">
        <v>5.43</v>
      </c>
      <c r="D113" s="91">
        <f t="shared" si="25"/>
        <v>416.04660000000001</v>
      </c>
      <c r="F113" s="91">
        <v>415.99</v>
      </c>
      <c r="G113" s="91">
        <f t="shared" si="26"/>
        <v>22.629856</v>
      </c>
      <c r="I113" s="91">
        <f t="shared" si="27"/>
        <v>438.67645600000003</v>
      </c>
    </row>
    <row r="114" spans="2:15" x14ac:dyDescent="0.25">
      <c r="B114" s="137"/>
      <c r="C114" s="91">
        <v>1.8520000000000001</v>
      </c>
      <c r="D114" s="91">
        <f t="shared" si="25"/>
        <v>141.90024000000003</v>
      </c>
      <c r="F114" s="91">
        <v>141.72999999999999</v>
      </c>
      <c r="G114" s="91">
        <f t="shared" si="26"/>
        <v>7.7101119999999987</v>
      </c>
      <c r="I114" s="91">
        <f t="shared" si="27"/>
        <v>149.61035200000003</v>
      </c>
    </row>
    <row r="115" spans="2:15" x14ac:dyDescent="0.25">
      <c r="B115" s="137"/>
      <c r="C115" s="91">
        <v>4.93</v>
      </c>
      <c r="D115" s="91">
        <f t="shared" si="25"/>
        <v>377.73660000000001</v>
      </c>
      <c r="F115" s="91">
        <v>377.76</v>
      </c>
      <c r="G115" s="91">
        <f t="shared" si="26"/>
        <v>20.550144</v>
      </c>
      <c r="I115" s="91">
        <f t="shared" si="27"/>
        <v>398.286744</v>
      </c>
      <c r="K115" t="s">
        <v>101</v>
      </c>
      <c r="L115" s="91">
        <v>5002.6099999999997</v>
      </c>
      <c r="M115" s="95">
        <f>L115-J118</f>
        <v>15.370647999999164</v>
      </c>
      <c r="N115" s="95"/>
      <c r="O115" s="95"/>
    </row>
    <row r="116" spans="2:15" x14ac:dyDescent="0.25">
      <c r="B116" s="137"/>
      <c r="C116" s="91">
        <v>4.6399999999999997</v>
      </c>
      <c r="D116" s="91">
        <f t="shared" si="25"/>
        <v>355.51679999999999</v>
      </c>
      <c r="F116" s="91">
        <v>355.51</v>
      </c>
      <c r="G116" s="91">
        <f t="shared" si="26"/>
        <v>19.339744</v>
      </c>
      <c r="I116" s="91">
        <f t="shared" si="27"/>
        <v>374.85654399999999</v>
      </c>
    </row>
    <row r="117" spans="2:15" x14ac:dyDescent="0.25">
      <c r="B117" s="137"/>
      <c r="C117" s="91">
        <v>4.2699999999999996</v>
      </c>
      <c r="D117" s="91">
        <f t="shared" si="25"/>
        <v>327.16739999999999</v>
      </c>
      <c r="F117" s="91">
        <v>327.20999999999998</v>
      </c>
      <c r="G117" s="91">
        <f t="shared" si="26"/>
        <v>17.800223999999996</v>
      </c>
      <c r="I117" s="91">
        <f t="shared" si="27"/>
        <v>344.967624</v>
      </c>
    </row>
    <row r="118" spans="2:15" x14ac:dyDescent="0.25">
      <c r="E118" s="95">
        <f>SUM(D104:D117)</f>
        <v>4729.1396400000012</v>
      </c>
      <c r="H118" s="95">
        <f>SUM(G104:G117)</f>
        <v>258.09971200000001</v>
      </c>
      <c r="J118" s="95">
        <f>SUM(I104:I117)</f>
        <v>4987.2393520000005</v>
      </c>
    </row>
    <row r="119" spans="2:15" ht="15" customHeight="1" x14ac:dyDescent="0.25">
      <c r="B119" s="137" t="s">
        <v>105</v>
      </c>
      <c r="C119" s="91">
        <v>4.78</v>
      </c>
      <c r="D119" s="91">
        <f t="shared" ref="D119:D131" si="28">$E$42*C119</f>
        <v>366.24360000000001</v>
      </c>
      <c r="F119" s="91">
        <v>367.1</v>
      </c>
      <c r="G119" s="91">
        <f t="shared" ref="G119:G131" si="29">$I$20*F119</f>
        <v>19.97024</v>
      </c>
      <c r="I119" s="91">
        <f t="shared" ref="I119:I131" si="30">D119+G119</f>
        <v>386.21384</v>
      </c>
    </row>
    <row r="120" spans="2:15" x14ac:dyDescent="0.25">
      <c r="B120" s="137"/>
      <c r="C120" s="91">
        <v>4.7300000000000004</v>
      </c>
      <c r="D120" s="91">
        <f t="shared" si="28"/>
        <v>362.41260000000005</v>
      </c>
      <c r="F120" s="91">
        <v>362.5</v>
      </c>
      <c r="G120" s="91">
        <f t="shared" si="29"/>
        <v>19.72</v>
      </c>
      <c r="I120" s="91">
        <f t="shared" si="30"/>
        <v>382.13260000000002</v>
      </c>
    </row>
    <row r="121" spans="2:15" x14ac:dyDescent="0.25">
      <c r="B121" s="137"/>
      <c r="C121" s="91">
        <v>4.9800000000000004</v>
      </c>
      <c r="D121" s="91">
        <f t="shared" si="28"/>
        <v>381.56760000000003</v>
      </c>
      <c r="F121" s="91">
        <v>381.62</v>
      </c>
      <c r="G121" s="91">
        <f t="shared" si="29"/>
        <v>20.760127999999998</v>
      </c>
      <c r="I121" s="91">
        <f t="shared" si="30"/>
        <v>402.32772800000004</v>
      </c>
    </row>
    <row r="122" spans="2:15" x14ac:dyDescent="0.25">
      <c r="B122" s="137"/>
      <c r="C122" s="91">
        <v>4.67</v>
      </c>
      <c r="D122" s="91">
        <f t="shared" si="28"/>
        <v>357.81540000000001</v>
      </c>
      <c r="F122" s="91">
        <v>357.9</v>
      </c>
      <c r="G122" s="91">
        <f t="shared" si="29"/>
        <v>19.469759999999997</v>
      </c>
      <c r="I122" s="91">
        <f t="shared" si="30"/>
        <v>377.28516000000002</v>
      </c>
    </row>
    <row r="123" spans="2:15" x14ac:dyDescent="0.25">
      <c r="B123" s="137"/>
      <c r="C123" s="91">
        <v>4.66</v>
      </c>
      <c r="D123" s="91">
        <f t="shared" si="28"/>
        <v>357.04920000000004</v>
      </c>
      <c r="F123" s="91">
        <v>356.99</v>
      </c>
      <c r="G123" s="91">
        <f t="shared" si="29"/>
        <v>19.420255999999998</v>
      </c>
      <c r="I123" s="91">
        <f t="shared" si="30"/>
        <v>376.46945600000004</v>
      </c>
    </row>
    <row r="124" spans="2:15" x14ac:dyDescent="0.25">
      <c r="B124" s="137"/>
      <c r="C124" s="91">
        <v>5.37</v>
      </c>
      <c r="D124" s="91">
        <f t="shared" si="28"/>
        <v>411.44940000000003</v>
      </c>
      <c r="F124" s="91">
        <v>411.4</v>
      </c>
      <c r="G124" s="91">
        <f t="shared" si="29"/>
        <v>22.380159999999997</v>
      </c>
      <c r="I124" s="91">
        <f t="shared" si="30"/>
        <v>433.82956000000001</v>
      </c>
    </row>
    <row r="125" spans="2:15" x14ac:dyDescent="0.25">
      <c r="B125" s="137"/>
      <c r="C125" s="91">
        <v>5.24</v>
      </c>
      <c r="D125" s="91">
        <f t="shared" si="28"/>
        <v>401.48880000000003</v>
      </c>
      <c r="F125" s="91">
        <v>401.47</v>
      </c>
      <c r="G125" s="91">
        <f t="shared" si="29"/>
        <v>21.839967999999999</v>
      </c>
      <c r="I125" s="91">
        <f t="shared" si="30"/>
        <v>423.32876800000003</v>
      </c>
    </row>
    <row r="126" spans="2:15" x14ac:dyDescent="0.25">
      <c r="B126" s="137"/>
      <c r="C126" s="91">
        <v>5.12</v>
      </c>
      <c r="D126" s="91">
        <f t="shared" si="28"/>
        <v>392.29440000000005</v>
      </c>
      <c r="F126" s="91">
        <v>392.28</v>
      </c>
      <c r="G126" s="91">
        <f t="shared" si="29"/>
        <v>21.340031999999997</v>
      </c>
      <c r="I126" s="91">
        <f t="shared" si="30"/>
        <v>413.63443200000006</v>
      </c>
    </row>
    <row r="127" spans="2:15" x14ac:dyDescent="0.25">
      <c r="B127" s="137"/>
      <c r="C127" s="91">
        <v>5.17</v>
      </c>
      <c r="D127" s="91">
        <f t="shared" si="28"/>
        <v>396.12540000000001</v>
      </c>
      <c r="F127" s="91">
        <v>396.14</v>
      </c>
      <c r="G127" s="91">
        <f t="shared" si="29"/>
        <v>21.550015999999999</v>
      </c>
      <c r="I127" s="91">
        <f t="shared" si="30"/>
        <v>417.67541600000004</v>
      </c>
    </row>
    <row r="128" spans="2:15" x14ac:dyDescent="0.25">
      <c r="B128" s="137"/>
      <c r="C128" s="91">
        <v>4.3099999999999996</v>
      </c>
      <c r="D128" s="91">
        <f t="shared" si="28"/>
        <v>330.23219999999998</v>
      </c>
      <c r="F128" s="91">
        <v>330.15</v>
      </c>
      <c r="G128" s="91">
        <f t="shared" si="29"/>
        <v>17.960159999999998</v>
      </c>
      <c r="I128" s="91">
        <f t="shared" si="30"/>
        <v>348.19235999999995</v>
      </c>
    </row>
    <row r="129" spans="2:15" x14ac:dyDescent="0.25">
      <c r="B129" s="137"/>
      <c r="C129" s="91">
        <v>3.93</v>
      </c>
      <c r="D129" s="91">
        <f t="shared" si="28"/>
        <v>301.11660000000001</v>
      </c>
      <c r="F129" s="91">
        <v>301.10000000000002</v>
      </c>
      <c r="G129" s="91">
        <f t="shared" si="29"/>
        <v>16.379840000000002</v>
      </c>
      <c r="I129" s="91">
        <f t="shared" si="30"/>
        <v>317.49644000000001</v>
      </c>
      <c r="K129" t="s">
        <v>101</v>
      </c>
      <c r="L129" s="91">
        <v>5110.67</v>
      </c>
      <c r="M129" s="95">
        <f>L129-J132</f>
        <v>0.77439200000026176</v>
      </c>
      <c r="N129" s="95"/>
      <c r="O129" s="95"/>
    </row>
    <row r="130" spans="2:15" x14ac:dyDescent="0.25">
      <c r="B130" s="137"/>
      <c r="C130" s="91">
        <v>5.71</v>
      </c>
      <c r="D130" s="91">
        <f t="shared" si="28"/>
        <v>437.50020000000001</v>
      </c>
      <c r="F130" s="91">
        <v>437.5</v>
      </c>
      <c r="G130" s="91">
        <f t="shared" si="29"/>
        <v>23.799999999999997</v>
      </c>
      <c r="I130" s="91">
        <f t="shared" si="30"/>
        <v>461.30020000000002</v>
      </c>
    </row>
    <row r="131" spans="2:15" x14ac:dyDescent="0.25">
      <c r="B131" s="137"/>
      <c r="C131" s="91">
        <v>4.58</v>
      </c>
      <c r="D131" s="91">
        <f t="shared" si="28"/>
        <v>350.9196</v>
      </c>
      <c r="F131" s="91">
        <v>350.92</v>
      </c>
      <c r="G131" s="91">
        <f t="shared" si="29"/>
        <v>19.090047999999999</v>
      </c>
      <c r="I131" s="91">
        <f t="shared" si="30"/>
        <v>370.00964800000003</v>
      </c>
    </row>
    <row r="132" spans="2:15" x14ac:dyDescent="0.25">
      <c r="B132" s="99"/>
      <c r="E132" s="95">
        <f>SUM(D119:D131)</f>
        <v>4846.2150000000001</v>
      </c>
      <c r="H132" s="95">
        <f>SUM(G119:G131)</f>
        <v>263.68060800000001</v>
      </c>
      <c r="J132" s="95">
        <f>SUM(I119:I131)</f>
        <v>5109.8956079999998</v>
      </c>
    </row>
    <row r="133" spans="2:15" ht="15" customHeight="1" x14ac:dyDescent="0.25">
      <c r="B133" s="137" t="s">
        <v>106</v>
      </c>
      <c r="C133" s="91">
        <v>4.88</v>
      </c>
      <c r="D133" s="91">
        <f t="shared" ref="D133:D151" si="31">$E$42*C133</f>
        <v>373.90559999999999</v>
      </c>
      <c r="F133" s="91">
        <v>373.9</v>
      </c>
      <c r="G133" s="91">
        <f t="shared" ref="G133:G151" si="32">$I$20*F133</f>
        <v>20.340159999999997</v>
      </c>
      <c r="I133" s="91">
        <f t="shared" ref="I133:I151" si="33">D133+G133</f>
        <v>394.24576000000002</v>
      </c>
    </row>
    <row r="134" spans="2:15" x14ac:dyDescent="0.25">
      <c r="B134" s="137"/>
      <c r="C134" s="91">
        <v>5.68</v>
      </c>
      <c r="D134" s="91">
        <f t="shared" si="31"/>
        <v>435.20159999999998</v>
      </c>
      <c r="F134" s="91">
        <v>435.11</v>
      </c>
      <c r="G134" s="91">
        <f t="shared" si="32"/>
        <v>23.669983999999999</v>
      </c>
      <c r="I134" s="91">
        <f t="shared" si="33"/>
        <v>458.87158399999998</v>
      </c>
    </row>
    <row r="135" spans="2:15" x14ac:dyDescent="0.25">
      <c r="B135" s="137"/>
      <c r="C135" s="91">
        <v>5.67</v>
      </c>
      <c r="D135" s="91">
        <f t="shared" si="31"/>
        <v>434.43540000000002</v>
      </c>
      <c r="F135" s="91">
        <v>434.38</v>
      </c>
      <c r="G135" s="91">
        <f t="shared" si="32"/>
        <v>23.630271999999998</v>
      </c>
      <c r="I135" s="91">
        <f t="shared" si="33"/>
        <v>458.06567200000001</v>
      </c>
    </row>
    <row r="136" spans="2:15" x14ac:dyDescent="0.25">
      <c r="B136" s="137"/>
      <c r="C136" s="91">
        <v>5.04</v>
      </c>
      <c r="D136" s="91">
        <f t="shared" si="31"/>
        <v>386.16480000000001</v>
      </c>
      <c r="F136" s="91">
        <v>386.21</v>
      </c>
      <c r="G136" s="91">
        <f t="shared" si="32"/>
        <v>21.009823999999998</v>
      </c>
      <c r="I136" s="91">
        <f t="shared" si="33"/>
        <v>407.17462399999999</v>
      </c>
    </row>
    <row r="137" spans="2:15" x14ac:dyDescent="0.25">
      <c r="B137" s="137"/>
      <c r="C137" s="91">
        <v>6.22</v>
      </c>
      <c r="D137" s="91">
        <f t="shared" si="31"/>
        <v>476.57640000000004</v>
      </c>
      <c r="F137" s="91">
        <v>476.65</v>
      </c>
      <c r="G137" s="91">
        <f t="shared" si="32"/>
        <v>25.929759999999998</v>
      </c>
      <c r="I137" s="91">
        <f t="shared" si="33"/>
        <v>502.50616000000002</v>
      </c>
    </row>
    <row r="138" spans="2:15" x14ac:dyDescent="0.25">
      <c r="B138" s="137"/>
      <c r="C138" s="91">
        <v>5.54</v>
      </c>
      <c r="D138" s="91">
        <f t="shared" si="31"/>
        <v>424.47480000000002</v>
      </c>
      <c r="F138" s="91">
        <v>424.45</v>
      </c>
      <c r="G138" s="91">
        <f t="shared" si="32"/>
        <v>23.090079999999997</v>
      </c>
      <c r="I138" s="91">
        <f t="shared" si="33"/>
        <v>447.56488000000002</v>
      </c>
    </row>
    <row r="139" spans="2:15" x14ac:dyDescent="0.25">
      <c r="B139" s="137"/>
      <c r="C139" s="91">
        <v>6.14</v>
      </c>
      <c r="D139" s="91">
        <f t="shared" si="31"/>
        <v>470.4468</v>
      </c>
      <c r="F139" s="91">
        <v>470.4</v>
      </c>
      <c r="G139" s="91">
        <f t="shared" si="32"/>
        <v>25.589759999999998</v>
      </c>
      <c r="I139" s="91">
        <f t="shared" si="33"/>
        <v>496.03656000000001</v>
      </c>
    </row>
    <row r="140" spans="2:15" x14ac:dyDescent="0.25">
      <c r="B140" s="137"/>
      <c r="C140" s="91">
        <v>5.68</v>
      </c>
      <c r="D140" s="91">
        <f t="shared" si="31"/>
        <v>435.20159999999998</v>
      </c>
      <c r="F140" s="91">
        <v>435.11</v>
      </c>
      <c r="G140" s="91">
        <f t="shared" si="32"/>
        <v>23.669983999999999</v>
      </c>
      <c r="I140" s="91">
        <f t="shared" si="33"/>
        <v>458.87158399999998</v>
      </c>
    </row>
    <row r="141" spans="2:15" x14ac:dyDescent="0.25">
      <c r="B141" s="137"/>
      <c r="C141" s="91">
        <v>5.91</v>
      </c>
      <c r="D141" s="91">
        <f t="shared" si="31"/>
        <v>452.82420000000002</v>
      </c>
      <c r="F141" s="91">
        <v>452.76</v>
      </c>
      <c r="G141" s="91">
        <f t="shared" si="32"/>
        <v>24.630143999999998</v>
      </c>
      <c r="I141" s="91">
        <f t="shared" si="33"/>
        <v>477.45434399999999</v>
      </c>
    </row>
    <row r="142" spans="2:15" x14ac:dyDescent="0.25">
      <c r="B142" s="137"/>
      <c r="C142" s="91">
        <v>5.24</v>
      </c>
      <c r="D142" s="91">
        <f t="shared" si="31"/>
        <v>401.48880000000003</v>
      </c>
      <c r="F142" s="91">
        <v>401.47</v>
      </c>
      <c r="G142" s="91">
        <f t="shared" si="32"/>
        <v>21.839967999999999</v>
      </c>
      <c r="I142" s="91">
        <f t="shared" si="33"/>
        <v>423.32876800000003</v>
      </c>
    </row>
    <row r="143" spans="2:15" x14ac:dyDescent="0.25">
      <c r="B143" s="137"/>
      <c r="C143" s="91">
        <v>6.49</v>
      </c>
      <c r="D143" s="91">
        <f t="shared" si="31"/>
        <v>497.26380000000006</v>
      </c>
      <c r="F143" s="91">
        <v>497.24</v>
      </c>
      <c r="G143" s="91">
        <f t="shared" si="32"/>
        <v>27.049855999999998</v>
      </c>
      <c r="I143" s="91">
        <f t="shared" si="33"/>
        <v>524.31365600000004</v>
      </c>
    </row>
    <row r="144" spans="2:15" x14ac:dyDescent="0.25">
      <c r="B144" s="137"/>
      <c r="C144" s="91">
        <v>5.61</v>
      </c>
      <c r="D144" s="91">
        <f t="shared" si="31"/>
        <v>429.83820000000003</v>
      </c>
      <c r="F144" s="91">
        <v>429.78</v>
      </c>
      <c r="G144" s="91">
        <f t="shared" si="32"/>
        <v>23.380031999999996</v>
      </c>
      <c r="I144" s="91">
        <f t="shared" si="33"/>
        <v>453.218232</v>
      </c>
    </row>
    <row r="145" spans="2:15" x14ac:dyDescent="0.25">
      <c r="B145" s="137"/>
      <c r="C145" s="91">
        <v>0.87</v>
      </c>
      <c r="D145" s="91">
        <f t="shared" si="31"/>
        <v>66.659400000000005</v>
      </c>
      <c r="F145" s="91">
        <v>66.73</v>
      </c>
      <c r="G145" s="91">
        <f t="shared" si="32"/>
        <v>3.630112</v>
      </c>
      <c r="I145" s="91">
        <f t="shared" si="33"/>
        <v>70.289512000000002</v>
      </c>
    </row>
    <row r="146" spans="2:15" x14ac:dyDescent="0.25">
      <c r="B146" s="137"/>
      <c r="C146" s="91">
        <v>4.97</v>
      </c>
      <c r="D146" s="91">
        <f t="shared" si="31"/>
        <v>380.8014</v>
      </c>
      <c r="F146" s="91">
        <v>380.88</v>
      </c>
      <c r="G146" s="91">
        <f t="shared" si="32"/>
        <v>20.719871999999999</v>
      </c>
      <c r="I146" s="91">
        <f t="shared" si="33"/>
        <v>401.52127200000001</v>
      </c>
    </row>
    <row r="147" spans="2:15" x14ac:dyDescent="0.25">
      <c r="B147" s="137"/>
      <c r="C147" s="91">
        <v>5.82</v>
      </c>
      <c r="D147" s="91">
        <f t="shared" si="31"/>
        <v>445.92840000000007</v>
      </c>
      <c r="F147" s="91">
        <v>445.96</v>
      </c>
      <c r="G147" s="91">
        <f t="shared" si="32"/>
        <v>24.260223999999997</v>
      </c>
      <c r="I147" s="91">
        <f t="shared" si="33"/>
        <v>470.18862400000006</v>
      </c>
    </row>
    <row r="148" spans="2:15" x14ac:dyDescent="0.25">
      <c r="B148" s="137"/>
      <c r="C148" s="91">
        <v>5.17</v>
      </c>
      <c r="D148" s="91">
        <f t="shared" si="31"/>
        <v>396.12540000000001</v>
      </c>
      <c r="F148" s="91">
        <v>396.14</v>
      </c>
      <c r="G148" s="91">
        <f t="shared" si="32"/>
        <v>21.550015999999999</v>
      </c>
      <c r="I148" s="91">
        <f t="shared" si="33"/>
        <v>417.67541600000004</v>
      </c>
      <c r="M148" t="s">
        <v>107</v>
      </c>
    </row>
    <row r="149" spans="2:15" x14ac:dyDescent="0.25">
      <c r="B149" s="137"/>
      <c r="C149" s="91">
        <v>6.42</v>
      </c>
      <c r="D149" s="91">
        <f t="shared" si="31"/>
        <v>491.90040000000005</v>
      </c>
      <c r="F149" s="91">
        <v>491.91</v>
      </c>
      <c r="G149" s="91">
        <f t="shared" si="32"/>
        <v>26.759903999999999</v>
      </c>
      <c r="I149" s="91">
        <f t="shared" si="33"/>
        <v>518.660304</v>
      </c>
      <c r="K149" t="s">
        <v>101</v>
      </c>
      <c r="L149" s="91">
        <v>8344.16</v>
      </c>
      <c r="M149" s="95">
        <f>L149-J152</f>
        <v>42.388895999998567</v>
      </c>
      <c r="N149" s="95"/>
      <c r="O149" s="95"/>
    </row>
    <row r="150" spans="2:15" x14ac:dyDescent="0.25">
      <c r="B150" s="137"/>
      <c r="C150" s="91">
        <v>5.79</v>
      </c>
      <c r="D150" s="91">
        <f t="shared" si="31"/>
        <v>443.62980000000005</v>
      </c>
      <c r="F150" s="91">
        <v>443.57</v>
      </c>
      <c r="G150" s="91">
        <f t="shared" si="32"/>
        <v>24.130208</v>
      </c>
      <c r="I150" s="91">
        <f t="shared" si="33"/>
        <v>467.76000800000003</v>
      </c>
    </row>
    <row r="151" spans="2:15" x14ac:dyDescent="0.25">
      <c r="B151" s="137"/>
      <c r="C151" s="91">
        <v>5.62</v>
      </c>
      <c r="D151" s="91">
        <f t="shared" si="31"/>
        <v>430.60440000000006</v>
      </c>
      <c r="F151" s="91">
        <v>430.51</v>
      </c>
      <c r="G151" s="91">
        <f t="shared" si="32"/>
        <v>23.419743999999998</v>
      </c>
      <c r="I151" s="91">
        <f t="shared" si="33"/>
        <v>454.02414400000004</v>
      </c>
    </row>
    <row r="152" spans="2:15" x14ac:dyDescent="0.25">
      <c r="E152" s="95">
        <f>SUM(D133:D151)</f>
        <v>7873.4712000000009</v>
      </c>
      <c r="H152" s="95">
        <f>SUM(G133:G151)</f>
        <v>428.29990399999997</v>
      </c>
      <c r="J152" s="95">
        <f>SUM(I133:I151)</f>
        <v>8301.7711040000013</v>
      </c>
    </row>
    <row r="153" spans="2:15" ht="15" customHeight="1" x14ac:dyDescent="0.25">
      <c r="B153" s="137" t="s">
        <v>108</v>
      </c>
      <c r="C153" s="91">
        <v>5.8</v>
      </c>
      <c r="D153" s="91">
        <f t="shared" ref="D153:D166" si="34">$E$42*C153</f>
        <v>444.39600000000002</v>
      </c>
      <c r="F153" s="91">
        <v>444.49</v>
      </c>
      <c r="G153" s="91">
        <f t="shared" ref="G153:G166" si="35">$I$20*F153</f>
        <v>24.180256</v>
      </c>
      <c r="I153" s="91">
        <f t="shared" ref="I153:I166" si="36">D153+G153</f>
        <v>468.576256</v>
      </c>
    </row>
    <row r="154" spans="2:15" x14ac:dyDescent="0.25">
      <c r="B154" s="137"/>
      <c r="C154" s="91">
        <v>5.49</v>
      </c>
      <c r="D154" s="91">
        <f t="shared" si="34"/>
        <v>420.64380000000006</v>
      </c>
      <c r="F154" s="91">
        <v>420.59</v>
      </c>
      <c r="G154" s="91">
        <f t="shared" si="35"/>
        <v>22.880095999999998</v>
      </c>
      <c r="I154" s="91">
        <f t="shared" si="36"/>
        <v>443.52389600000004</v>
      </c>
    </row>
    <row r="155" spans="2:15" x14ac:dyDescent="0.25">
      <c r="B155" s="137"/>
      <c r="C155" s="91">
        <v>5.44</v>
      </c>
      <c r="D155" s="91">
        <f t="shared" si="34"/>
        <v>416.81280000000004</v>
      </c>
      <c r="F155" s="91">
        <v>416.73</v>
      </c>
      <c r="G155" s="91">
        <f t="shared" si="35"/>
        <v>22.670112</v>
      </c>
      <c r="I155" s="91">
        <f t="shared" si="36"/>
        <v>439.48291200000006</v>
      </c>
    </row>
    <row r="156" spans="2:15" x14ac:dyDescent="0.25">
      <c r="B156" s="137"/>
      <c r="C156" s="91">
        <v>7.37</v>
      </c>
      <c r="D156" s="91">
        <f t="shared" si="34"/>
        <v>564.68940000000009</v>
      </c>
      <c r="F156" s="91">
        <v>564.71</v>
      </c>
      <c r="G156" s="91">
        <f t="shared" si="35"/>
        <v>30.720224000000002</v>
      </c>
      <c r="I156" s="91">
        <f t="shared" si="36"/>
        <v>595.40962400000012</v>
      </c>
    </row>
    <row r="157" spans="2:15" x14ac:dyDescent="0.25">
      <c r="B157" s="137"/>
      <c r="C157" s="91">
        <v>8.2799999999999994</v>
      </c>
      <c r="D157" s="91">
        <f t="shared" si="34"/>
        <v>634.41359999999997</v>
      </c>
      <c r="F157" s="91">
        <v>634.38</v>
      </c>
      <c r="G157" s="91">
        <f t="shared" si="35"/>
        <v>34.510272000000001</v>
      </c>
      <c r="I157" s="91">
        <f t="shared" si="36"/>
        <v>668.92387199999996</v>
      </c>
    </row>
    <row r="158" spans="2:15" x14ac:dyDescent="0.25">
      <c r="B158" s="137"/>
      <c r="C158" s="91">
        <v>5.57</v>
      </c>
      <c r="D158" s="91">
        <f t="shared" si="34"/>
        <v>426.77340000000004</v>
      </c>
      <c r="F158" s="91">
        <v>426.84</v>
      </c>
      <c r="G158" s="91">
        <f t="shared" si="35"/>
        <v>23.220095999999998</v>
      </c>
      <c r="I158" s="91">
        <f t="shared" si="36"/>
        <v>449.99349600000005</v>
      </c>
    </row>
    <row r="159" spans="2:15" x14ac:dyDescent="0.25">
      <c r="B159" s="137"/>
      <c r="C159" s="91">
        <v>1.85</v>
      </c>
      <c r="D159" s="91">
        <f t="shared" si="34"/>
        <v>141.74700000000001</v>
      </c>
      <c r="F159" s="91">
        <v>141.72999999999999</v>
      </c>
      <c r="G159" s="91">
        <f t="shared" si="35"/>
        <v>7.7101119999999987</v>
      </c>
      <c r="I159" s="91">
        <f t="shared" si="36"/>
        <v>149.45711200000002</v>
      </c>
    </row>
    <row r="160" spans="2:15" x14ac:dyDescent="0.25">
      <c r="B160" s="137"/>
      <c r="C160" s="91">
        <v>2.14</v>
      </c>
      <c r="D160" s="91">
        <f t="shared" si="34"/>
        <v>163.96680000000001</v>
      </c>
      <c r="F160" s="91">
        <v>163.97</v>
      </c>
      <c r="G160" s="91">
        <f t="shared" si="35"/>
        <v>8.919967999999999</v>
      </c>
      <c r="I160" s="91">
        <f t="shared" si="36"/>
        <v>172.88676800000002</v>
      </c>
    </row>
    <row r="161" spans="2:15" x14ac:dyDescent="0.25">
      <c r="B161" s="137"/>
      <c r="C161" s="91">
        <v>6.26</v>
      </c>
      <c r="D161" s="91">
        <f t="shared" si="34"/>
        <v>479.64120000000003</v>
      </c>
      <c r="F161" s="91">
        <v>479.6</v>
      </c>
      <c r="G161" s="91">
        <f t="shared" si="35"/>
        <v>26.090240000000001</v>
      </c>
      <c r="I161" s="91">
        <f t="shared" si="36"/>
        <v>505.73144000000002</v>
      </c>
    </row>
    <row r="162" spans="2:15" x14ac:dyDescent="0.25">
      <c r="B162" s="137"/>
      <c r="C162" s="91">
        <v>6.25</v>
      </c>
      <c r="D162" s="91">
        <f t="shared" si="34"/>
        <v>478.875</v>
      </c>
      <c r="F162" s="91">
        <v>478.86</v>
      </c>
      <c r="G162" s="91">
        <f t="shared" si="35"/>
        <v>26.049983999999998</v>
      </c>
      <c r="I162" s="91">
        <f t="shared" si="36"/>
        <v>504.92498399999999</v>
      </c>
    </row>
    <row r="163" spans="2:15" x14ac:dyDescent="0.25">
      <c r="B163" s="137"/>
      <c r="C163" s="91">
        <v>6.08</v>
      </c>
      <c r="D163" s="91">
        <f t="shared" si="34"/>
        <v>465.84960000000001</v>
      </c>
      <c r="F163" s="91">
        <v>465.81</v>
      </c>
      <c r="G163" s="91">
        <f t="shared" si="35"/>
        <v>25.340063999999998</v>
      </c>
      <c r="I163" s="91">
        <f t="shared" si="36"/>
        <v>491.18966399999999</v>
      </c>
    </row>
    <row r="164" spans="2:15" x14ac:dyDescent="0.25">
      <c r="B164" s="137"/>
      <c r="C164" s="91">
        <v>7.44</v>
      </c>
      <c r="D164" s="91">
        <f t="shared" si="34"/>
        <v>570.05280000000005</v>
      </c>
      <c r="F164" s="91">
        <v>570.04</v>
      </c>
      <c r="G164" s="91">
        <f t="shared" si="35"/>
        <v>31.010175999999998</v>
      </c>
      <c r="I164" s="91">
        <f t="shared" si="36"/>
        <v>601.06297600000005</v>
      </c>
      <c r="K164" t="s">
        <v>101</v>
      </c>
      <c r="L164" s="91">
        <v>6513.14</v>
      </c>
      <c r="M164" s="95">
        <f>L164-J167</f>
        <v>4.0800000006129267E-3</v>
      </c>
      <c r="N164" s="95"/>
      <c r="O164" s="95"/>
    </row>
    <row r="165" spans="2:15" x14ac:dyDescent="0.25">
      <c r="B165" s="137"/>
      <c r="C165" s="91">
        <v>6.3</v>
      </c>
      <c r="D165" s="91">
        <f t="shared" si="34"/>
        <v>482.70600000000002</v>
      </c>
      <c r="F165" s="91">
        <v>482.72</v>
      </c>
      <c r="G165" s="91">
        <f t="shared" si="35"/>
        <v>26.259968000000001</v>
      </c>
      <c r="I165" s="91">
        <f t="shared" si="36"/>
        <v>508.96596800000003</v>
      </c>
    </row>
    <row r="166" spans="2:15" x14ac:dyDescent="0.25">
      <c r="B166" s="137"/>
      <c r="C166" s="91">
        <v>6.35</v>
      </c>
      <c r="D166" s="91">
        <f t="shared" si="34"/>
        <v>486.53699999999998</v>
      </c>
      <c r="F166" s="91">
        <v>486.58</v>
      </c>
      <c r="G166" s="91">
        <f t="shared" si="35"/>
        <v>26.469951999999999</v>
      </c>
      <c r="I166" s="91">
        <f t="shared" si="36"/>
        <v>513.00695199999996</v>
      </c>
    </row>
    <row r="167" spans="2:15" x14ac:dyDescent="0.25">
      <c r="E167" s="95">
        <f>SUM(D153:D166)</f>
        <v>6177.1044000000011</v>
      </c>
      <c r="H167" s="95">
        <f>SUM(G153:G166)</f>
        <v>336.03152</v>
      </c>
      <c r="J167" s="95">
        <f>SUM(I153:I166)</f>
        <v>6513.1359199999997</v>
      </c>
    </row>
    <row r="168" spans="2:15" ht="15" customHeight="1" x14ac:dyDescent="0.25">
      <c r="B168" s="137" t="s">
        <v>109</v>
      </c>
      <c r="C168" s="91">
        <v>3.95</v>
      </c>
      <c r="D168" s="91">
        <f t="shared" ref="D168:D179" si="37">$E$42*C168</f>
        <v>302.64900000000006</v>
      </c>
      <c r="F168" s="91">
        <v>302.57</v>
      </c>
      <c r="G168" s="91">
        <f t="shared" ref="G168:G179" si="38">$I$20*F168</f>
        <v>16.459807999999999</v>
      </c>
      <c r="I168" s="91">
        <f t="shared" ref="I168:I179" si="39">D168+G168</f>
        <v>319.10880800000007</v>
      </c>
    </row>
    <row r="169" spans="2:15" x14ac:dyDescent="0.25">
      <c r="B169" s="137"/>
      <c r="C169" s="91">
        <v>3.73</v>
      </c>
      <c r="D169" s="91">
        <f t="shared" si="37"/>
        <v>285.79259999999999</v>
      </c>
      <c r="F169" s="91">
        <v>285.85000000000002</v>
      </c>
      <c r="G169" s="91">
        <f t="shared" si="38"/>
        <v>15.550240000000001</v>
      </c>
      <c r="I169" s="91">
        <f t="shared" si="39"/>
        <v>301.34283999999997</v>
      </c>
    </row>
    <row r="170" spans="2:15" x14ac:dyDescent="0.25">
      <c r="B170" s="137"/>
      <c r="C170" s="91">
        <v>4.3600000000000003</v>
      </c>
      <c r="D170" s="91">
        <f t="shared" si="37"/>
        <v>334.06320000000005</v>
      </c>
      <c r="F170" s="91">
        <v>334.01</v>
      </c>
      <c r="G170" s="91">
        <f t="shared" si="38"/>
        <v>18.170143999999997</v>
      </c>
      <c r="I170" s="91">
        <f t="shared" si="39"/>
        <v>352.23334400000005</v>
      </c>
    </row>
    <row r="171" spans="2:15" x14ac:dyDescent="0.25">
      <c r="B171" s="137"/>
      <c r="C171" s="91">
        <v>2.02</v>
      </c>
      <c r="D171" s="91">
        <f t="shared" si="37"/>
        <v>154.7724</v>
      </c>
      <c r="F171" s="91">
        <v>154.78</v>
      </c>
      <c r="G171" s="91">
        <f t="shared" si="38"/>
        <v>8.4200319999999991</v>
      </c>
      <c r="I171" s="91">
        <f t="shared" si="39"/>
        <v>163.192432</v>
      </c>
    </row>
    <row r="172" spans="2:15" x14ac:dyDescent="0.25">
      <c r="B172" s="137"/>
      <c r="C172" s="91">
        <v>3.34</v>
      </c>
      <c r="D172" s="91">
        <f t="shared" si="37"/>
        <v>255.91079999999999</v>
      </c>
      <c r="F172" s="91">
        <v>255.88</v>
      </c>
      <c r="G172" s="91">
        <f t="shared" si="38"/>
        <v>13.919872</v>
      </c>
      <c r="I172" s="91">
        <f t="shared" si="39"/>
        <v>269.83067199999999</v>
      </c>
    </row>
    <row r="173" spans="2:15" x14ac:dyDescent="0.25">
      <c r="B173" s="137"/>
      <c r="C173" s="91">
        <v>4.1100000000000003</v>
      </c>
      <c r="D173" s="91">
        <f t="shared" si="37"/>
        <v>314.90820000000002</v>
      </c>
      <c r="F173" s="91">
        <v>314.89</v>
      </c>
      <c r="G173" s="91">
        <f t="shared" si="38"/>
        <v>17.130015999999998</v>
      </c>
      <c r="I173" s="91">
        <f t="shared" si="39"/>
        <v>332.03821600000003</v>
      </c>
    </row>
    <row r="174" spans="2:15" x14ac:dyDescent="0.25">
      <c r="B174" s="137"/>
      <c r="C174" s="91">
        <v>4.18</v>
      </c>
      <c r="D174" s="91">
        <f t="shared" si="37"/>
        <v>320.27159999999998</v>
      </c>
      <c r="F174" s="91">
        <v>320.22000000000003</v>
      </c>
      <c r="G174" s="91">
        <f t="shared" si="38"/>
        <v>17.419968000000001</v>
      </c>
      <c r="I174" s="91">
        <f t="shared" si="39"/>
        <v>337.69156799999996</v>
      </c>
    </row>
    <row r="175" spans="2:15" x14ac:dyDescent="0.25">
      <c r="B175" s="137"/>
      <c r="C175" s="91">
        <v>3.15</v>
      </c>
      <c r="D175" s="91">
        <f t="shared" si="37"/>
        <v>241.35300000000001</v>
      </c>
      <c r="F175" s="91">
        <v>241.36</v>
      </c>
      <c r="G175" s="91">
        <f t="shared" si="38"/>
        <v>13.129984</v>
      </c>
      <c r="I175" s="91">
        <f t="shared" si="39"/>
        <v>254.48298400000002</v>
      </c>
    </row>
    <row r="176" spans="2:15" x14ac:dyDescent="0.25">
      <c r="B176" s="137"/>
      <c r="C176" s="91">
        <v>3.53</v>
      </c>
      <c r="D176" s="91">
        <f t="shared" si="37"/>
        <v>270.46859999999998</v>
      </c>
      <c r="F176" s="91">
        <v>270.39999999999998</v>
      </c>
      <c r="G176" s="91">
        <f t="shared" si="38"/>
        <v>14.709759999999998</v>
      </c>
      <c r="I176" s="91">
        <f t="shared" si="39"/>
        <v>285.17836</v>
      </c>
    </row>
    <row r="177" spans="2:10" x14ac:dyDescent="0.25">
      <c r="B177" s="137"/>
      <c r="C177" s="91">
        <v>4.09</v>
      </c>
      <c r="D177" s="91">
        <f t="shared" si="37"/>
        <v>313.37580000000003</v>
      </c>
      <c r="F177" s="91">
        <v>313.42</v>
      </c>
      <c r="G177" s="91">
        <f t="shared" si="38"/>
        <v>17.050048</v>
      </c>
      <c r="I177" s="91">
        <f t="shared" si="39"/>
        <v>330.42584800000003</v>
      </c>
    </row>
    <row r="178" spans="2:10" x14ac:dyDescent="0.25">
      <c r="B178" s="137"/>
      <c r="C178" s="91">
        <v>3.39</v>
      </c>
      <c r="D178" s="91">
        <f t="shared" si="37"/>
        <v>259.74180000000001</v>
      </c>
      <c r="F178" s="91">
        <v>259.74</v>
      </c>
      <c r="G178" s="91">
        <f t="shared" si="38"/>
        <v>14.129856</v>
      </c>
      <c r="I178" s="91">
        <f t="shared" si="39"/>
        <v>273.87165600000003</v>
      </c>
    </row>
    <row r="179" spans="2:10" x14ac:dyDescent="0.25">
      <c r="B179" s="137"/>
      <c r="C179" s="91">
        <v>4.0999999999999996</v>
      </c>
      <c r="D179" s="91">
        <f t="shared" si="37"/>
        <v>314.142</v>
      </c>
      <c r="F179" s="91">
        <v>314.14999999999998</v>
      </c>
      <c r="G179" s="91">
        <f t="shared" si="38"/>
        <v>17.089759999999998</v>
      </c>
      <c r="I179" s="91">
        <f t="shared" si="39"/>
        <v>331.23176000000001</v>
      </c>
    </row>
    <row r="180" spans="2:10" x14ac:dyDescent="0.25">
      <c r="B180" s="99"/>
      <c r="E180" s="95">
        <f>SUM(D168:D179)</f>
        <v>3367.4489999999996</v>
      </c>
      <c r="H180" s="95">
        <f>SUM(G168:G179)</f>
        <v>183.17948799999999</v>
      </c>
      <c r="J180" s="95">
        <f>SUM(I168:I179)</f>
        <v>3550.6284880000007</v>
      </c>
    </row>
    <row r="181" spans="2:10" x14ac:dyDescent="0.25">
      <c r="B181" s="99"/>
    </row>
  </sheetData>
  <mergeCells count="24">
    <mergeCell ref="B1:N1"/>
    <mergeCell ref="B2:N2"/>
    <mergeCell ref="B3:N3"/>
    <mergeCell ref="B4:N4"/>
    <mergeCell ref="B6:J6"/>
    <mergeCell ref="L7:N7"/>
    <mergeCell ref="P7:R7"/>
    <mergeCell ref="L8:N8"/>
    <mergeCell ref="C9:D9"/>
    <mergeCell ref="F9:G9"/>
    <mergeCell ref="B12:B17"/>
    <mergeCell ref="F20:G20"/>
    <mergeCell ref="B21:B28"/>
    <mergeCell ref="B30:B40"/>
    <mergeCell ref="B43:B54"/>
    <mergeCell ref="B168:B179"/>
    <mergeCell ref="C42:D42"/>
    <mergeCell ref="B73:B85"/>
    <mergeCell ref="B87:B102"/>
    <mergeCell ref="B104:B117"/>
    <mergeCell ref="B119:B131"/>
    <mergeCell ref="B133:B151"/>
    <mergeCell ref="B153:B166"/>
    <mergeCell ref="B56:B71"/>
  </mergeCells>
  <pageMargins left="0.7" right="0.7" top="0.75" bottom="0.75" header="0.3" footer="0.3"/>
  <pageSetup scale="68" fitToHeight="0" orientation="portrait" horizontalDpi="0" verticalDpi="0" r:id="rId1"/>
  <headerFooter scaleWithDoc="0">
    <oddFooter>&amp;L&amp;F&amp;R&amp;P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1BAD-133F-4996-9D10-29B6E2FF01EC}">
  <dimension ref="A1"/>
  <sheetViews>
    <sheetView workbookViewId="0">
      <selection activeCell="I30" sqref="I3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topLeftCell="A24" workbookViewId="0">
      <selection activeCell="V35" sqref="V35"/>
    </sheetView>
  </sheetViews>
  <sheetFormatPr defaultRowHeight="15" x14ac:dyDescent="0.25"/>
  <cols>
    <col min="1" max="1" width="15" customWidth="1"/>
    <col min="2" max="2" width="17.140625" customWidth="1"/>
    <col min="3" max="3" width="18" customWidth="1"/>
    <col min="4" max="4" width="13.5703125" customWidth="1"/>
    <col min="5" max="5" width="11.28515625" customWidth="1"/>
    <col min="6" max="6" width="14.85546875" customWidth="1"/>
    <col min="7" max="7" width="11.5703125" bestFit="1" customWidth="1"/>
    <col min="8" max="8" width="14" customWidth="1"/>
    <col min="9" max="9" width="9.28515625" bestFit="1" customWidth="1"/>
  </cols>
  <sheetData>
    <row r="1" spans="1:13" x14ac:dyDescent="0.25">
      <c r="A1" s="37" t="s">
        <v>23</v>
      </c>
      <c r="B1" s="37"/>
      <c r="C1" s="37"/>
      <c r="D1" s="37"/>
    </row>
    <row r="2" spans="1:13" x14ac:dyDescent="0.25">
      <c r="A2" s="37" t="s">
        <v>47</v>
      </c>
      <c r="B2" s="37"/>
      <c r="C2" s="37"/>
      <c r="D2" s="37"/>
    </row>
    <row r="3" spans="1:13" x14ac:dyDescent="0.25">
      <c r="A3" s="37" t="s">
        <v>24</v>
      </c>
      <c r="B3" s="37"/>
      <c r="C3" s="37"/>
      <c r="D3" s="37"/>
    </row>
    <row r="4" spans="1:13" x14ac:dyDescent="0.25">
      <c r="A4" s="37"/>
      <c r="B4" s="37"/>
      <c r="C4" s="37"/>
      <c r="D4" s="37"/>
    </row>
    <row r="5" spans="1:13" x14ac:dyDescent="0.25">
      <c r="A5" s="30"/>
      <c r="B5" s="30"/>
      <c r="C5" s="30"/>
      <c r="D5" s="30"/>
    </row>
    <row r="6" spans="1:13" ht="21" x14ac:dyDescent="0.35">
      <c r="A6" s="41" t="s">
        <v>18</v>
      </c>
      <c r="B6" s="30"/>
      <c r="C6" s="30"/>
      <c r="D6" s="30"/>
    </row>
    <row r="10" spans="1:13" x14ac:dyDescent="0.25">
      <c r="A10" s="45" t="s">
        <v>46</v>
      </c>
      <c r="B10" s="30"/>
      <c r="C10" s="46">
        <f>'2021'!C16</f>
        <v>51208.19</v>
      </c>
    </row>
    <row r="11" spans="1:13" ht="15.75" thickBot="1" x14ac:dyDescent="0.3"/>
    <row r="12" spans="1:13" ht="48" thickBot="1" x14ac:dyDescent="0.3">
      <c r="A12" s="5" t="s">
        <v>0</v>
      </c>
      <c r="B12" s="6" t="s">
        <v>1</v>
      </c>
      <c r="C12" s="7" t="s">
        <v>2</v>
      </c>
      <c r="F12" s="40" t="s">
        <v>43</v>
      </c>
      <c r="M12" s="35"/>
    </row>
    <row r="13" spans="1:13" x14ac:dyDescent="0.25">
      <c r="A13" s="4" t="s">
        <v>3</v>
      </c>
      <c r="B13" s="13">
        <f>'Data  - 2022'!B4</f>
        <v>55.060060514372168</v>
      </c>
      <c r="C13" s="9">
        <f>'Data  - 2022'!C4</f>
        <v>3639.47</v>
      </c>
      <c r="D13" s="12">
        <f t="shared" ref="D13:D18" si="0">C13/B13</f>
        <v>66.099999999999994</v>
      </c>
      <c r="F13" s="12">
        <f t="shared" ref="F13:F20" si="1">+B13*$D$22</f>
        <v>4127.3021361573374</v>
      </c>
    </row>
    <row r="14" spans="1:13" x14ac:dyDescent="0.25">
      <c r="A14" s="3" t="s">
        <v>4</v>
      </c>
      <c r="B14" s="13">
        <f>'Data  - 2022'!B5</f>
        <v>43.139939485627842</v>
      </c>
      <c r="C14" s="9">
        <f>'Data  - 2022'!C5</f>
        <v>2851.55</v>
      </c>
      <c r="D14" s="12">
        <f t="shared" si="0"/>
        <v>66.099999999999994</v>
      </c>
      <c r="F14" s="12">
        <f t="shared" si="1"/>
        <v>3233.7698638426627</v>
      </c>
    </row>
    <row r="15" spans="1:13" x14ac:dyDescent="0.25">
      <c r="A15" s="3" t="s">
        <v>5</v>
      </c>
      <c r="B15" s="13">
        <f>'Data  - 2022'!B6</f>
        <v>64.7499243570348</v>
      </c>
      <c r="C15" s="9">
        <f>'Data  - 2022'!C6</f>
        <v>4279.97</v>
      </c>
      <c r="D15" s="12">
        <f t="shared" si="0"/>
        <v>66.099999999999994</v>
      </c>
      <c r="F15" s="12">
        <f t="shared" si="1"/>
        <v>4853.6543298033284</v>
      </c>
    </row>
    <row r="16" spans="1:13" x14ac:dyDescent="0.25">
      <c r="A16" s="3" t="s">
        <v>6</v>
      </c>
      <c r="B16" s="13">
        <f>'Data  - 2022'!B7</f>
        <v>80.759869355296786</v>
      </c>
      <c r="C16" s="9">
        <f>'Data  - 2022'!C7</f>
        <v>5687.11</v>
      </c>
      <c r="D16" s="12">
        <f t="shared" si="0"/>
        <v>70.42</v>
      </c>
      <c r="F16" s="12">
        <f t="shared" si="1"/>
        <v>6053.7598068730467</v>
      </c>
    </row>
    <row r="17" spans="1:15" x14ac:dyDescent="0.25">
      <c r="A17" s="3" t="s">
        <v>7</v>
      </c>
      <c r="B17" s="13">
        <f>'Data  - 2022'!B8</f>
        <v>117.00014200511218</v>
      </c>
      <c r="C17" s="9">
        <f>'Data  - 2022'!C8</f>
        <v>8239.15</v>
      </c>
      <c r="D17" s="12">
        <f t="shared" si="0"/>
        <v>70.42</v>
      </c>
      <c r="F17" s="12">
        <f t="shared" si="1"/>
        <v>8770.3306447032082</v>
      </c>
    </row>
    <row r="18" spans="1:15" x14ac:dyDescent="0.25">
      <c r="A18" s="3" t="s">
        <v>8</v>
      </c>
      <c r="B18" s="13">
        <f>'Data  - 2022'!B9</f>
        <v>113.67026412950865</v>
      </c>
      <c r="C18" s="9">
        <f>'Data  - 2022'!C9</f>
        <v>8004.66</v>
      </c>
      <c r="D18" s="12">
        <f t="shared" si="0"/>
        <v>70.42</v>
      </c>
      <c r="F18" s="12">
        <f t="shared" si="1"/>
        <v>8520.7229991479671</v>
      </c>
    </row>
    <row r="19" spans="1:15" x14ac:dyDescent="0.25">
      <c r="A19" s="3" t="s">
        <v>9</v>
      </c>
      <c r="B19" s="13">
        <f>'Data  - 2022'!B10</f>
        <v>87.739988639591019</v>
      </c>
      <c r="C19" s="9">
        <f>'Data  - 2022'!C10</f>
        <v>6178.65</v>
      </c>
      <c r="D19" s="12">
        <f>C19/B19</f>
        <v>70.42</v>
      </c>
      <c r="F19" s="12">
        <f t="shared" si="1"/>
        <v>6576.9895484237422</v>
      </c>
    </row>
    <row r="20" spans="1:15" x14ac:dyDescent="0.25">
      <c r="A20" s="3" t="s">
        <v>10</v>
      </c>
      <c r="B20" s="13">
        <f>'Data  - 2022'!B11</f>
        <v>79.229906276625954</v>
      </c>
      <c r="C20" s="9">
        <f>'Data  - 2022'!C11</f>
        <v>5579.37</v>
      </c>
      <c r="D20" s="12">
        <f t="shared" ref="D20:D24" si="2">C20/B20</f>
        <v>70.42</v>
      </c>
      <c r="F20" s="12">
        <f t="shared" si="1"/>
        <v>5939.0737744958806</v>
      </c>
    </row>
    <row r="21" spans="1:15" x14ac:dyDescent="0.25">
      <c r="A21" s="3" t="s">
        <v>11</v>
      </c>
      <c r="B21" s="13">
        <f>'Data  - 2022'!B12</f>
        <v>59.28601921024547</v>
      </c>
      <c r="C21" s="9">
        <f>'Data  - 2022'!C12</f>
        <v>4444.08</v>
      </c>
      <c r="D21" s="31">
        <f t="shared" si="2"/>
        <v>74.959999999999994</v>
      </c>
      <c r="F21" s="31">
        <f>+B21*D21</f>
        <v>4444.08</v>
      </c>
    </row>
    <row r="22" spans="1:15" x14ac:dyDescent="0.25">
      <c r="A22" s="3" t="s">
        <v>12</v>
      </c>
      <c r="B22" s="13">
        <f>'Data  - 2022'!B13</f>
        <v>70.005469583778023</v>
      </c>
      <c r="C22" s="9">
        <f>'Data  - 2022'!C13</f>
        <v>5247.61</v>
      </c>
      <c r="D22" s="31">
        <f t="shared" si="2"/>
        <v>74.959999999999994</v>
      </c>
      <c r="F22" s="31">
        <f>+B22*D22</f>
        <v>5247.6100000000006</v>
      </c>
      <c r="O22" s="12">
        <f>D21-D20</f>
        <v>4.539999999999992</v>
      </c>
    </row>
    <row r="23" spans="1:15" x14ac:dyDescent="0.25">
      <c r="A23" s="3" t="s">
        <v>13</v>
      </c>
      <c r="B23" s="13">
        <f>'Data  - 2022'!B14</f>
        <v>73.225053361792959</v>
      </c>
      <c r="C23" s="9">
        <f>'Data  - 2022'!C14</f>
        <v>5488.95</v>
      </c>
      <c r="D23" s="31">
        <f t="shared" si="2"/>
        <v>74.959999999999994</v>
      </c>
      <c r="F23" s="31">
        <f>+B23*D23</f>
        <v>5488.95</v>
      </c>
      <c r="O23" s="15">
        <f>O22/D20</f>
        <v>6.4470320931553415E-2</v>
      </c>
    </row>
    <row r="24" spans="1:15" x14ac:dyDescent="0.25">
      <c r="A24" s="3" t="s">
        <v>14</v>
      </c>
      <c r="B24" s="13">
        <f>'Data  - 2022'!B15</f>
        <v>22.058697972251871</v>
      </c>
      <c r="C24" s="9">
        <f>'Data  - 2022'!C15</f>
        <v>1653.52</v>
      </c>
      <c r="D24" s="31">
        <f t="shared" si="2"/>
        <v>74.959999999999994</v>
      </c>
      <c r="F24" s="32">
        <f>+B24*D24</f>
        <v>1653.52</v>
      </c>
    </row>
    <row r="25" spans="1:15" ht="18" x14ac:dyDescent="0.4">
      <c r="A25" s="2" t="s">
        <v>15</v>
      </c>
      <c r="B25" s="33">
        <f>SUM(B13:B24)</f>
        <v>865.92533489123775</v>
      </c>
      <c r="C25" s="34">
        <f>SUM(C13:C24)</f>
        <v>61294.09</v>
      </c>
      <c r="F25" s="29">
        <f>SUM(F13:F24)</f>
        <v>64909.763103447171</v>
      </c>
      <c r="H25" s="24"/>
      <c r="I25" s="50"/>
    </row>
    <row r="28" spans="1:15" x14ac:dyDescent="0.25">
      <c r="A28" s="38" t="s">
        <v>20</v>
      </c>
      <c r="D28" s="12">
        <f>D24</f>
        <v>74.959999999999994</v>
      </c>
    </row>
    <row r="29" spans="1:15" x14ac:dyDescent="0.25">
      <c r="A29" s="38"/>
    </row>
    <row r="30" spans="1:15" x14ac:dyDescent="0.25">
      <c r="A30" s="39" t="s">
        <v>19</v>
      </c>
      <c r="D30" s="21">
        <f>(D32-D28)/D28</f>
        <v>7.7749839914621227E-2</v>
      </c>
    </row>
    <row r="31" spans="1:15" x14ac:dyDescent="0.25">
      <c r="A31" s="38"/>
    </row>
    <row r="32" spans="1:15" x14ac:dyDescent="0.25">
      <c r="A32" s="38" t="s">
        <v>21</v>
      </c>
      <c r="D32" s="36">
        <f>76.62*(1.0544)</f>
        <v>80.788128</v>
      </c>
      <c r="E32" s="28" t="s">
        <v>44</v>
      </c>
      <c r="F32" s="28" t="s">
        <v>48</v>
      </c>
    </row>
    <row r="33" spans="1:7" x14ac:dyDescent="0.25">
      <c r="A33" s="38"/>
      <c r="E33" s="25">
        <f>+B25</f>
        <v>865.92533489123775</v>
      </c>
      <c r="F33" s="49">
        <f>ROUND(+D32*E33,2)</f>
        <v>69956.490000000005</v>
      </c>
    </row>
    <row r="34" spans="1:7" x14ac:dyDescent="0.25">
      <c r="A34" s="38"/>
      <c r="D34" s="22"/>
    </row>
    <row r="35" spans="1:7" x14ac:dyDescent="0.25">
      <c r="A35" s="38"/>
    </row>
    <row r="36" spans="1:7" x14ac:dyDescent="0.25">
      <c r="A36" s="38" t="s">
        <v>22</v>
      </c>
      <c r="D36" s="12"/>
    </row>
    <row r="37" spans="1:7" x14ac:dyDescent="0.25">
      <c r="A37" s="38"/>
      <c r="D37" s="21"/>
      <c r="F37" s="31">
        <f>F33-F25</f>
        <v>5046.7268965528347</v>
      </c>
      <c r="G37" s="12"/>
    </row>
    <row r="38" spans="1:7" x14ac:dyDescent="0.25">
      <c r="A38" s="38"/>
      <c r="D38" s="21"/>
    </row>
    <row r="39" spans="1:7" x14ac:dyDescent="0.25">
      <c r="A39" s="38" t="s">
        <v>26</v>
      </c>
      <c r="D39" s="21"/>
    </row>
    <row r="40" spans="1:7" x14ac:dyDescent="0.25">
      <c r="A40" s="38"/>
      <c r="C40" s="25"/>
      <c r="D40" s="21"/>
    </row>
    <row r="41" spans="1:7" x14ac:dyDescent="0.25">
      <c r="A41" s="38" t="s">
        <v>25</v>
      </c>
      <c r="C41" s="25">
        <v>1335</v>
      </c>
    </row>
    <row r="42" spans="1:7" x14ac:dyDescent="0.25">
      <c r="A42" s="38" t="s">
        <v>28</v>
      </c>
      <c r="C42" s="26">
        <v>26</v>
      </c>
      <c r="D42" s="20"/>
    </row>
    <row r="43" spans="1:7" x14ac:dyDescent="0.25">
      <c r="A43" s="38" t="s">
        <v>30</v>
      </c>
      <c r="C43" s="48">
        <f>+C42*C41</f>
        <v>34710</v>
      </c>
    </row>
    <row r="44" spans="1:7" x14ac:dyDescent="0.25">
      <c r="A44" s="38"/>
      <c r="C44" s="25"/>
    </row>
    <row r="45" spans="1:7" x14ac:dyDescent="0.25">
      <c r="A45" s="38"/>
    </row>
    <row r="46" spans="1:7" x14ac:dyDescent="0.25">
      <c r="A46" s="38" t="s">
        <v>27</v>
      </c>
      <c r="C46" s="25">
        <v>7</v>
      </c>
      <c r="D46" s="25"/>
      <c r="E46" s="25"/>
    </row>
    <row r="47" spans="1:7" x14ac:dyDescent="0.25">
      <c r="A47" s="38" t="s">
        <v>28</v>
      </c>
      <c r="C47" s="26">
        <v>26</v>
      </c>
      <c r="D47" s="25"/>
      <c r="E47" s="25"/>
    </row>
    <row r="48" spans="1:7" x14ac:dyDescent="0.25">
      <c r="A48" s="38" t="s">
        <v>29</v>
      </c>
      <c r="C48" s="25">
        <f>+C47*C46</f>
        <v>182</v>
      </c>
      <c r="D48" s="25"/>
      <c r="E48" s="25"/>
    </row>
    <row r="49" spans="1:11" x14ac:dyDescent="0.25">
      <c r="A49" s="38"/>
      <c r="C49" s="25"/>
      <c r="D49" s="25"/>
      <c r="E49" s="25"/>
    </row>
    <row r="50" spans="1:11" x14ac:dyDescent="0.25">
      <c r="A50" s="38" t="s">
        <v>31</v>
      </c>
      <c r="C50" s="48">
        <f>+C43+C48</f>
        <v>34892</v>
      </c>
      <c r="D50" s="47">
        <f>+F37/C50</f>
        <v>0.14463851016143628</v>
      </c>
      <c r="E50" s="25"/>
    </row>
    <row r="51" spans="1:11" x14ac:dyDescent="0.25">
      <c r="A51" s="38" t="s">
        <v>37</v>
      </c>
      <c r="C51" s="25"/>
      <c r="D51" s="47">
        <f>+(D50*2)</f>
        <v>0.28927702032287256</v>
      </c>
      <c r="E51" s="25"/>
    </row>
    <row r="52" spans="1:11" x14ac:dyDescent="0.25">
      <c r="A52" s="38"/>
    </row>
    <row r="53" spans="1:11" x14ac:dyDescent="0.25">
      <c r="A53" s="38" t="s">
        <v>32</v>
      </c>
    </row>
    <row r="54" spans="1:11" ht="30" x14ac:dyDescent="0.25">
      <c r="A54" s="38"/>
      <c r="D54" s="27" t="s">
        <v>41</v>
      </c>
      <c r="E54" s="27" t="s">
        <v>42</v>
      </c>
      <c r="F54" s="28"/>
      <c r="G54" s="27" t="s">
        <v>38</v>
      </c>
      <c r="H54" s="27" t="s">
        <v>39</v>
      </c>
      <c r="I54" s="28" t="s">
        <v>40</v>
      </c>
    </row>
    <row r="55" spans="1:11" x14ac:dyDescent="0.25">
      <c r="A55" s="38" t="s">
        <v>33</v>
      </c>
      <c r="D55">
        <v>11.18</v>
      </c>
      <c r="E55" s="23">
        <f>+D55+D51</f>
        <v>11.469277020322872</v>
      </c>
      <c r="G55" s="22">
        <f>+D55*C41*12</f>
        <v>179103.59999999998</v>
      </c>
      <c r="H55" s="22">
        <f>+E55*C41*12</f>
        <v>183737.8178655724</v>
      </c>
      <c r="I55" s="22">
        <f>+H55-G55</f>
        <v>4634.2178655724274</v>
      </c>
      <c r="J55" s="22"/>
    </row>
    <row r="56" spans="1:11" x14ac:dyDescent="0.25">
      <c r="A56" s="38" t="s">
        <v>34</v>
      </c>
      <c r="G56" s="22"/>
      <c r="H56" s="22"/>
      <c r="I56" s="22"/>
      <c r="J56" s="22"/>
    </row>
    <row r="57" spans="1:11" x14ac:dyDescent="0.25">
      <c r="A57" s="24"/>
      <c r="G57" s="22"/>
      <c r="H57" s="22"/>
      <c r="I57" s="22"/>
      <c r="J57" s="22"/>
    </row>
    <row r="58" spans="1:11" x14ac:dyDescent="0.25">
      <c r="A58" s="24" t="s">
        <v>35</v>
      </c>
      <c r="D58">
        <v>12.51</v>
      </c>
      <c r="E58" s="23">
        <f>+D58+D51</f>
        <v>12.799277020322872</v>
      </c>
      <c r="G58" s="22">
        <f>+D58*C46*12</f>
        <v>1050.8399999999999</v>
      </c>
      <c r="H58" s="22">
        <f>+E58*C46*12</f>
        <v>1075.1392697071212</v>
      </c>
      <c r="I58" s="22">
        <f>+H58-G58</f>
        <v>24.299269707121312</v>
      </c>
      <c r="J58" s="22"/>
    </row>
    <row r="59" spans="1:11" x14ac:dyDescent="0.25">
      <c r="A59" s="24" t="s">
        <v>36</v>
      </c>
      <c r="H59" s="22"/>
      <c r="I59" s="22"/>
      <c r="J59" s="22"/>
    </row>
    <row r="60" spans="1:11" x14ac:dyDescent="0.25">
      <c r="A60" s="24"/>
      <c r="G60" s="22"/>
      <c r="H60" s="22"/>
      <c r="I60" s="22"/>
      <c r="J60" s="22"/>
    </row>
    <row r="61" spans="1:11" ht="15.75" thickBot="1" x14ac:dyDescent="0.3">
      <c r="A61" s="42" t="s">
        <v>45</v>
      </c>
      <c r="B61" s="43"/>
      <c r="C61" s="43"/>
      <c r="D61" s="43"/>
      <c r="E61" s="43"/>
      <c r="F61" s="43"/>
      <c r="G61" s="44"/>
      <c r="H61" s="44"/>
      <c r="I61" s="44">
        <f>+I58+I55</f>
        <v>4658.5171352795487</v>
      </c>
      <c r="J61" s="22">
        <f>F37-I61</f>
        <v>388.20976127328595</v>
      </c>
      <c r="K61" s="51" t="s">
        <v>49</v>
      </c>
    </row>
    <row r="62" spans="1:11" ht="15.75" thickTop="1" x14ac:dyDescent="0.25">
      <c r="G62" s="22"/>
      <c r="H62" s="22"/>
      <c r="I62" s="22"/>
      <c r="J62" s="2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C3EDD-1F3F-4FF8-8BFA-1F44DBB7B128}">
  <dimension ref="A1:G25"/>
  <sheetViews>
    <sheetView topLeftCell="A12" workbookViewId="0">
      <selection activeCell="D15" sqref="D15"/>
    </sheetView>
  </sheetViews>
  <sheetFormatPr defaultRowHeight="15" x14ac:dyDescent="0.25"/>
  <cols>
    <col min="3" max="3" width="13.85546875" bestFit="1" customWidth="1"/>
    <col min="5" max="5" width="10.5703125" bestFit="1" customWidth="1"/>
    <col min="6" max="7" width="11.5703125" bestFit="1" customWidth="1"/>
  </cols>
  <sheetData>
    <row r="1" spans="1:4" ht="21" x14ac:dyDescent="0.35">
      <c r="A1" s="1" t="s">
        <v>18</v>
      </c>
    </row>
    <row r="2" spans="1:4" ht="15.75" thickBot="1" x14ac:dyDescent="0.3"/>
    <row r="3" spans="1:4" ht="16.5" thickBot="1" x14ac:dyDescent="0.3">
      <c r="A3" s="5" t="s">
        <v>0</v>
      </c>
      <c r="B3" s="6" t="s">
        <v>1</v>
      </c>
      <c r="C3" s="7" t="s">
        <v>2</v>
      </c>
    </row>
    <row r="4" spans="1:4" x14ac:dyDescent="0.25">
      <c r="A4" s="4" t="s">
        <v>3</v>
      </c>
      <c r="B4" s="13">
        <f>C4/66.1</f>
        <v>55.060060514372168</v>
      </c>
      <c r="C4" s="9">
        <v>3639.47</v>
      </c>
      <c r="D4" s="12">
        <f t="shared" ref="D4:D15" si="0">C4/B4</f>
        <v>66.099999999999994</v>
      </c>
    </row>
    <row r="5" spans="1:4" x14ac:dyDescent="0.25">
      <c r="A5" s="3" t="s">
        <v>4</v>
      </c>
      <c r="B5" s="13">
        <f>C5/66.1</f>
        <v>43.139939485627842</v>
      </c>
      <c r="C5" s="10">
        <v>2851.55</v>
      </c>
      <c r="D5" s="12">
        <f t="shared" si="0"/>
        <v>66.099999999999994</v>
      </c>
    </row>
    <row r="6" spans="1:4" x14ac:dyDescent="0.25">
      <c r="A6" s="3" t="s">
        <v>5</v>
      </c>
      <c r="B6" s="13">
        <f>C6/66.1</f>
        <v>64.7499243570348</v>
      </c>
      <c r="C6" s="10">
        <v>4279.97</v>
      </c>
      <c r="D6" s="12">
        <f t="shared" si="0"/>
        <v>66.099999999999994</v>
      </c>
    </row>
    <row r="7" spans="1:4" x14ac:dyDescent="0.25">
      <c r="A7" s="3" t="s">
        <v>6</v>
      </c>
      <c r="B7" s="13">
        <f>C7/70.42</f>
        <v>80.759869355296786</v>
      </c>
      <c r="C7" s="10">
        <v>5687.11</v>
      </c>
      <c r="D7" s="12">
        <f t="shared" si="0"/>
        <v>70.42</v>
      </c>
    </row>
    <row r="8" spans="1:4" x14ac:dyDescent="0.25">
      <c r="A8" s="3" t="s">
        <v>7</v>
      </c>
      <c r="B8" s="13">
        <f>C8/70.42</f>
        <v>117.00014200511218</v>
      </c>
      <c r="C8" s="10">
        <v>8239.15</v>
      </c>
      <c r="D8" s="12">
        <f t="shared" si="0"/>
        <v>70.42</v>
      </c>
    </row>
    <row r="9" spans="1:4" x14ac:dyDescent="0.25">
      <c r="A9" s="3" t="s">
        <v>8</v>
      </c>
      <c r="B9" s="13">
        <f>C9/70.42</f>
        <v>113.67026412950865</v>
      </c>
      <c r="C9" s="10">
        <v>8004.66</v>
      </c>
      <c r="D9" s="12">
        <f t="shared" si="0"/>
        <v>70.42</v>
      </c>
    </row>
    <row r="10" spans="1:4" x14ac:dyDescent="0.25">
      <c r="A10" s="3" t="s">
        <v>9</v>
      </c>
      <c r="B10" s="13">
        <f>C10/70.42</f>
        <v>87.739988639591019</v>
      </c>
      <c r="C10" s="10">
        <v>6178.65</v>
      </c>
      <c r="D10" s="12">
        <f t="shared" si="0"/>
        <v>70.42</v>
      </c>
    </row>
    <row r="11" spans="1:4" x14ac:dyDescent="0.25">
      <c r="A11" s="3" t="s">
        <v>10</v>
      </c>
      <c r="B11" s="13">
        <f>C11/70.42</f>
        <v>79.229906276625954</v>
      </c>
      <c r="C11" s="10">
        <v>5579.37</v>
      </c>
      <c r="D11" s="12">
        <f t="shared" si="0"/>
        <v>70.42</v>
      </c>
    </row>
    <row r="12" spans="1:4" x14ac:dyDescent="0.25">
      <c r="A12" s="3" t="s">
        <v>11</v>
      </c>
      <c r="B12" s="13">
        <f>C12/74.96</f>
        <v>59.28601921024547</v>
      </c>
      <c r="C12" s="10">
        <v>4444.08</v>
      </c>
      <c r="D12" s="12">
        <f t="shared" si="0"/>
        <v>74.959999999999994</v>
      </c>
    </row>
    <row r="13" spans="1:4" x14ac:dyDescent="0.25">
      <c r="A13" s="3" t="s">
        <v>12</v>
      </c>
      <c r="B13" s="13">
        <f>C13/74.96</f>
        <v>70.005469583778023</v>
      </c>
      <c r="C13" s="10">
        <v>5247.61</v>
      </c>
      <c r="D13" s="12">
        <f t="shared" si="0"/>
        <v>74.959999999999994</v>
      </c>
    </row>
    <row r="14" spans="1:4" x14ac:dyDescent="0.25">
      <c r="A14" s="3" t="s">
        <v>13</v>
      </c>
      <c r="B14" s="13">
        <f>C14/74.96</f>
        <v>73.225053361792959</v>
      </c>
      <c r="C14" s="10">
        <v>5488.95</v>
      </c>
      <c r="D14" s="12">
        <f t="shared" si="0"/>
        <v>74.959999999999994</v>
      </c>
    </row>
    <row r="15" spans="1:4" x14ac:dyDescent="0.25">
      <c r="A15" s="3" t="s">
        <v>14</v>
      </c>
      <c r="B15" s="13">
        <f>C15/74.96</f>
        <v>22.058697972251871</v>
      </c>
      <c r="C15" s="10">
        <v>1653.52</v>
      </c>
      <c r="D15" s="12">
        <f t="shared" si="0"/>
        <v>74.959999999999994</v>
      </c>
    </row>
    <row r="16" spans="1:4" ht="18" x14ac:dyDescent="0.4">
      <c r="A16" s="2" t="s">
        <v>15</v>
      </c>
      <c r="B16" s="8">
        <f>SUM(B4:B15)</f>
        <v>865.92533489123775</v>
      </c>
      <c r="C16" s="11">
        <f>SUM(C4:C15)</f>
        <v>61294.09</v>
      </c>
    </row>
    <row r="25" spans="5:7" x14ac:dyDescent="0.25">
      <c r="E25" s="12"/>
      <c r="F25" s="12"/>
      <c r="G25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C16" sqref="C16"/>
    </sheetView>
  </sheetViews>
  <sheetFormatPr defaultRowHeight="15" x14ac:dyDescent="0.25"/>
  <cols>
    <col min="3" max="3" width="13.85546875" bestFit="1" customWidth="1"/>
    <col min="4" max="4" width="10" bestFit="1" customWidth="1"/>
    <col min="6" max="7" width="12.5703125" bestFit="1" customWidth="1"/>
    <col min="8" max="8" width="11.28515625" bestFit="1" customWidth="1"/>
  </cols>
  <sheetData>
    <row r="1" spans="1:8" ht="21" x14ac:dyDescent="0.35">
      <c r="A1" s="1" t="s">
        <v>17</v>
      </c>
    </row>
    <row r="2" spans="1:8" ht="15.75" thickBot="1" x14ac:dyDescent="0.3"/>
    <row r="3" spans="1:8" ht="16.5" thickBot="1" x14ac:dyDescent="0.3">
      <c r="A3" s="5" t="s">
        <v>0</v>
      </c>
      <c r="B3" s="6" t="s">
        <v>1</v>
      </c>
      <c r="C3" s="7" t="s">
        <v>2</v>
      </c>
      <c r="F3" s="16"/>
      <c r="G3" s="16"/>
      <c r="H3" s="16"/>
    </row>
    <row r="4" spans="1:8" x14ac:dyDescent="0.25">
      <c r="A4" s="4" t="s">
        <v>3</v>
      </c>
      <c r="B4" s="13">
        <f>C4/66.1</f>
        <v>34.309984871406961</v>
      </c>
      <c r="C4" s="9">
        <v>2267.89</v>
      </c>
      <c r="D4" s="12">
        <f>C4/B4</f>
        <v>66.099999999999994</v>
      </c>
      <c r="F4" s="17"/>
      <c r="G4" s="18"/>
      <c r="H4" s="17"/>
    </row>
    <row r="5" spans="1:8" x14ac:dyDescent="0.25">
      <c r="A5" s="3" t="s">
        <v>4</v>
      </c>
      <c r="B5" s="13">
        <f t="shared" ref="B5:B15" si="0">C5/66.1</f>
        <v>12.829046898638428</v>
      </c>
      <c r="C5" s="10">
        <v>848</v>
      </c>
      <c r="D5" s="12">
        <f t="shared" ref="D5:D15" si="1">C5/B5</f>
        <v>66.099999999999994</v>
      </c>
      <c r="F5" s="17"/>
      <c r="G5" s="18"/>
      <c r="H5" s="17"/>
    </row>
    <row r="6" spans="1:8" x14ac:dyDescent="0.25">
      <c r="A6" s="3" t="s">
        <v>5</v>
      </c>
      <c r="B6" s="13">
        <f t="shared" si="0"/>
        <v>54.319818456883517</v>
      </c>
      <c r="C6" s="10">
        <v>3590.54</v>
      </c>
      <c r="D6" s="12">
        <f t="shared" si="1"/>
        <v>66.099999999999994</v>
      </c>
      <c r="F6" s="17"/>
      <c r="G6" s="18"/>
      <c r="H6" s="17"/>
    </row>
    <row r="7" spans="1:8" x14ac:dyDescent="0.25">
      <c r="A7" s="3" t="s">
        <v>6</v>
      </c>
      <c r="B7" s="13">
        <f t="shared" si="0"/>
        <v>91.060060514372168</v>
      </c>
      <c r="C7" s="10">
        <v>6019.07</v>
      </c>
      <c r="D7" s="12">
        <f t="shared" si="1"/>
        <v>66.099999999999994</v>
      </c>
      <c r="F7" s="17"/>
      <c r="G7" s="18"/>
      <c r="H7" s="17"/>
    </row>
    <row r="8" spans="1:8" x14ac:dyDescent="0.25">
      <c r="A8" s="3" t="s">
        <v>7</v>
      </c>
      <c r="B8" s="13">
        <f t="shared" si="0"/>
        <v>96.590015128593052</v>
      </c>
      <c r="C8" s="10">
        <v>6384.6</v>
      </c>
      <c r="D8" s="12">
        <f t="shared" si="1"/>
        <v>66.099999999999994</v>
      </c>
      <c r="F8" s="17"/>
      <c r="G8" s="18"/>
      <c r="H8" s="17"/>
    </row>
    <row r="9" spans="1:8" x14ac:dyDescent="0.25">
      <c r="A9" s="3" t="s">
        <v>8</v>
      </c>
      <c r="B9" s="13">
        <f t="shared" si="0"/>
        <v>75.820423600605139</v>
      </c>
      <c r="C9" s="10">
        <v>5011.7299999999996</v>
      </c>
      <c r="D9" s="12">
        <f t="shared" si="1"/>
        <v>66.099999999999994</v>
      </c>
      <c r="F9" s="17"/>
      <c r="G9" s="18"/>
      <c r="H9" s="17"/>
    </row>
    <row r="10" spans="1:8" x14ac:dyDescent="0.25">
      <c r="A10" s="3" t="s">
        <v>9</v>
      </c>
      <c r="B10" s="13">
        <f t="shared" si="0"/>
        <v>71.000151285930414</v>
      </c>
      <c r="C10" s="10">
        <v>4693.1099999999997</v>
      </c>
      <c r="D10" s="12">
        <f t="shared" si="1"/>
        <v>66.099999999999994</v>
      </c>
      <c r="F10" s="17"/>
      <c r="G10" s="18"/>
      <c r="H10" s="17"/>
    </row>
    <row r="11" spans="1:8" x14ac:dyDescent="0.25">
      <c r="A11" s="3" t="s">
        <v>10</v>
      </c>
      <c r="B11" s="13">
        <f t="shared" si="0"/>
        <v>65.539939485627841</v>
      </c>
      <c r="C11" s="10">
        <v>4332.1899999999996</v>
      </c>
      <c r="D11" s="12">
        <f t="shared" si="1"/>
        <v>66.099999999999994</v>
      </c>
      <c r="F11" s="17"/>
      <c r="G11" s="18"/>
      <c r="H11" s="17"/>
    </row>
    <row r="12" spans="1:8" x14ac:dyDescent="0.25">
      <c r="A12" s="3" t="s">
        <v>11</v>
      </c>
      <c r="B12" s="13">
        <f t="shared" si="0"/>
        <v>76.539939485627841</v>
      </c>
      <c r="C12" s="10">
        <v>5059.29</v>
      </c>
      <c r="D12" s="12">
        <f t="shared" si="1"/>
        <v>66.099999999999994</v>
      </c>
      <c r="F12" s="17"/>
      <c r="G12" s="18"/>
      <c r="H12" s="17"/>
    </row>
    <row r="13" spans="1:8" x14ac:dyDescent="0.25">
      <c r="A13" s="3" t="s">
        <v>12</v>
      </c>
      <c r="B13" s="13">
        <f t="shared" si="0"/>
        <v>69.95461422087746</v>
      </c>
      <c r="C13" s="10">
        <v>4624</v>
      </c>
      <c r="D13" s="12">
        <f t="shared" si="1"/>
        <v>66.099999999999994</v>
      </c>
      <c r="F13" s="17"/>
      <c r="G13" s="18"/>
      <c r="H13" s="17"/>
    </row>
    <row r="14" spans="1:8" x14ac:dyDescent="0.25">
      <c r="A14" s="3" t="s">
        <v>13</v>
      </c>
      <c r="B14" s="13">
        <f t="shared" si="0"/>
        <v>106.88003025718609</v>
      </c>
      <c r="C14" s="10">
        <v>7064.77</v>
      </c>
      <c r="D14" s="12">
        <f t="shared" si="1"/>
        <v>66.099999999999994</v>
      </c>
      <c r="F14" s="17"/>
      <c r="G14" s="18"/>
      <c r="H14" s="17"/>
    </row>
    <row r="15" spans="1:8" x14ac:dyDescent="0.25">
      <c r="A15" s="3" t="s">
        <v>14</v>
      </c>
      <c r="B15" s="13">
        <f t="shared" si="0"/>
        <v>19.863842662632376</v>
      </c>
      <c r="C15" s="10">
        <v>1313</v>
      </c>
      <c r="D15" s="12">
        <f t="shared" si="1"/>
        <v>66.099999999999994</v>
      </c>
      <c r="F15" s="17"/>
      <c r="G15" s="18"/>
      <c r="H15" s="17"/>
    </row>
    <row r="16" spans="1:8" ht="18" x14ac:dyDescent="0.4">
      <c r="A16" s="2" t="s">
        <v>15</v>
      </c>
      <c r="B16" s="8">
        <f>SUM(B4:B15)</f>
        <v>774.70786686838142</v>
      </c>
      <c r="C16" s="11">
        <f>SUM(C4:C15)</f>
        <v>51208.19</v>
      </c>
      <c r="F16" s="17"/>
      <c r="G16" s="19"/>
      <c r="H16" s="20"/>
    </row>
    <row r="20" spans="3:8" x14ac:dyDescent="0.25">
      <c r="E20" s="14"/>
      <c r="F20" s="12"/>
    </row>
    <row r="22" spans="3:8" x14ac:dyDescent="0.25">
      <c r="E22" s="15"/>
      <c r="G22" s="14"/>
      <c r="H22" s="12"/>
    </row>
    <row r="23" spans="3:8" x14ac:dyDescent="0.25">
      <c r="C23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workbookViewId="0">
      <selection activeCell="G3" sqref="G3"/>
    </sheetView>
  </sheetViews>
  <sheetFormatPr defaultRowHeight="15" x14ac:dyDescent="0.25"/>
  <cols>
    <col min="3" max="3" width="13.85546875" bestFit="1" customWidth="1"/>
    <col min="7" max="7" width="11.5703125" bestFit="1" customWidth="1"/>
  </cols>
  <sheetData>
    <row r="1" spans="1:7" ht="21" x14ac:dyDescent="0.35">
      <c r="A1" s="1" t="s">
        <v>16</v>
      </c>
    </row>
    <row r="2" spans="1:7" ht="15.75" thickBot="1" x14ac:dyDescent="0.3"/>
    <row r="3" spans="1:7" ht="16.5" thickBot="1" x14ac:dyDescent="0.3">
      <c r="A3" s="5" t="s">
        <v>0</v>
      </c>
      <c r="B3" s="6" t="s">
        <v>1</v>
      </c>
      <c r="C3" s="7" t="s">
        <v>2</v>
      </c>
      <c r="G3" s="12"/>
    </row>
    <row r="4" spans="1:7" x14ac:dyDescent="0.25">
      <c r="A4" s="4" t="s">
        <v>3</v>
      </c>
      <c r="B4" s="13">
        <f>C4/62.93</f>
        <v>26.819958684252345</v>
      </c>
      <c r="C4" s="9">
        <v>1687.78</v>
      </c>
      <c r="D4" s="12">
        <f>C4/B4</f>
        <v>62.929999999999993</v>
      </c>
    </row>
    <row r="5" spans="1:7" x14ac:dyDescent="0.25">
      <c r="A5" s="3" t="s">
        <v>4</v>
      </c>
      <c r="B5" s="13">
        <f t="shared" ref="B5:B6" si="0">C5/62.93</f>
        <v>30.789766407119021</v>
      </c>
      <c r="C5" s="10">
        <v>1937.6</v>
      </c>
      <c r="D5" s="12">
        <f t="shared" ref="D5:D15" si="1">C5/B5</f>
        <v>62.93</v>
      </c>
    </row>
    <row r="6" spans="1:7" x14ac:dyDescent="0.25">
      <c r="A6" s="3" t="s">
        <v>5</v>
      </c>
      <c r="B6" s="13">
        <f t="shared" si="0"/>
        <v>55.900524392181794</v>
      </c>
      <c r="C6" s="10">
        <v>3517.82</v>
      </c>
      <c r="D6" s="12">
        <f t="shared" si="1"/>
        <v>62.93</v>
      </c>
    </row>
    <row r="7" spans="1:7" x14ac:dyDescent="0.25">
      <c r="A7" s="3" t="s">
        <v>6</v>
      </c>
      <c r="B7" s="13">
        <f>C7/64.21</f>
        <v>107.28983024451021</v>
      </c>
      <c r="C7" s="10">
        <v>6889.08</v>
      </c>
      <c r="D7" s="12">
        <f t="shared" si="1"/>
        <v>64.209999999999994</v>
      </c>
    </row>
    <row r="8" spans="1:7" x14ac:dyDescent="0.25">
      <c r="A8" s="3" t="s">
        <v>7</v>
      </c>
      <c r="B8" s="13">
        <f>C8/64.21</f>
        <v>111.92026164148886</v>
      </c>
      <c r="C8" s="10">
        <v>7186.4</v>
      </c>
      <c r="D8" s="12">
        <f t="shared" si="1"/>
        <v>64.209999999999994</v>
      </c>
    </row>
    <row r="9" spans="1:7" x14ac:dyDescent="0.25">
      <c r="A9" s="3" t="s">
        <v>8</v>
      </c>
      <c r="B9" s="13">
        <f>C9/64.21</f>
        <v>109.0893941753621</v>
      </c>
      <c r="C9" s="10">
        <v>7004.63</v>
      </c>
      <c r="D9" s="12">
        <f t="shared" si="1"/>
        <v>64.209999999999994</v>
      </c>
    </row>
    <row r="10" spans="1:7" x14ac:dyDescent="0.25">
      <c r="A10" s="3" t="s">
        <v>9</v>
      </c>
      <c r="B10" s="13">
        <f>C10/64.21</f>
        <v>105.48979909671392</v>
      </c>
      <c r="C10" s="10">
        <v>6773.5</v>
      </c>
      <c r="D10" s="12">
        <f t="shared" si="1"/>
        <v>64.209999999999994</v>
      </c>
    </row>
    <row r="11" spans="1:7" x14ac:dyDescent="0.25">
      <c r="A11" s="3" t="s">
        <v>10</v>
      </c>
      <c r="B11" s="13">
        <f>C11/64.21</f>
        <v>69.910138607693511</v>
      </c>
      <c r="C11" s="10">
        <v>4488.93</v>
      </c>
      <c r="D11" s="12">
        <f t="shared" si="1"/>
        <v>64.209999999999994</v>
      </c>
    </row>
    <row r="12" spans="1:7" x14ac:dyDescent="0.25">
      <c r="A12" s="3" t="s">
        <v>11</v>
      </c>
      <c r="B12" s="13">
        <f>C12/65</f>
        <v>73.84</v>
      </c>
      <c r="C12" s="10">
        <v>4799.6000000000004</v>
      </c>
      <c r="D12" s="12">
        <f t="shared" si="1"/>
        <v>65</v>
      </c>
    </row>
    <row r="13" spans="1:7" x14ac:dyDescent="0.25">
      <c r="A13" s="3" t="s">
        <v>12</v>
      </c>
      <c r="B13" s="13">
        <f t="shared" ref="B13:B15" si="2">C13/65</f>
        <v>77.27</v>
      </c>
      <c r="C13" s="10">
        <v>5022.55</v>
      </c>
      <c r="D13" s="12">
        <f t="shared" si="1"/>
        <v>65</v>
      </c>
    </row>
    <row r="14" spans="1:7" x14ac:dyDescent="0.25">
      <c r="A14" s="3" t="s">
        <v>13</v>
      </c>
      <c r="B14" s="13">
        <f t="shared" si="2"/>
        <v>78.39</v>
      </c>
      <c r="C14" s="10">
        <v>5095.3500000000004</v>
      </c>
      <c r="D14" s="12">
        <f t="shared" si="1"/>
        <v>65</v>
      </c>
    </row>
    <row r="15" spans="1:7" x14ac:dyDescent="0.25">
      <c r="A15" s="3" t="s">
        <v>14</v>
      </c>
      <c r="B15" s="13">
        <f t="shared" si="2"/>
        <v>49.75</v>
      </c>
      <c r="C15" s="10">
        <v>3233.75</v>
      </c>
      <c r="D15" s="12">
        <f t="shared" si="1"/>
        <v>65</v>
      </c>
    </row>
    <row r="16" spans="1:7" ht="18" x14ac:dyDescent="0.4">
      <c r="A16" s="2" t="s">
        <v>15</v>
      </c>
      <c r="B16" s="8">
        <f>SUM(B4:B15)</f>
        <v>896.45967324932178</v>
      </c>
      <c r="C16" s="11">
        <f>SUM(C4:C15)</f>
        <v>57636.99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41BACF814C4B4E8E4FE19EDFAD582C" ma:contentTypeVersion="12" ma:contentTypeDescription="" ma:contentTypeScope="" ma:versionID="7c87355b497d487c444a252621cc90a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2024-05-16T07:00:00+00:00</OpenedDate>
    <SignificantOrder xmlns="dc463f71-b30c-4ab2-9473-d307f9d35888">false</SignificantOrder>
    <Date1 xmlns="dc463f71-b30c-4ab2-9473-d307f9d35888">2024-05-16T07:00:00+00:00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 Holdings</CaseCompanyNames>
    <Nickname xmlns="http://schemas.microsoft.com/sharepoint/v3" xsi:nil="true"/>
    <DocketNumber xmlns="dc463f71-b30c-4ab2-9473-d307f9d35888">240391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6E11CE-64BB-49D2-83C4-AC5EB590761C}"/>
</file>

<file path=customXml/itemProps2.xml><?xml version="1.0" encoding="utf-8"?>
<ds:datastoreItem xmlns:ds="http://schemas.openxmlformats.org/officeDocument/2006/customXml" ds:itemID="{781F3041-73B8-40BA-BEB6-EDC636C13EE4}"/>
</file>

<file path=customXml/itemProps3.xml><?xml version="1.0" encoding="utf-8"?>
<ds:datastoreItem xmlns:ds="http://schemas.openxmlformats.org/officeDocument/2006/customXml" ds:itemID="{D25482F0-0E0D-41FC-BA3E-54C14022EBD0}">
  <ds:schemaRefs>
    <ds:schemaRef ds:uri="http://purl.org/dc/dcmitype/"/>
    <ds:schemaRef ds:uri="http://schemas.microsoft.com/office/2006/metadata/properties"/>
    <ds:schemaRef ds:uri="dc463f71-b30c-4ab2-9473-d307f9d3588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80B1CD3-25E5-403A-9AD1-B7C11B9114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SDI YW DF Inc</vt:lpstr>
      <vt:lpstr>2023 - Calcs</vt:lpstr>
      <vt:lpstr>2023 - Data</vt:lpstr>
      <vt:lpstr>2023 CG Inv Detail</vt:lpstr>
      <vt:lpstr>Previous Years' Data --&gt;</vt:lpstr>
      <vt:lpstr>2022</vt:lpstr>
      <vt:lpstr>Data  - 2022</vt:lpstr>
      <vt:lpstr>2021</vt:lpstr>
      <vt:lpstr>2020</vt:lpstr>
      <vt:lpstr>'2023 CG Inv Detail'!Print_Area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ann@kalahikiconsulting.com</dc:creator>
  <cp:lastModifiedBy>Ann LaRue</cp:lastModifiedBy>
  <cp:lastPrinted>2024-05-15T21:49:42Z</cp:lastPrinted>
  <dcterms:created xsi:type="dcterms:W3CDTF">2021-03-25T14:41:18Z</dcterms:created>
  <dcterms:modified xsi:type="dcterms:W3CDTF">2024-05-16T20:00:53Z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0x0101006E56B4D1795A2E4DB2F0B01679ED314A001B41BACF814C4B4E8E4FE19EDFAD582C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