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4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GrpRevnu\PUBLIC\Schedules\Schedule 140 Property Tax Tracker\2024 Filing\"/>
    </mc:Choice>
  </mc:AlternateContent>
  <bookViews>
    <workbookView xWindow="-15" yWindow="105" windowWidth="2055" windowHeight="7185" tabRatio="950"/>
  </bookViews>
  <sheets>
    <sheet name="2024 FINAL Rev Req" sheetId="74" r:id="rId1"/>
    <sheet name="Support" sheetId="78" r:id="rId2"/>
    <sheet name="2023 FINAL Rev Req" sheetId="92" r:id="rId3"/>
    <sheet name="Summary for Tracker Filing" sheetId="100" r:id="rId4"/>
    <sheet name="Electric- Tracker 3-11-24" sheetId="101" r:id="rId5"/>
    <sheet name="Gas-Tracker filing 3-11-24" sheetId="102" r:id="rId6"/>
    <sheet name="Electric summary" sheetId="90" r:id="rId7"/>
    <sheet name="Gas summary" sheetId="91" r:id="rId8"/>
    <sheet name="Elec Load Variance" sheetId="93" r:id="rId9"/>
    <sheet name="Gas Load Variance" sheetId="94" r:id="rId10"/>
    <sheet name="141Z residual transfer" sheetId="99" r:id="rId11"/>
    <sheet name="2023 Actual Payment " sheetId="97" r:id="rId12"/>
    <sheet name="CNG Property Tax" sheetId="95" r:id="rId13"/>
    <sheet name="E Conversion Factor" sheetId="85" r:id="rId14"/>
    <sheet name="G Conversion Factor" sheetId="86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__________________six6" localSheetId="1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1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10" hidden="1">{#N/A,#N/A,FALSE,"schA"}</definedName>
    <definedName name="____________________www1" hidden="1">{#N/A,#N/A,FALSE,"schA"}</definedName>
    <definedName name="__________________six6" localSheetId="1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10" hidden="1">{#N/A,#N/A,FALSE,"schA"}</definedName>
    <definedName name="__________________www1" hidden="1">{#N/A,#N/A,FALSE,"schA"}</definedName>
    <definedName name="_________________six6" localSheetId="1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10" hidden="1">{#N/A,#N/A,FALSE,"schA"}</definedName>
    <definedName name="_________________www1" hidden="1">{#N/A,#N/A,FALSE,"schA"}</definedName>
    <definedName name="________________six6" localSheetId="1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10" hidden="1">{#N/A,#N/A,FALSE,"schA"}</definedName>
    <definedName name="________________www1" hidden="1">{#N/A,#N/A,FALSE,"schA"}</definedName>
    <definedName name="_______________six6" localSheetId="1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10" hidden="1">{#N/A,#N/A,FALSE,"schA"}</definedName>
    <definedName name="_______________www1" hidden="1">{#N/A,#N/A,FALSE,"schA"}</definedName>
    <definedName name="______________six6" localSheetId="1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10" hidden="1">{#N/A,#N/A,FALSE,"schA"}</definedName>
    <definedName name="______________www1" hidden="1">{#N/A,#N/A,FALSE,"schA"}</definedName>
    <definedName name="_____________six6" localSheetId="1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10" hidden="1">{#N/A,#N/A,FALSE,"schA"}</definedName>
    <definedName name="_____________www1" hidden="1">{#N/A,#N/A,FALSE,"schA"}</definedName>
    <definedName name="____________six6" localSheetId="1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10" hidden="1">{#N/A,#N/A,FALSE,"schA"}</definedName>
    <definedName name="____________www1" hidden="1">{#N/A,#N/A,FALSE,"schA"}</definedName>
    <definedName name="___________six6" localSheetId="1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10" hidden="1">{#N/A,#N/A,FALSE,"schA"}</definedName>
    <definedName name="___________www1" hidden="1">{#N/A,#N/A,FALSE,"schA"}</definedName>
    <definedName name="__________six6" localSheetId="1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10" hidden="1">{#N/A,#N/A,FALSE,"schA"}</definedName>
    <definedName name="__________www1" hidden="1">{#N/A,#N/A,FALSE,"schA"}</definedName>
    <definedName name="_________six6" localSheetId="1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10" hidden="1">{#N/A,#N/A,FALSE,"schA"}</definedName>
    <definedName name="_________www1" hidden="1">{#N/A,#N/A,FALSE,"schA"}</definedName>
    <definedName name="________six6" localSheetId="1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10" hidden="1">{#N/A,#N/A,FALSE,"schA"}</definedName>
    <definedName name="________www1" hidden="1">{#N/A,#N/A,FALSE,"schA"}</definedName>
    <definedName name="_______ex1" localSheetId="10" hidden="1">{#N/A,#N/A,FALSE,"Summ";#N/A,#N/A,FALSE,"General"}</definedName>
    <definedName name="_______ex1" hidden="1">{#N/A,#N/A,FALSE,"Summ";#N/A,#N/A,FALSE,"General"}</definedName>
    <definedName name="_______new1" localSheetId="10" hidden="1">{#N/A,#N/A,FALSE,"Summ";#N/A,#N/A,FALSE,"General"}</definedName>
    <definedName name="_______new1" hidden="1">{#N/A,#N/A,FALSE,"Summ";#N/A,#N/A,FALSE,"General"}</definedName>
    <definedName name="_______six6" localSheetId="1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0" hidden="1">{#N/A,#N/A,FALSE,"schA"}</definedName>
    <definedName name="_______www1" hidden="1">{#N/A,#N/A,FALSE,"schA"}</definedName>
    <definedName name="______ex1" localSheetId="10" hidden="1">{#N/A,#N/A,FALSE,"Summ";#N/A,#N/A,FALSE,"General"}</definedName>
    <definedName name="______ex1" hidden="1">{#N/A,#N/A,FALSE,"Summ";#N/A,#N/A,FALSE,"General"}</definedName>
    <definedName name="______Jun09">" BS!$AI$7:$AI$1643"</definedName>
    <definedName name="______new1" localSheetId="10" hidden="1">{#N/A,#N/A,FALSE,"Summ";#N/A,#N/A,FALSE,"General"}</definedName>
    <definedName name="______new1" hidden="1">{#N/A,#N/A,FALSE,"Summ";#N/A,#N/A,FALSE,"General"}</definedName>
    <definedName name="______six6" localSheetId="1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0" hidden="1">{#N/A,#N/A,FALSE,"schA"}</definedName>
    <definedName name="______www1" hidden="1">{#N/A,#N/A,FALSE,"schA"}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ex1" localSheetId="10" hidden="1">{#N/A,#N/A,FALSE,"Summ";#N/A,#N/A,FALSE,"General"}</definedName>
    <definedName name="_____ex1" hidden="1">{#N/A,#N/A,FALSE,"Summ";#N/A,#N/A,FALSE,"General"}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ew1" localSheetId="10" hidden="1">{#N/A,#N/A,FALSE,"Summ";#N/A,#N/A,FALSE,"General"}</definedName>
    <definedName name="_____new1" hidden="1">{#N/A,#N/A,FALSE,"Summ";#N/A,#N/A,FALSE,"General"}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_six6" localSheetId="1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0" hidden="1">{#N/A,#N/A,FALSE,"schA"}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ex1" localSheetId="10" hidden="1">{#N/A,#N/A,FALSE,"Summ";#N/A,#N/A,FALSE,"General"}</definedName>
    <definedName name="____ex1" hidden="1">{#N/A,#N/A,FALSE,"Summ";#N/A,#N/A,FALSE,"General"}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ew1" localSheetId="10" hidden="1">{#N/A,#N/A,FALSE,"Summ";#N/A,#N/A,FALSE,"General"}</definedName>
    <definedName name="____new1" hidden="1">{#N/A,#N/A,FALSE,"Summ";#N/A,#N/A,FALSE,"General"}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_six6" localSheetId="1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10" hidden="1">{#N/A,#N/A,FALSE,"schA"}</definedName>
    <definedName name="____www1" hidden="1">{#N/A,#N/A,FALSE,"schA"}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ex1" localSheetId="10" hidden="1">{#N/A,#N/A,FALSE,"Summ";#N/A,#N/A,FALSE,"General"}</definedName>
    <definedName name="___ex1" hidden="1">{#N/A,#N/A,FALSE,"Summ";#N/A,#N/A,FALSE,"General"}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ew1" localSheetId="10" hidden="1">{#N/A,#N/A,FALSE,"Summ";#N/A,#N/A,FALSE,"General"}</definedName>
    <definedName name="___new1" hidden="1">{#N/A,#N/A,FALSE,"Summ";#N/A,#N/A,FALSE,"General"}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_six6" localSheetId="10" hidden="1">{#N/A,#N/A,FALSE,"CRPT";#N/A,#N/A,FALSE,"TREND";#N/A,#N/A,FALSE,"%Curve"}</definedName>
    <definedName name="___six6" hidden="1">{#N/A,#N/A,FALSE,"CRPT";#N/A,#N/A,FALSE,"TREND";#N/A,#N/A,FALSE,"%Curve"}</definedName>
    <definedName name="___www1" localSheetId="10" hidden="1">{#N/A,#N/A,FALSE,"schA"}</definedName>
    <definedName name="___www1" hidden="1">{#N/A,#N/A,FALSE,"schA"}</definedName>
    <definedName name="__123Graph_A" hidden="1">[5]Quant!$D$71:$O$71</definedName>
    <definedName name="__123Graph_ABUDG6_DSCRPR">[5]Quant!$D$71:$O$71</definedName>
    <definedName name="__123Graph_ABUDG6_ESCRPR1">[5]Quant!$D$100:$O$100</definedName>
    <definedName name="__123Graph_B" hidden="1">[5]Quant!$D$72:$O$72</definedName>
    <definedName name="__123Graph_BBUDG6_DSCRPR">[5]Quant!$D$72:$O$72</definedName>
    <definedName name="__123Graph_BBUDG6_ESCRPR1">[5]Quant!$D$88:$O$88</definedName>
    <definedName name="__123Graph_D" localSheetId="10" hidden="1">#REF!</definedName>
    <definedName name="__123Graph_D" hidden="1">#REF!</definedName>
    <definedName name="__123Graph_ECURRENT" localSheetId="10" hidden="1">[6]ConsolidatingPL!#REF!</definedName>
    <definedName name="__123Graph_ECURRENT" hidden="1">[6]ConsolidatingPL!#REF!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ex1" localSheetId="10" hidden="1">{#N/A,#N/A,FALSE,"Summ";#N/A,#N/A,FALSE,"General"}</definedName>
    <definedName name="__ex1" hidden="1">{#N/A,#N/A,FALSE,"Summ";#N/A,#N/A,FALSE,"General"}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ew1" localSheetId="10" hidden="1">{#N/A,#N/A,FALSE,"Summ";#N/A,#N/A,FALSE,"General"}</definedName>
    <definedName name="__new1" hidden="1">{#N/A,#N/A,FALSE,"Summ";#N/A,#N/A,FALSE,"General"}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_six6" localSheetId="10" hidden="1">{#N/A,#N/A,FALSE,"CRPT";#N/A,#N/A,FALSE,"TREND";#N/A,#N/A,FALSE,"%Curve"}</definedName>
    <definedName name="__six6" hidden="1">{#N/A,#N/A,FALSE,"CRPT";#N/A,#N/A,FALSE,"TREND";#N/A,#N/A,FALSE,"%Curve"}</definedName>
    <definedName name="__www1" localSheetId="10" hidden="1">{#N/A,#N/A,FALSE,"schA"}</definedName>
    <definedName name="__www1" hidden="1">{#N/A,#N/A,FALSE,"schA"}</definedName>
    <definedName name="_1__123Graph_ABUDG6_D_ESCRPR">[5]Quant!$D$71:$O$71</definedName>
    <definedName name="_2__123Graph_ABUDG6_Dtons_inv" hidden="1">[7]Quant!#REF!</definedName>
    <definedName name="_3__123Graph_ABUDG6_Dtons_inv" hidden="1">[8]Quant!#REF!</definedName>
    <definedName name="_3__123Graph_BBUDG6_D_ESCRPR">[5]Quant!$D$72:$O$72</definedName>
    <definedName name="_4__123Graph_ABUDG6_Dtons_inv" hidden="1">'[9]Area D 2011'!#REF!</definedName>
    <definedName name="_4__123Graph_BBUDG6_Dtons_inv">[5]Quant!$D$9:$O$9</definedName>
    <definedName name="_5__123Graph_CBUDG6_D_ESCRPR">[5]Quant!$D$100:$O$100</definedName>
    <definedName name="_6__123Graph_CBUDG6_D_ESCRPR" hidden="1">'[10]2012 Area AB BudgetSummary'!#REF!</definedName>
    <definedName name="_6__123Graph_DBUDG6_D_ESCRPR">[5]Quant!$D$88:$O$88</definedName>
    <definedName name="_7__123Graph_CBUDG6_D_ESCRPR" hidden="1">'[9]Area D 2011'!#REF!</definedName>
    <definedName name="_7__123Graph_DBUDG6_D_ESCRPR" hidden="1">'[10]2012 Area AB BudgetSummary'!#REF!</definedName>
    <definedName name="_7__123Graph_XBUDG6_D_ESCRPR">[5]Quant!$D$5:$O$5</definedName>
    <definedName name="_8__123Graph_DBUDG6_D_ESCRPR" hidden="1">'[9]Area D 2011'!#REF!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ex1" localSheetId="10" hidden="1">{#N/A,#N/A,FALSE,"Summ";#N/A,#N/A,FALSE,"General"}</definedName>
    <definedName name="_ex1" hidden="1">{#N/A,#N/A,FALSE,"Summ";#N/A,#N/A,FALSE,"General"}</definedName>
    <definedName name="_Feb04">[1]BS!$S$7:$S$3582</definedName>
    <definedName name="_FEB09" xml:space="preserve"> [2]BS!$S$7:$S$1726</definedName>
    <definedName name="_FEDERAL_INCOME_TAX">'[11]MJS-7'!$N$21</definedName>
    <definedName name="_Fill" localSheetId="10" hidden="1">#REF!</definedName>
    <definedName name="_Fill" hidden="1">#REF!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localSheetId="10" hidden="1">#REF!</definedName>
    <definedName name="_Key1" hidden="1">#REF!</definedName>
    <definedName name="_Key2" localSheetId="10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ew1" localSheetId="10" hidden="1">{#N/A,#N/A,FALSE,"Summ";#N/A,#N/A,FALSE,"General"}</definedName>
    <definedName name="_new1" hidden="1">{#N/A,#N/A,FALSE,"Summ";#N/A,#N/A,FALSE,"General"}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arse_In" localSheetId="10" hidden="1">#REF!</definedName>
    <definedName name="_Parse_In" hidden="1">#REF!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Regression_Out" hidden="1">[12]FIA!#REF!</definedName>
    <definedName name="_SEC24">[4]EXTERNAL!$A$112:$IV$114</definedName>
    <definedName name="_Sep03">[3]BS!$Q$7:$Q$3582</definedName>
    <definedName name="_Sep04">[1]BS!$Z$7:$Z$3582</definedName>
    <definedName name="_six6" localSheetId="10" hidden="1">{#N/A,#N/A,FALSE,"CRPT";#N/A,#N/A,FALSE,"TREND";#N/A,#N/A,FALSE,"%Curve"}</definedName>
    <definedName name="_six6" hidden="1">{#N/A,#N/A,FALSE,"CRPT";#N/A,#N/A,FALSE,"TREND";#N/A,#N/A,FALSE,"%Curve"}</definedName>
    <definedName name="_Sort" localSheetId="10" hidden="1">#REF!</definedName>
    <definedName name="_Sort" hidden="1">#REF!</definedName>
    <definedName name="_www1" localSheetId="10" hidden="1">{#N/A,#N/A,FALSE,"schA"}</definedName>
    <definedName name="_www1" hidden="1">{#N/A,#N/A,FALSE,"schA"}</definedName>
    <definedName name="a" localSheetId="10" hidden="1">{#N/A,#N/A,FALSE,"Coversheet";#N/A,#N/A,FALSE,"QA"}</definedName>
    <definedName name="a" hidden="1">{#N/A,#N/A,FALSE,"Coversheet";#N/A,#N/A,FALSE,"QA"}</definedName>
    <definedName name="aaa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10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2281SO">'[13]Func Study'!$H$2190</definedName>
    <definedName name="Acct2283SO">'[13]Func Study'!$H$2198</definedName>
    <definedName name="Acct228SO">'[13]Func Study'!$H$2194</definedName>
    <definedName name="Acct350">'[13]Func Study'!$H$1628</definedName>
    <definedName name="Acct352">'[13]Func Study'!$H$1635</definedName>
    <definedName name="Acct353">'[13]Func Study'!$H$1641</definedName>
    <definedName name="Acct354">'[13]Func Study'!$H$1647</definedName>
    <definedName name="Acct355">'[13]Func Study'!$H$1654</definedName>
    <definedName name="Acct356">'[13]Func Study'!$H$1660</definedName>
    <definedName name="Acct357">'[13]Func Study'!$H$1666</definedName>
    <definedName name="Acct358">'[13]Func Study'!$H$1672</definedName>
    <definedName name="Acct359">'[13]Func Study'!$H$1678</definedName>
    <definedName name="Acct360">'[13]Func Study'!$H$1698</definedName>
    <definedName name="Acct361">'[13]Func Study'!$H$1704</definedName>
    <definedName name="Acct362">'[13]Func Study'!$H$1710</definedName>
    <definedName name="Acct364">'[13]Func Study'!$H$1717</definedName>
    <definedName name="Acct365">'[13]Func Study'!$H$1724</definedName>
    <definedName name="Acct366">'[13]Func Study'!$H$1731</definedName>
    <definedName name="Acct367">'[13]Func Study'!$H$1738</definedName>
    <definedName name="Acct368">'[13]Func Study'!$H$1744</definedName>
    <definedName name="Acct369">'[13]Func Study'!$H$1751</definedName>
    <definedName name="Acct370">'[13]Func Study'!$H$1762</definedName>
    <definedName name="Acct371">'[13]Func Study'!$H$1769</definedName>
    <definedName name="Acct372">'[13]Func Study'!$H$1776</definedName>
    <definedName name="Acct372A">'[13]Func Study'!$H$1775</definedName>
    <definedName name="Acct372DP">'[13]Func Study'!$H$1773</definedName>
    <definedName name="Acct372DS">'[13]Func Study'!$H$1774</definedName>
    <definedName name="Acct373">'[13]Func Study'!$H$1782</definedName>
    <definedName name="Acct448S">'[13]Func Study'!$H$274</definedName>
    <definedName name="Acct450S">'[13]Func Study'!$H$302</definedName>
    <definedName name="Acct451S">'[13]Func Study'!$H$307</definedName>
    <definedName name="Acct454S">'[13]Func Study'!$H$318</definedName>
    <definedName name="Acct456S">'[13]Func Study'!$H$325</definedName>
    <definedName name="ACCT557CAGE">'[13]Func Study'!$H$683</definedName>
    <definedName name="Acct557CT">'[13]Func Study'!$H$681</definedName>
    <definedName name="Acct580">'[13]Func Study'!$H$791</definedName>
    <definedName name="Acct581">'[13]Func Study'!$H$796</definedName>
    <definedName name="Acct582">'[13]Func Study'!$H$801</definedName>
    <definedName name="Acct583">'[13]Func Study'!$H$806</definedName>
    <definedName name="Acct584">'[13]Func Study'!$H$811</definedName>
    <definedName name="Acct585">'[13]Func Study'!$H$816</definedName>
    <definedName name="Acct586">'[13]Func Study'!$H$821</definedName>
    <definedName name="Acct587">'[13]Func Study'!$H$826</definedName>
    <definedName name="Acct588">'[13]Func Study'!$H$831</definedName>
    <definedName name="Acct589">'[13]Func Study'!$H$836</definedName>
    <definedName name="Acct590">'[13]Func Study'!$H$841</definedName>
    <definedName name="Acct591">'[13]Func Study'!$H$846</definedName>
    <definedName name="Acct592">'[13]Func Study'!$H$851</definedName>
    <definedName name="Acct593">'[13]Func Study'!$H$856</definedName>
    <definedName name="Acct594">'[13]Func Study'!$H$861</definedName>
    <definedName name="Acct595">'[13]Func Study'!$H$866</definedName>
    <definedName name="Acct596">'[13]Func Study'!$H$876</definedName>
    <definedName name="Acct597">'[13]Func Study'!$H$881</definedName>
    <definedName name="Acct598">'[13]Func Study'!$H$886</definedName>
    <definedName name="AcctAGA">'[13]Func Study'!$H$296</definedName>
    <definedName name="AcctTable">[14]Variables!$AK$42:$AK$396</definedName>
    <definedName name="AcctTS0">'[13]Func Study'!$H$1686</definedName>
    <definedName name="Acq1Plant">'[15]Acquisition Inputs'!$C$8</definedName>
    <definedName name="Acq2Plant">'[15]Acquisition Inputs'!$C$70</definedName>
    <definedName name="ActualROR">'[16]G+T+D+R+M'!$H$61</definedName>
    <definedName name="ADJPTDCE.T">[4]INTERNAL!$A$31:$IV$33</definedName>
    <definedName name="Adjs2avg">[17]Inputs!$L$255:'[17]Inputs'!$T$505</definedName>
    <definedName name="After_Tax_Cash_Discount">'[18]Assumptions (Input)'!$D$37</definedName>
    <definedName name="afudc_flag">'[18]Assumptions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'[19]Cabot Gas Replacement'!$B$8:$F$16</definedName>
    <definedName name="AS2DocOpenMode">"AS2DocumentEdit"</definedName>
    <definedName name="Assessment_Rate">'[18]Assumptions (Input)'!$B$7</definedName>
    <definedName name="Asset_Class_Switch">[20]Assumptions!$D$5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[14]Factors!$B$3:$P$99</definedName>
    <definedName name="b" localSheetId="10" hidden="1">{#N/A,#N/A,FALSE,"Coversheet";#N/A,#N/A,FALSE,"QA"}</definedName>
    <definedName name="b" hidden="1">{#N/A,#N/A,FALSE,"Coversheet";#N/A,#N/A,FALSE,"QA"}</definedName>
    <definedName name="Beg_Unb_KWHs">[21]LeadSht!$L$10</definedName>
    <definedName name="BEm" localSheetId="10" hidden="1">#REF!</definedName>
    <definedName name="BEm" hidden="1">#REF!</definedName>
    <definedName name="BEx0017DGUEDPCFJUPUZOOLJCS2B" localSheetId="10" hidden="1">#REF!</definedName>
    <definedName name="BEx0017DGUEDPCFJUPUZOOLJCS2B" hidden="1">#REF!</definedName>
    <definedName name="BEx001CNWHJ5RULCSFM36ZCGJ1UH" localSheetId="10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localSheetId="1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1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1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'[22]Lvl FCR'!$G$10</definedName>
    <definedName name="BPAX">[4]EXTERNAL!$A$121:$IV$123</definedName>
    <definedName name="Bum" localSheetId="10" hidden="1">#REF!</definedName>
    <definedName name="Bum" hidden="1">#REF!</definedName>
    <definedName name="Button_1">"TradeSummary_Ken_Finicle_List"</definedName>
    <definedName name="CAE.T">[4]INTERNAL!$A$34:$IV$36</definedName>
    <definedName name="CAES1.T">[4]INTERNAL!$A$37:$IV$39</definedName>
    <definedName name="cap">[23]Readings!$B$2</definedName>
    <definedName name="Capital_Inflation">'[18]Assumptions (Input)'!$B$11</definedName>
    <definedName name="CASE" localSheetId="10">[24]INPUTS!$C$11</definedName>
    <definedName name="CASE">[25]INPUTS!$C$11</definedName>
    <definedName name="CASE_GAS">'[26]Named Ranges G'!$C$4</definedName>
    <definedName name="Case_Name">'[27]KJB-6,13 Cmn Adj'!$B$8</definedName>
    <definedName name="CaseDescription">'[15]Dispatch Cases'!$C$11</definedName>
    <definedName name="CBWorkbookPriority">-2060790043</definedName>
    <definedName name="CCGT_HeatRate">[15]Assumptions!$H$23</definedName>
    <definedName name="CCGTPrice">[15]Assumptions!$H$22</definedName>
    <definedName name="CL_RT2">'[28]Transp Data'!$A$6:$C$81</definedName>
    <definedName name="Close_Date">'[18]Capital Projects(Input)'!$D$7:$D$53</definedName>
    <definedName name="Comp_GAS">'[26]Named Ranges G'!$C$8</definedName>
    <definedName name="Construction_OH">'[29]Virtual 49 Back-Up'!$E$54</definedName>
    <definedName name="ConversionFactor">[15]Assumptions!$I$65</definedName>
    <definedName name="COSFacVal">[13]Inputs!$R$5</definedName>
    <definedName name="CurrQtr">'[30]Inc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'[31]Mix Variance'!$B$1:$N$31</definedName>
    <definedName name="Data.Avg">'[30]Avg Amts'!$A$5:$BP$34</definedName>
    <definedName name="Data.Qtrs.Avg">'[30]Avg Amts'!$A$5:$IV$5</definedName>
    <definedName name="data1">'[32]Mix Variance'!$O$5:$T$25</definedName>
    <definedName name="DebtPerc">[15]Assumptions!$I$58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localSheetId="10" hidden="1">{#N/A,#N/A,FALSE,"Coversheet";#N/A,#N/A,FALSE,"QA"}</definedName>
    <definedName name="DELETE01" hidden="1">{#N/A,#N/A,FALSE,"Coversheet";#N/A,#N/A,FALSE,"QA"}</definedName>
    <definedName name="DELETE02" localSheetId="10" hidden="1">{#N/A,#N/A,FALSE,"Schedule F";#N/A,#N/A,FALSE,"Schedule G"}</definedName>
    <definedName name="DELETE02" hidden="1">{#N/A,#N/A,FALSE,"Schedule F";#N/A,#N/A,FALSE,"Schedule G"}</definedName>
    <definedName name="Delete06" localSheetId="10" hidden="1">{#N/A,#N/A,FALSE,"Coversheet";#N/A,#N/A,FALSE,"QA"}</definedName>
    <definedName name="Delete06" hidden="1">{#N/A,#N/A,FALSE,"Coversheet";#N/A,#N/A,FALSE,"QA"}</definedName>
    <definedName name="Delete09" localSheetId="10" hidden="1">{#N/A,#N/A,FALSE,"Coversheet";#N/A,#N/A,FALSE,"QA"}</definedName>
    <definedName name="Delete09" hidden="1">{#N/A,#N/A,FALSE,"Coversheet";#N/A,#N/A,FALSE,"QA"}</definedName>
    <definedName name="Delete1" localSheetId="10" hidden="1">{#N/A,#N/A,FALSE,"Coversheet";#N/A,#N/A,FALSE,"QA"}</definedName>
    <definedName name="Delete1" hidden="1">{#N/A,#N/A,FALSE,"Coversheet";#N/A,#N/A,FALSE,"QA"}</definedName>
    <definedName name="Delete10" localSheetId="10" hidden="1">{#N/A,#N/A,FALSE,"Schedule F";#N/A,#N/A,FALSE,"Schedule G"}</definedName>
    <definedName name="Delete10" hidden="1">{#N/A,#N/A,FALSE,"Schedule F";#N/A,#N/A,FALSE,"Schedule G"}</definedName>
    <definedName name="Delete21" localSheetId="10" hidden="1">{#N/A,#N/A,FALSE,"Coversheet";#N/A,#N/A,FALSE,"QA"}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[33]Inputs!$D$11</definedName>
    <definedName name="DES1.T">[4]INTERNAL!$A$40:$IV$42</definedName>
    <definedName name="DES2.T">[4]INTERNAL!$A$43:$IV$45</definedName>
    <definedName name="df" localSheetId="10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[15]Assumptions!$L$23</definedName>
    <definedName name="DFIT" localSheetId="10" hidden="1">{#N/A,#N/A,FALSE,"Coversheet";#N/A,#N/A,FALSE,"QA"}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'[13]Func Study'!$AB$250</definedName>
    <definedName name="Discount_for_Revenue_Reqmt">'[34]Assumptions of Purchase'!$B$45</definedName>
    <definedName name="DisFac">'[13]Func Dist Factor Table'!$A$11:$G$25</definedName>
    <definedName name="DocketNumber">'[35]JHS-4'!$AP$2</definedName>
    <definedName name="DP.T">[4]INTERNAL!$A$46:$IV$48</definedName>
    <definedName name="DUDE" localSheetId="10" hidden="1">#REF!</definedName>
    <definedName name="DUDE" hidden="1">#REF!</definedName>
    <definedName name="EBFIT.T">[4]INTERNAL!$A$88:$IV$90</definedName>
    <definedName name="ee" localSheetId="10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0">[24]INPUTS!$F$36</definedName>
    <definedName name="EffTax">[25]INPUTS!$F$36</definedName>
    <definedName name="Electric_Prices">'[36]Monthly Price Summary'!$B$4:$E$27</definedName>
    <definedName name="ElRBLine">[1]BS!$AQ$7:$AQ$3303</definedName>
    <definedName name="EndDate">[15]Assumptions!$C$11</definedName>
    <definedName name="ENERGY_1">[4]EXTERNAL!$A$4:$IV$6</definedName>
    <definedName name="ENERGY_2">[4]EXTERNAL!$A$145:$IV$147</definedName>
    <definedName name="Engy">[16]Inputs!$D$9</definedName>
    <definedName name="Engy2">[33]Inputs!$D$12</definedName>
    <definedName name="EPIS.T">[4]INTERNAL!$A$49:$IV$51</definedName>
    <definedName name="error" localSheetId="10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10" hidden="1">{#N/A,#N/A,FALSE,"Summ";#N/A,#N/A,FALSE,"General"}</definedName>
    <definedName name="Estimate" hidden="1">{#N/A,#N/A,FALSE,"Summ";#N/A,#N/A,FALSE,"General"}</definedName>
    <definedName name="ex" localSheetId="10" hidden="1">{#N/A,#N/A,FALSE,"Summ";#N/A,#N/A,FALSE,"General"}</definedName>
    <definedName name="ex" hidden="1">{#N/A,#N/A,FALSE,"Summ";#N/A,#N/A,FALSE,"General"}</definedName>
    <definedName name="Exhibit_No.______MJS_4">'[11]MJS-4'!$O$3</definedName>
    <definedName name="Exhibit_No.______MJS_5">'[11]MJS-5'!$E$3</definedName>
    <definedName name="Exhibit_No.______MJS_6">'[11]MJS-6'!$F$3</definedName>
    <definedName name="F" localSheetId="10" hidden="1">#REF!</definedName>
    <definedName name="F" hidden="1">#REF!</definedName>
    <definedName name="Factorck">'[13]COS Factor Table'!$O$15:$O$113</definedName>
    <definedName name="FactorType">[14]Variables!$AK$2:$AL$12</definedName>
    <definedName name="FactSum">'[13]COS Factor Table'!$A$14:$O$113</definedName>
    <definedName name="FCR">'[29]Virtual 49 Back-Up'!$B$20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0" hidden="1">{#N/A,#N/A,FALSE,"Month ";#N/A,#N/A,FALSE,"YTD";#N/A,#N/A,FALSE,"12 mo ended"}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[37]Inputs!$E$112</definedName>
    <definedName name="FedTaxRate">[15]Assumptions!$C$33</definedName>
    <definedName name="FERC_Lookup">'[38]Map Table'!$E$2:$F$58</definedName>
    <definedName name="ffff" localSheetId="10" hidden="1">{#N/A,#N/A,FALSE,"Coversheet";#N/A,#N/A,FALSE,"QA"}</definedName>
    <definedName name="ffff" hidden="1">{#N/A,#N/A,FALSE,"Coversheet";#N/A,#N/A,FALSE,"QA"}</definedName>
    <definedName name="fffgf" localSheetId="10" hidden="1">{#N/A,#N/A,FALSE,"Coversheet";#N/A,#N/A,FALSE,"QA"}</definedName>
    <definedName name="fffgf" hidden="1">{#N/A,#N/A,FALSE,"Coversheet";#N/A,#N/A,FALSE,"QA"}</definedName>
    <definedName name="FIT">'[39]ROR &amp; CONV FACTOR'!$J$20</definedName>
    <definedName name="FIT_GAS">'[26]Named Ranges G'!$C$3</definedName>
    <definedName name="FIT_Tax_Rate">'[18]Assumptions (Input)'!$B$5</definedName>
    <definedName name="FranchiseTax">[17]Variables!$D$26</definedName>
    <definedName name="FTAX" localSheetId="10">[24]INPUTS!$F$35</definedName>
    <definedName name="FTAX">[25]INPUTS!$F$35</definedName>
    <definedName name="Func">'[13]Func Factor Table'!$A$10:$H$77</definedName>
    <definedName name="Function">'[13]Func Study'!$AB$250</definedName>
    <definedName name="gary" localSheetId="1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[1]BS!$AS$7:$AS$3631</definedName>
    <definedName name="GasWC_LineItem">[1]BS!$AR$7:$AR$3631</definedName>
    <definedName name="GP.T">[4]INTERNAL!$A$52:$IV$54</definedName>
    <definedName name="helllo" localSheetId="1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0" hidden="1">{#N/A,#N/A,FALSE,"Coversheet";#N/A,#N/A,FALSE,"QA"}</definedName>
    <definedName name="HELP" hidden="1">{#N/A,#N/A,FALSE,"Coversheet";#N/A,#N/A,FALSE,"QA"}</definedName>
    <definedName name="HTML_CodePage">1252</definedName>
    <definedName name="HTML_Control" localSheetId="10">{"'Sheet1'!$A$1:$J$121"}</definedName>
    <definedName name="HTML_Control" localSheetId="2">{"'Sheet1'!$A$1:$J$121"}</definedName>
    <definedName name="HTML_Control" localSheetId="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'[18]Assumptions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10" hidden="1">{#N/A,#N/A,FALSE,"Summ";#N/A,#N/A,FALSE,"General"}</definedName>
    <definedName name="jfkljsdkljiejgr" hidden="1">{#N/A,#N/A,FALSE,"Summ";#N/A,#N/A,FALSE,"General"}</definedName>
    <definedName name="jjj">[40]Inputs!$N$18</definedName>
    <definedName name="JP_Bal">[41]ACCOUNTS!$AG$31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[14]Variables!$AK$15</definedName>
    <definedName name="JurisNumber">[14]Variables!$AL$15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'[27]KJB-12 Sum'!$AS$2</definedName>
    <definedName name="k_FITrate">'[27]KJB-3,11 Def'!$L$20</definedName>
    <definedName name="keep_Docket_Number">'[42]KJB-3 Sum'!$AQ$2</definedName>
    <definedName name="keep_FIT">'[42]KJB-7 Def'!$L$20</definedName>
    <definedName name="keep_KJB_3_Rate_Increase">'[42]KJB-7 Def'!$C$3</definedName>
    <definedName name="keep_KJB_4_Electric_Summary">'[42]KJB-3 Sum'!$AQ$3</definedName>
    <definedName name="keep_KJB_8_Common_Adjs">'[42]KJB-5 Cmn Adj'!$L$3</definedName>
    <definedName name="keep_KJB_9_Electric_Only">'[42]KJB-5 El Adj'!$E$3</definedName>
    <definedName name="keep_PSE">'[43]Gas Summary'!$I$5</definedName>
    <definedName name="keep_TESTYEAR">'[43]Gas Detail Pages'!$A$8</definedName>
    <definedName name="kp_DOCKET">'[43]Gas Detail Pages'!$A$9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0">IF('141Z residual transfer'!Values_Entered,Header_Row+'141Z residual transfer'!Number_of_Payments,Header_Row)</definedName>
    <definedName name="Last_Row">IF([44]!Values_Entered,Header_Row+[44]!Number_of_Payments,Header_Row)</definedName>
    <definedName name="Levy_Rate">'[18]Assumptions (Input)'!$B$6</definedName>
    <definedName name="limcount">1</definedName>
    <definedName name="LINE.T">[4]INTERNAL!$A$55:$IV$57</definedName>
    <definedName name="LinkCos">'[13]JAM Download'!$K$4</definedName>
    <definedName name="Load_Factor">[41]ACCOUNTS!$AG$167</definedName>
    <definedName name="LoadArray">'[45]Load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10" hidden="1">{#N/A,#N/A,FALSE,"Coversheet";#N/A,#N/A,FALSE,"QA"}</definedName>
    <definedName name="lookup" hidden="1">{#N/A,#N/A,FALSE,"Coversheet";#N/A,#N/A,FALSE,"QA"}</definedName>
    <definedName name="M9100F4_v4">[46]M9100F4!$A$1:$V$99</definedName>
    <definedName name="MACRS">'[18]MACRS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[47]!menu1_Button5_Click</definedName>
    <definedName name="menu1_Button6_Click">[47]!menu1_Button6_Click</definedName>
    <definedName name="MERGER_COST">[48]Sheet1!$AF$3:$AJ$28</definedName>
    <definedName name="METER">[4]EXTERNAL!$A$34:$IV$36</definedName>
    <definedName name="Method">[16]Inputs!$C$6</definedName>
    <definedName name="Miller" localSheetId="1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list">[49]Table!$R$2:$S$13</definedName>
    <definedName name="monthtotals">'[49]WA SBC'!$D$40:$O$40</definedName>
    <definedName name="MTD_Format">[50]Mthly!$B$11:$D$11,[50]Mthly!$B$32:$D$32</definedName>
    <definedName name="MTR_YR3">[51]Variables!$E$14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[13]Inputs!$G$8</definedName>
    <definedName name="NetToGross">[17]Variables!$D$23</definedName>
    <definedName name="new" localSheetId="10" hidden="1">{#N/A,#N/A,FALSE,"Summ";#N/A,#N/A,FALSE,"General"}</definedName>
    <definedName name="new" hidden="1">{#N/A,#N/A,FALSE,"Summ";#N/A,#N/A,FALSE,"General"}</definedName>
    <definedName name="Nov03AMA">[3]BS!$AI$7:$AI$3582</definedName>
    <definedName name="Nov04AMA">[1]BS!$AN$7:$AN$3582</definedName>
    <definedName name="Nov09AMA">[2]BS!$AU$7:$AU$1726</definedName>
    <definedName name="NOYT" localSheetId="1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[52]Inputs!$N$18</definedName>
    <definedName name="NRG">[4]CLASSIFIERS!$A$5:$IV$5</definedName>
    <definedName name="Number_of_Payments" localSheetId="10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'[18]MiscItems(Input)'!$B$5:$AO$8,'[18]MiscItems(Input)'!$B$13:$AO$13,'[18]MiscItems(Input)'!$B$15:$B$17,'[18]MiscItems(Input)'!$B$17:$AO$17,'[18]MiscItems(Input)'!$B$15:$AO$15</definedName>
    <definedName name="O_M_Rate">'[29]Virtual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'[53]Dist Misc'!$F$120</definedName>
    <definedName name="OthRCF">[54]INPUTS!$F$41</definedName>
    <definedName name="OthUnc">[4]INPUTS!$F$36</definedName>
    <definedName name="outlookdata">'[55]pivoted data'!$D$3:$Q$90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'[56]2008 Extreme Peaks - 080403'!$E$5:$AD$8</definedName>
    <definedName name="peak_table">'[56]Peaks-F01'!$C$5:$E$243</definedName>
    <definedName name="PeakMethod">[16]Inputs!$T$5</definedName>
    <definedName name="Percent_debt">[37]Inputs!$E$129</definedName>
    <definedName name="Plant_Input">'[18]Plant(Input)'!$B$7:$AP$9,'[18]Plant(Input)'!$B$11,'[18]Plant(Input)'!$B$15:$AP$15,'[18]Plant(Input)'!$B$18,'[18]Plant(Input)'!$B$20:$AP$20</definedName>
    <definedName name="POWER.T">[4]INTERNAL!$A$58:$IV$60</definedName>
    <definedName name="PP.T">[4]INTERNAL!$A$61:$IV$63</definedName>
    <definedName name="PreTaxDebtCost">[15]Assumptions!$I$56</definedName>
    <definedName name="PreTaxWACC">[15]Assumptions!$I$62</definedName>
    <definedName name="Prices_Aurora">'[36]Monthly Price Summary'!$C$4:$H$63</definedName>
    <definedName name="_xlnm.Print_Area" localSheetId="4">'Electric- Tracker 3-11-24'!$A$1:$L$39</definedName>
    <definedName name="_xlnm.Print_Area" localSheetId="9">'Gas Load Variance'!$A$1:$O$21</definedName>
    <definedName name="_xlnm.Print_Area" localSheetId="5">'Gas-Tracker filing 3-11-24'!$A$1:$M$32</definedName>
    <definedName name="Prior_Month">[57]Sch_120!$I$21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[58]Sheet1!$A$1147:$B$1887</definedName>
    <definedName name="Prov_Cap_Tax">[37]Inputs!$E$111</definedName>
    <definedName name="PSE">'[59]4.04'!$A$6</definedName>
    <definedName name="PSE_Pre_Tax_Equity_Rate">'[34]Assumptions of Purchase'!$B$42</definedName>
    <definedName name="PTDGP.T">[4]INTERNAL!$A$64:$IV$66</definedName>
    <definedName name="PTDP.T">[4]INTERNAL!$A$67:$IV$69</definedName>
    <definedName name="q" localSheetId="10" hidden="1">{#N/A,#N/A,FALSE,"Coversheet";#N/A,#N/A,FALSE,"QA"}</definedName>
    <definedName name="q" hidden="1">{#N/A,#N/A,FALSE,"Coversheet";#N/A,#N/A,FALSE,"QA"}</definedName>
    <definedName name="qqq" localSheetId="10" hidden="1">{#N/A,#N/A,FALSE,"schA"}</definedName>
    <definedName name="qqq" hidden="1">{#N/A,#N/A,FALSE,"schA"}</definedName>
    <definedName name="QTD_Format">[60]QTD!$B$11:$D$11,[60]QTD!$B$35:$D$35</definedName>
    <definedName name="RATE2">'[28]Transp Data'!$A$8:$I$112</definedName>
    <definedName name="Rates">[61]Codes!$A$1:$C$500</definedName>
    <definedName name="RB.T">[4]INTERNAL!$A$70:$IV$72</definedName>
    <definedName name="RCF">[41]INPUTS!$F$48</definedName>
    <definedName name="rec_weco_gl_contract_aug99" localSheetId="1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qulated_scenario">'[18]Assumptions (Input)'!$B$12</definedName>
    <definedName name="ResExchCrRate">[62]Sch_194!$M$31</definedName>
    <definedName name="RESID">[4]EXTERNAL!$A$88:$IV$90</definedName>
    <definedName name="resource_lookup">'[63]#REF'!$B$3:$C$112</definedName>
    <definedName name="ResourceSupplier">[17]Variables!$D$28</definedName>
    <definedName name="ResRCF" localSheetId="10">[24]INPUTS!$F$44</definedName>
    <definedName name="ResRCF">[25]INPUTS!$F$44</definedName>
    <definedName name="ResUnc" localSheetId="10">[24]INPUTS!$F$39</definedName>
    <definedName name="ResUnc">[25]INPUTS!$F$39</definedName>
    <definedName name="retail_CC" localSheetId="1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Class">[61]Codes!$F$2:$G$10</definedName>
    <definedName name="revenue_flag">'[18]Assumptions (Input)'!$C$12</definedName>
    <definedName name="Revenue_Taxes">'[18]Assumptions (Input)'!$B$8</definedName>
    <definedName name="REVFAC1.T">[4]INTERNAL!$A$73:$IV$75</definedName>
    <definedName name="ROD" localSheetId="10">[24]INPUTS!$F$30</definedName>
    <definedName name="ROD">[25]INPUTS!$F$30</definedName>
    <definedName name="ROR" localSheetId="10">[24]INPUTS!$F$29</definedName>
    <definedName name="ROR">[25]INPUTS!$F$29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[54]INPUTS!$F$40</definedName>
    <definedName name="SbUnc">[4]INPUTS!$F$35</definedName>
    <definedName name="Sch194Rlfwd">'[64]Sch94 Rlfwd'!$B$11</definedName>
    <definedName name="Schedule">[52]Inputs!$N$14</definedName>
    <definedName name="sdlfhsdlhfkl" localSheetId="10" hidden="1">{#N/A,#N/A,FALSE,"Summ";#N/A,#N/A,FALSE,"General"}</definedName>
    <definedName name="sdlfhsdlhfkl" hidden="1">{#N/A,#N/A,FALSE,"Summ";#N/A,#N/A,FALSE,"General"}</definedName>
    <definedName name="Sep03AMA">[3]BS!$AG$7:$AG$3582</definedName>
    <definedName name="Sep04AMA">[1]BS!$AL$7:$AL$3582</definedName>
    <definedName name="Sep09AMA">[2]BS!$AS$7:$AS$1726</definedName>
    <definedName name="seven" localSheetId="10" hidden="1">{#N/A,#N/A,FALSE,"CRPT";#N/A,#N/A,FALSE,"TREND";#N/A,#N/A,FALSE,"%Curve"}</definedName>
    <definedName name="seven" hidden="1">{#N/A,#N/A,FALSE,"CRPT";#N/A,#N/A,FALSE,"TREND";#N/A,#N/A,FALSE,"%Curve"}</definedName>
    <definedName name="six" localSheetId="1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Date">[15]Assumptions!$C$9</definedName>
    <definedName name="STATE_UTILITY_TAX">'[11]MJS-7'!$N$16</definedName>
    <definedName name="STAX" localSheetId="10">[24]INPUTS!$F$34</definedName>
    <definedName name="STAX">[25]INPUTS!$F$34</definedName>
    <definedName name="sue" localSheetId="1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10" hidden="1">{"Plat Summary",#N/A,FALSE,"PLAT DESIGN"}</definedName>
    <definedName name="summary" hidden="1">{"Plat Summary",#N/A,FALSE,"PLAT DESIGN"}</definedName>
    <definedName name="susan" localSheetId="1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[4]INTERNAL!$A$76:$IV$78</definedName>
    <definedName name="SWPTD.T">[4]INTERNAL!$A$79:$IV$81</definedName>
    <definedName name="t" localSheetId="10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Name">"Dummy"</definedName>
    <definedName name="TargetROR">[16]Inputs!$G$29</definedName>
    <definedName name="TDP.T">[4]INTERNAL!$A$82:$IV$84</definedName>
    <definedName name="tem" localSheetId="10" hidden="1">{#N/A,#N/A,FALSE,"Summ";#N/A,#N/A,FALSE,"General"}</definedName>
    <definedName name="tem" hidden="1">{#N/A,#N/A,FALSE,"Summ";#N/A,#N/A,FALSE,"General"}</definedName>
    <definedName name="TEMP" localSheetId="10" hidden="1">{#N/A,#N/A,FALSE,"Summ";#N/A,#N/A,FALSE,"General"}</definedName>
    <definedName name="TEMP" hidden="1">{#N/A,#N/A,FALSE,"Summ";#N/A,#N/A,FALSE,"General"}</definedName>
    <definedName name="Temp1" localSheetId="1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Period">[13]Inputs!$C$5</definedName>
    <definedName name="TESTYEAR">'[35]JHS-6'!$A$7</definedName>
    <definedName name="TESTYEAR_GAS">'[26]Named Ranges G'!$C$5</definedName>
    <definedName name="TFR">[4]CLASSIFIERS!$A$11:$IV$11</definedName>
    <definedName name="ThermalBookLife">[15]Assumptions!$C$25</definedName>
    <definedName name="Title">[15]Assumptions!$A$1</definedName>
    <definedName name="Total_Payment" localSheetId="10">Scheduled_Payment+Extra_Payment</definedName>
    <definedName name="Total_Payment">Scheduled_Payment+Extra_Payment</definedName>
    <definedName name="TotalRateBase">'[13]G+T+D+R+M'!$H$58</definedName>
    <definedName name="TP.T">[4]INTERNAL!$A$91:$IV$93</definedName>
    <definedName name="tr" localSheetId="1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db">'[65]Transp Unbilled'!$A$8:$E$174</definedName>
    <definedName name="Transfer" localSheetId="10" hidden="1">#REF!</definedName>
    <definedName name="Transfer" hidden="1">#REF!</definedName>
    <definedName name="Transfers" localSheetId="10" hidden="1">#REF!</definedName>
    <definedName name="Transfers" hidden="1">#REF!</definedName>
    <definedName name="TRANSM_2">[66]Transm2!$A$1:$M$461:'[66]10 Yr FC'!$M$47</definedName>
    <definedName name="u" localSheetId="10" hidden="1">{#N/A,#N/A,FALSE,"Summ";#N/A,#N/A,FALSE,"General"}</definedName>
    <definedName name="u" hidden="1">{#N/A,#N/A,FALSE,"Summ";#N/A,#N/A,FALSE,"General"}</definedName>
    <definedName name="UAcct103">'[13]Func Study'!$AB$1613</definedName>
    <definedName name="UAcct105Dnpg">'[13]Func Study'!$AB$2010</definedName>
    <definedName name="UAcct105S">'[13]Func Study'!$AB$2005</definedName>
    <definedName name="UAcct105Seu">'[13]Func Study'!$AB$2009</definedName>
    <definedName name="UAcct105Snppo">'[13]Func Study'!$AB$2008</definedName>
    <definedName name="UAcct105Snpps">'[13]Func Study'!$AB$2006</definedName>
    <definedName name="UAcct105Snpt">'[13]Func Study'!$AB$2007</definedName>
    <definedName name="UAcct1081390">'[13]Func Study'!$AB$2451</definedName>
    <definedName name="UAcct1081390Rcl">'[13]Func Study'!$AB$2450</definedName>
    <definedName name="UAcct1081399">'[13]Func Study'!$AB$2459</definedName>
    <definedName name="UAcct1081399Rcl">'[13]Func Study'!$AB$2458</definedName>
    <definedName name="UAcct108360">'[13]Func Study'!$AB$2355</definedName>
    <definedName name="UAcct108361">'[13]Func Study'!$AB$2359</definedName>
    <definedName name="UAcct108362">'[13]Func Study'!$AB$2363</definedName>
    <definedName name="UAcct108364">'[13]Func Study'!$AB$2367</definedName>
    <definedName name="UAcct108365">'[13]Func Study'!$AB$2371</definedName>
    <definedName name="UAcct108366">'[13]Func Study'!$AB$2375</definedName>
    <definedName name="UAcct108367">'[13]Func Study'!$AB$2379</definedName>
    <definedName name="UAcct108368">'[13]Func Study'!$AB$2383</definedName>
    <definedName name="UAcct108369">'[13]Func Study'!$AB$2387</definedName>
    <definedName name="UAcct108370">'[13]Func Study'!$AB$2391</definedName>
    <definedName name="UAcct108371">'[13]Func Study'!$AB$2395</definedName>
    <definedName name="UAcct108372">'[13]Func Study'!$AB$2399</definedName>
    <definedName name="UAcct108373">'[13]Func Study'!$AB$2403</definedName>
    <definedName name="UAcct108D">'[13]Func Study'!$AB$2415</definedName>
    <definedName name="UAcct108D00">'[13]Func Study'!$AB$2407</definedName>
    <definedName name="UAcct108Ds">'[13]Func Study'!$AB$2411</definedName>
    <definedName name="UAcct108Ep">'[13]Func Study'!$AB$2327</definedName>
    <definedName name="UAcct108Gpcn">'[13]Func Study'!$AB$2429</definedName>
    <definedName name="UAcct108Gps">'[13]Func Study'!$AB$2425</definedName>
    <definedName name="UAcct108Gpse">'[13]Func Study'!$AB$2431</definedName>
    <definedName name="UAcct108Gpsg">'[13]Func Study'!$AB$2428</definedName>
    <definedName name="UAcct108Gpsgp">'[13]Func Study'!$AB$2426</definedName>
    <definedName name="UAcct108Gpsgu">'[13]Func Study'!$AB$2427</definedName>
    <definedName name="UAcct108Gpso">'[13]Func Study'!$AB$2430</definedName>
    <definedName name="UACCT108GPSSGCH">'[13]Func Study'!$AB$2434</definedName>
    <definedName name="UACCT108GPSSGCT">'[13]Func Study'!$AB$2433</definedName>
    <definedName name="UAcct108Hp">'[13]Func Study'!$AB$2313</definedName>
    <definedName name="UAcct108Mp">'[13]Func Study'!$AB$2444</definedName>
    <definedName name="UAcct108Np">'[13]Func Study'!$AB$2305</definedName>
    <definedName name="UAcct108Op">'[13]Func Study'!$AB$2322</definedName>
    <definedName name="UACCT108OPSSCCT">'[13]Func Study'!$AB$2321</definedName>
    <definedName name="UAcct108Sp">'[13]Func Study'!$AB$2299</definedName>
    <definedName name="UACCT108SPSSGCH">'[13]Func Study'!$AB$2298</definedName>
    <definedName name="UAcct108Tp">'[13]Func Study'!$AB$2346</definedName>
    <definedName name="UAcct111Clg">'[13]Func Study'!$AB$2487</definedName>
    <definedName name="UAcct111Clgsou">'[13]Func Study'!$AB$2485</definedName>
    <definedName name="UAcct111Clh">'[13]Func Study'!$AB$2493</definedName>
    <definedName name="UAcct111Cls">'[13]Func Study'!$AB$2478</definedName>
    <definedName name="UAcct111Ipcn">'[13]Func Study'!$AB$2502</definedName>
    <definedName name="UAcct111Ips">'[13]Func Study'!$AB$2497</definedName>
    <definedName name="UAcct111Ipse">'[13]Func Study'!$AB$2500</definedName>
    <definedName name="UAcct111Ipsg">'[13]Func Study'!$AB$2501</definedName>
    <definedName name="UAcct111Ipsgp">'[13]Func Study'!$AB$2498</definedName>
    <definedName name="UAcct111Ipsgu">'[13]Func Study'!$AB$2499</definedName>
    <definedName name="UAcct111Ipso">'[13]Func Study'!$AB$2506</definedName>
    <definedName name="UACCT111IPSSGCH">'[13]Func Study'!$AB$2505</definedName>
    <definedName name="UACCT111IPSSGCT">'[13]Func Study'!$AB$2504</definedName>
    <definedName name="UAcct114">'[13]Func Study'!$AB$2017</definedName>
    <definedName name="UAcct120">'[13]Func Study'!$AB$2021</definedName>
    <definedName name="UAcct124">'[13]Func Study'!$AB$2026</definedName>
    <definedName name="UAcct141">'[13]Func Study'!$AB$2173</definedName>
    <definedName name="UAcct151">'[13]Func Study'!$AB$2049</definedName>
    <definedName name="Uacct151SSECT">'[13]Func Study'!$AB$2047</definedName>
    <definedName name="UAcct154">'[13]Func Study'!$AB$2083</definedName>
    <definedName name="Uacct154SSGCT">'[13]Func Study'!$AB$2080</definedName>
    <definedName name="UAcct163">'[13]Func Study'!$AB$2093</definedName>
    <definedName name="UAcct165">'[13]Func Study'!$AB$2108</definedName>
    <definedName name="UAcct165Gps">'[13]Func Study'!$AB$2104</definedName>
    <definedName name="UAcct182">'[13]Func Study'!$AB$2033</definedName>
    <definedName name="UAcct18222">'[13]Func Study'!$AB$2163</definedName>
    <definedName name="UAcct182M">'[13]Func Study'!$AB$2118</definedName>
    <definedName name="UAcct182MSSGCH">'[13]Func Study'!$AB$2113</definedName>
    <definedName name="UAcct186">'[13]Func Study'!$AB$2041</definedName>
    <definedName name="UAcct1869">'[13]Func Study'!$AB$2168</definedName>
    <definedName name="UAcct186M">'[13]Func Study'!$AB$2129</definedName>
    <definedName name="UAcct190">'[13]Func Study'!$AB$2243</definedName>
    <definedName name="UAcct190Baddebt">'[13]Func Study'!$AB$2237</definedName>
    <definedName name="UAcct190Dop">'[13]Func Study'!$AB$2235</definedName>
    <definedName name="UAcct2281">'[13]Func Study'!$AB$2191</definedName>
    <definedName name="UAcct2282">'[13]Func Study'!$AB$2195</definedName>
    <definedName name="UAcct2283">'[13]Func Study'!$AB$2200</definedName>
    <definedName name="UACCT22841SG">'[13]Func Study'!$AB$2205</definedName>
    <definedName name="UAcct22842">'[13]Func Study'!$AB$2211</definedName>
    <definedName name="UAcct235">'[13]Func Study'!$AB$2187</definedName>
    <definedName name="UACCT235CN">'[13]Func Study'!$AB$2186</definedName>
    <definedName name="UAcct252">'[13]Func Study'!$AB$2219</definedName>
    <definedName name="UAcct25316">'[13]Func Study'!$AB$2057</definedName>
    <definedName name="UAcct25317">'[13]Func Study'!$AB$2061</definedName>
    <definedName name="UAcct25318">'[13]Func Study'!$AB$2098</definedName>
    <definedName name="UAcct25319">'[13]Func Study'!$AB$2065</definedName>
    <definedName name="uacct25398">'[13]Func Study'!$AB$2222</definedName>
    <definedName name="UAcct25399">'[13]Func Study'!$AB$2230</definedName>
    <definedName name="UACCT254SO">'[13]Func Study'!$AB$2202</definedName>
    <definedName name="UAcct255">'[13]Func Study'!$AB$2284</definedName>
    <definedName name="UAcct281">'[13]Func Study'!$AB$2249</definedName>
    <definedName name="UAcct282">'[13]Func Study'!$AB$2259</definedName>
    <definedName name="UAcct282Cn">'[13]Func Study'!$AB$2256</definedName>
    <definedName name="UAcct282So">'[13]Func Study'!$AB$2255</definedName>
    <definedName name="UAcct283">'[13]Func Study'!$AB$2271</definedName>
    <definedName name="UAcct283So">'[13]Func Study'!$AB$2265</definedName>
    <definedName name="UAcct301S">'[13]Func Study'!$AB$1964</definedName>
    <definedName name="UAcct301Sg">'[13]Func Study'!$AB$1966</definedName>
    <definedName name="UAcct301So">'[13]Func Study'!$AB$1965</definedName>
    <definedName name="UAcct302S">'[13]Func Study'!$AB$1969</definedName>
    <definedName name="UAcct302Sg">'[13]Func Study'!$AB$1970</definedName>
    <definedName name="UAcct302Sgp">'[13]Func Study'!$AB$1971</definedName>
    <definedName name="UAcct302Sgu">'[13]Func Study'!$AB$1972</definedName>
    <definedName name="UAcct303Cn">'[13]Func Study'!$AB$1980</definedName>
    <definedName name="UAcct303S">'[13]Func Study'!$AB$1976</definedName>
    <definedName name="UAcct303Se">'[13]Func Study'!$AB$1979</definedName>
    <definedName name="UAcct303Sg">'[13]Func Study'!$AB$1977</definedName>
    <definedName name="UAcct303Sgu">'[13]Func Study'!$AB$1981</definedName>
    <definedName name="UAcct303So">'[13]Func Study'!$AB$1978</definedName>
    <definedName name="UACCT303SSGCH">'[13]Func Study'!$AB$1983</definedName>
    <definedName name="UAcct310">'[13]Func Study'!$AB$1414</definedName>
    <definedName name="UAcct310JBG">'[13]Func Study'!$AB$1413</definedName>
    <definedName name="UAcct311">'[13]Func Study'!$AB$1421</definedName>
    <definedName name="UAcct311JBG">'[13]Func Study'!$AB$1420</definedName>
    <definedName name="UAcct312">'[13]Func Study'!$AB$1428</definedName>
    <definedName name="UAcct312JBG">'[13]Func Study'!$AB$1427</definedName>
    <definedName name="UAcct314">'[13]Func Study'!$AB$1435</definedName>
    <definedName name="UAcct314JBG">'[13]Func Study'!$AB$1434</definedName>
    <definedName name="UAcct315">'[13]Func Study'!$AB$1442</definedName>
    <definedName name="UAcct315JBG">'[13]Func Study'!$AB$1441</definedName>
    <definedName name="UAcct316">'[13]Func Study'!$AB$1450</definedName>
    <definedName name="UAcct316JBG">'[13]Func Study'!$AB$1449</definedName>
    <definedName name="UAcct320">'[13]Func Study'!$AB$1466</definedName>
    <definedName name="UAcct321">'[13]Func Study'!$AB$1471</definedName>
    <definedName name="UAcct322">'[13]Func Study'!$AB$1476</definedName>
    <definedName name="UAcct323">'[13]Func Study'!$AB$1481</definedName>
    <definedName name="UAcct324">'[13]Func Study'!$AB$1486</definedName>
    <definedName name="UAcct325">'[13]Func Study'!$AB$1491</definedName>
    <definedName name="UAcct33">'[13]Func Study'!$AB$295</definedName>
    <definedName name="UAcct330">'[13]Func Study'!$AB$1508</definedName>
    <definedName name="UAcct331">'[13]Func Study'!$AB$1513</definedName>
    <definedName name="UAcct332">'[13]Func Study'!$AB$1518</definedName>
    <definedName name="UAcct333">'[13]Func Study'!$AB$1523</definedName>
    <definedName name="UAcct334">'[13]Func Study'!$AB$1528</definedName>
    <definedName name="UAcct335">'[13]Func Study'!$AB$1533</definedName>
    <definedName name="UAcct336">'[13]Func Study'!$AB$1539</definedName>
    <definedName name="UAcct340Dgu">'[13]Func Study'!$AB$1564</definedName>
    <definedName name="UAcct340Sgu">'[13]Func Study'!$AB$1565</definedName>
    <definedName name="UAcct341Dgu">'[13]Func Study'!$AB$1569</definedName>
    <definedName name="UAcct341Sgu">'[13]Func Study'!$AB$1570</definedName>
    <definedName name="UAcct342Dgu">'[13]Func Study'!$AB$1574</definedName>
    <definedName name="UAcct342Sgu">'[13]Func Study'!$AB$1575</definedName>
    <definedName name="UAcct343">'[13]Func Study'!$AB$1584</definedName>
    <definedName name="UAcct344S">'[13]Func Study'!$AB$1587</definedName>
    <definedName name="UAcct344Sgp">'[13]Func Study'!$AB$1588</definedName>
    <definedName name="UAcct345Dgu">'[13]Func Study'!$AB$1594</definedName>
    <definedName name="UAcct345Sgu">'[13]Func Study'!$AB$1595</definedName>
    <definedName name="UAcct346">'[13]Func Study'!$AB$1601</definedName>
    <definedName name="UAcct350">'[13]Func Study'!$AB$1628</definedName>
    <definedName name="UAcct352">'[13]Func Study'!$AB$1635</definedName>
    <definedName name="UAcct353">'[13]Func Study'!$AB$1641</definedName>
    <definedName name="UAcct354">'[13]Func Study'!$AB$1647</definedName>
    <definedName name="UAcct355">'[13]Func Study'!$AB$1654</definedName>
    <definedName name="UAcct356">'[13]Func Study'!$AB$1660</definedName>
    <definedName name="UAcct357">'[13]Func Study'!$AB$1666</definedName>
    <definedName name="UAcct358">'[13]Func Study'!$AB$1672</definedName>
    <definedName name="UAcct359">'[13]Func Study'!$AB$1678</definedName>
    <definedName name="UAcct360">'[13]Func Study'!$AB$1698</definedName>
    <definedName name="UAcct361">'[13]Func Study'!$AB$1704</definedName>
    <definedName name="UAcct362">'[13]Func Study'!$AB$1710</definedName>
    <definedName name="UAcct368">'[13]Func Study'!$AB$1744</definedName>
    <definedName name="UAcct369">'[13]Func Study'!$AB$1751</definedName>
    <definedName name="UAcct370">'[13]Func Study'!$AB$1762</definedName>
    <definedName name="UAcct372A">'[13]Func Study'!$AB$1775</definedName>
    <definedName name="UAcct372Dp">'[13]Func Study'!$AB$1773</definedName>
    <definedName name="UAcct372Ds">'[13]Func Study'!$AB$1774</definedName>
    <definedName name="UAcct373">'[13]Func Study'!$AB$1782</definedName>
    <definedName name="UAcct389Cn">'[13]Func Study'!$AB$1800</definedName>
    <definedName name="UAcct389S">'[13]Func Study'!$AB$1799</definedName>
    <definedName name="UAcct389Sg">'[13]Func Study'!$AB$1802</definedName>
    <definedName name="UAcct389Sgu">'[13]Func Study'!$AB$1801</definedName>
    <definedName name="UAcct389So">'[13]Func Study'!$AB$1803</definedName>
    <definedName name="UAcct390Cn">'[13]Func Study'!$AB$1810</definedName>
    <definedName name="UAcct390JBG">'[13]Func Study'!$AB$1812</definedName>
    <definedName name="UAcct390L">'[13]Func Study'!$AB$1927</definedName>
    <definedName name="UACCT390LRCL">'[13]Func Study'!$AB$1929</definedName>
    <definedName name="UAcct390S">'[13]Func Study'!$AB$1807</definedName>
    <definedName name="UAcct390Sgp">'[13]Func Study'!$AB$1808</definedName>
    <definedName name="UAcct390Sgu">'[13]Func Study'!$AB$1809</definedName>
    <definedName name="UAcct390Sop">'[13]Func Study'!$AB$1811</definedName>
    <definedName name="UAcct390Sou">'[13]Func Study'!$AB$1813</definedName>
    <definedName name="UAcct391Cn">'[13]Func Study'!$AB$1820</definedName>
    <definedName name="UACCT391JBE">'[13]Func Study'!$AB$1825</definedName>
    <definedName name="UAcct391S">'[13]Func Study'!$AB$1817</definedName>
    <definedName name="UAcct391Sg">'[13]Func Study'!$AB$1821</definedName>
    <definedName name="UAcct391Sgp">'[13]Func Study'!$AB$1818</definedName>
    <definedName name="UAcct391Sgu">'[13]Func Study'!$AB$1819</definedName>
    <definedName name="UAcct391So">'[13]Func Study'!$AB$1823</definedName>
    <definedName name="UACCT391SSGCH">'[13]Func Study'!$AB$1824</definedName>
    <definedName name="UAcct392Cn">'[13]Func Study'!$AB$1832</definedName>
    <definedName name="UAcct392L">'[13]Func Study'!$AB$1935</definedName>
    <definedName name="UAcct392Lrcl">'[13]Func Study'!$AB$1937</definedName>
    <definedName name="UAcct392S">'[13]Func Study'!$AB$1829</definedName>
    <definedName name="UAcct392Se">'[13]Func Study'!$AB$1834</definedName>
    <definedName name="UAcct392Sg">'[13]Func Study'!$AB$1831</definedName>
    <definedName name="UAcct392Sgp">'[13]Func Study'!$AB$1835</definedName>
    <definedName name="UAcct392Sgu">'[13]Func Study'!$AB$1833</definedName>
    <definedName name="UAcct392So">'[13]Func Study'!$AB$1830</definedName>
    <definedName name="UACCT392SSGCH">'[13]Func Study'!$AB$1836</definedName>
    <definedName name="UAcct393S">'[13]Func Study'!$AB$1841</definedName>
    <definedName name="UAcct393Sg">'[13]Func Study'!$AB$1845</definedName>
    <definedName name="UAcct393Sgp">'[13]Func Study'!$AB$1842</definedName>
    <definedName name="UAcct393Sgu">'[13]Func Study'!$AB$1843</definedName>
    <definedName name="UAcct393So">'[13]Func Study'!$AB$1844</definedName>
    <definedName name="UACCT393SSGCT">'[13]Func Study'!$AB$1846</definedName>
    <definedName name="UAcct394S">'[13]Func Study'!$AB$1850</definedName>
    <definedName name="UAcct394Se">'[13]Func Study'!$AB$1854</definedName>
    <definedName name="UAcct394Sg">'[13]Func Study'!$AB$1855</definedName>
    <definedName name="UAcct394Sgp">'[13]Func Study'!$AB$1851</definedName>
    <definedName name="UAcct394Sgu">'[13]Func Study'!$AB$1852</definedName>
    <definedName name="UAcct394So">'[13]Func Study'!$AB$1853</definedName>
    <definedName name="UACCT394SSGCH">'[13]Func Study'!$AB$1856</definedName>
    <definedName name="UAcct395S">'[13]Func Study'!$AB$1861</definedName>
    <definedName name="UAcct395Se">'[13]Func Study'!$AB$1865</definedName>
    <definedName name="UAcct395Sg">'[13]Func Study'!$AB$1866</definedName>
    <definedName name="UAcct395Sgp">'[13]Func Study'!$AB$1862</definedName>
    <definedName name="UAcct395Sgu">'[13]Func Study'!$AB$1863</definedName>
    <definedName name="UAcct395So">'[13]Func Study'!$AB$1864</definedName>
    <definedName name="UACCT395SSGCH">'[13]Func Study'!$AB$1867</definedName>
    <definedName name="UAcct396S">'[13]Func Study'!$AB$1872</definedName>
    <definedName name="UAcct396Se">'[13]Func Study'!$AB$1877</definedName>
    <definedName name="UAcct396Sg">'[13]Func Study'!$AB$1874</definedName>
    <definedName name="UAcct396Sgp">'[13]Func Study'!$AB$1873</definedName>
    <definedName name="UAcct396Sgu">'[13]Func Study'!$AB$1876</definedName>
    <definedName name="UAcct396So">'[13]Func Study'!$AB$1875</definedName>
    <definedName name="UACCT396SSGCH">'[13]Func Study'!$AB$1879</definedName>
    <definedName name="UACCT396SSGCT">'[13]Func Study'!$AB$1878</definedName>
    <definedName name="UAcct397Cn">'[13]Func Study'!$AB$1890</definedName>
    <definedName name="UAcct397JBG">'[13]Func Study'!$AB$1893</definedName>
    <definedName name="UAcct397S">'[13]Func Study'!$AB$1886</definedName>
    <definedName name="UAcct397Se">'[13]Func Study'!$AB$1892</definedName>
    <definedName name="UAcct397Sg">'[13]Func Study'!$AB$1891</definedName>
    <definedName name="UAcct397Sgp">'[13]Func Study'!$AB$1887</definedName>
    <definedName name="UAcct397Sgu">'[13]Func Study'!$AB$1888</definedName>
    <definedName name="UAcct397So">'[13]Func Study'!$AB$1889</definedName>
    <definedName name="UAcct398Cn">'[13]Func Study'!$AB$1902</definedName>
    <definedName name="UAcct398S">'[13]Func Study'!$AB$1899</definedName>
    <definedName name="UAcct398Se">'[13]Func Study'!$AB$1904</definedName>
    <definedName name="UAcct398Sg">'[13]Func Study'!$AB$1905</definedName>
    <definedName name="UAcct398Sgp">'[13]Func Study'!$AB$1900</definedName>
    <definedName name="UAcct398Sgu">'[13]Func Study'!$AB$1901</definedName>
    <definedName name="UAcct398So">'[13]Func Study'!$AB$1903</definedName>
    <definedName name="UACCT398SSGCT">'[13]Func Study'!$AB$1906</definedName>
    <definedName name="UAcct399">'[13]Func Study'!$AB$1913</definedName>
    <definedName name="UAcct399G">'[13]Func Study'!$AB$1955</definedName>
    <definedName name="UAcct399L">'[13]Func Study'!$AB$1917</definedName>
    <definedName name="UAcct399Lrcl">'[13]Func Study'!$AB$1919</definedName>
    <definedName name="UAcct403360">'[13]Func Study'!$AB$1090</definedName>
    <definedName name="UAcct403361">'[13]Func Study'!$AB$1091</definedName>
    <definedName name="UAcct403362">'[13]Func Study'!$AB$1092</definedName>
    <definedName name="UAcct403364">'[13]Func Study'!$AB$1094</definedName>
    <definedName name="UAcct403365">'[13]Func Study'!$AB$1095</definedName>
    <definedName name="UAcct403366">'[13]Func Study'!$AB$1096</definedName>
    <definedName name="UAcct403367">'[13]Func Study'!$AB$1097</definedName>
    <definedName name="UAcct403368">'[13]Func Study'!$AB$1098</definedName>
    <definedName name="UAcct403369">'[13]Func Study'!$AB$1099</definedName>
    <definedName name="UAcct403370">'[13]Func Study'!$AB$1100</definedName>
    <definedName name="UAcct403371">'[13]Func Study'!$AB$1101</definedName>
    <definedName name="UAcct403372">'[13]Func Study'!$AB$1102</definedName>
    <definedName name="UAcct403373">'[13]Func Study'!$AB$1103</definedName>
    <definedName name="UAcct403Ep">'[13]Func Study'!$AB$1130</definedName>
    <definedName name="UAcct403Gpcn">'[13]Func Study'!$AB$1111</definedName>
    <definedName name="UAcct403GPDGP">'[13]Func Study'!$AB$1108</definedName>
    <definedName name="UAcct403GPDGU">'[13]Func Study'!$AB$1109</definedName>
    <definedName name="UAcct403GPJBG">'[13]Func Study'!$AB$1115</definedName>
    <definedName name="UAcct403Gps">'[13]Func Study'!$AB$1107</definedName>
    <definedName name="UAcct403Gpsg">'[13]Func Study'!$AB$1112</definedName>
    <definedName name="UAcct403Gpso">'[13]Func Study'!$AB$1113</definedName>
    <definedName name="UAcct403Gv0">'[13]Func Study'!$AB$1121</definedName>
    <definedName name="UAcct403Hp">'[13]Func Study'!$AB$1072</definedName>
    <definedName name="UACCT403JBE">'[13]Func Study'!$AB$1116</definedName>
    <definedName name="UAcct403Mp">'[13]Func Study'!$AB$1125</definedName>
    <definedName name="UAcct403Np">'[13]Func Study'!$AB$1065</definedName>
    <definedName name="UAcct403Op">'[13]Func Study'!$AB$1080</definedName>
    <definedName name="UAcct403OPCAGE">'[13]Func Study'!$AB$1078</definedName>
    <definedName name="UAcct403Sp">'[13]Func Study'!$AB$1061</definedName>
    <definedName name="UAcct403SPJBG">'[13]Func Study'!$AB$1058</definedName>
    <definedName name="UAcct403Tp">'[13]Func Study'!$AB$1087</definedName>
    <definedName name="UAcct404330">'[13]Func Study'!$AB$1177</definedName>
    <definedName name="UACCT404GP">'[13]Func Study'!$AB$1146</definedName>
    <definedName name="UACCT404GPCN">'[13]Func Study'!$AB$1143</definedName>
    <definedName name="UACCT404GPSO">'[13]Func Study'!$AB$1141</definedName>
    <definedName name="UAcct404Ipcn">'[13]Func Study'!$AB$1158</definedName>
    <definedName name="UAcct404IPJBG">'[13]Func Study'!$AB$1163</definedName>
    <definedName name="UAcct404Ips">'[13]Func Study'!$AB$1154</definedName>
    <definedName name="UAcct404Ipse">'[13]Func Study'!$AB$1155</definedName>
    <definedName name="UAcct404Ipsg">'[13]Func Study'!$AB$1156</definedName>
    <definedName name="UAcct404Ipsg1">'[13]Func Study'!$AB$1159</definedName>
    <definedName name="UAcct404Ipsg2">'[13]Func Study'!$AB$1160</definedName>
    <definedName name="UAcct404Ipso">'[13]Func Study'!$AB$1157</definedName>
    <definedName name="UAcct404M">'[13]Func Study'!$AB$1168</definedName>
    <definedName name="UACCT404OP">'[13]Func Study'!$AB$1172</definedName>
    <definedName name="UACCT404SP">'[13]Func Study'!$AB$1151</definedName>
    <definedName name="UAcct405">'[13]Func Study'!$AB$1185</definedName>
    <definedName name="UAcct406">'[13]Func Study'!$AB$1193</definedName>
    <definedName name="UAcct407">'[13]Func Study'!$AB$1202</definedName>
    <definedName name="UAcct408">'[13]Func Study'!$AB$1221</definedName>
    <definedName name="UAcct408S">'[13]Func Study'!$AB$1213</definedName>
    <definedName name="UAcct41010">'[13]Func Study'!$AB$1294</definedName>
    <definedName name="UAcct41011">'[13]Func Study'!$AB$1309</definedName>
    <definedName name="UAcct41110">'[13]Func Study'!$AB$1325</definedName>
    <definedName name="UAcct41140">'[13]Func Study'!$AB$1232</definedName>
    <definedName name="UAcct41141">'[13]Func Study'!$AB$1237</definedName>
    <definedName name="UAcct41160">'[13]Func Study'!$AB$369</definedName>
    <definedName name="UAcct41170">'[13]Func Study'!$AB$374</definedName>
    <definedName name="UAcct4118">'[13]Func Study'!$AB$378</definedName>
    <definedName name="UAcct41181">'[13]Func Study'!$AB$381</definedName>
    <definedName name="UAcct4194">'[13]Func Study'!$AB$385</definedName>
    <definedName name="UAcct421">'[13]Func Study'!$AB$394</definedName>
    <definedName name="UAcct4311">'[13]Func Study'!$AB$401</definedName>
    <definedName name="UAcct442Se">'[13]Func Study'!$AB$259</definedName>
    <definedName name="UAcct442Sg">'[13]Func Study'!$AB$260</definedName>
    <definedName name="UAcct447">'[13]Func Study'!$AB$281</definedName>
    <definedName name="UACCT447NPC">'[13]Func Study'!$AB$289</definedName>
    <definedName name="UACCT447NPCCAEW">'[13]Func Study'!$AB$286</definedName>
    <definedName name="UACCT447NPCCAGW">'[13]Func Study'!$AB$287</definedName>
    <definedName name="UACCT447NPCDGP">'[13]Func Study'!$AB$288</definedName>
    <definedName name="UAcct447S">'[13]Func Study'!$AB$280</definedName>
    <definedName name="UAcct448S">'[13]Func Study'!$AB$274</definedName>
    <definedName name="UAcct448So">'[13]Func Study'!$AB$275</definedName>
    <definedName name="UAcct449">'[13]Func Study'!$AB$294</definedName>
    <definedName name="UAcct450">'[13]Func Study'!$AB$304</definedName>
    <definedName name="UAcct450S">'[13]Func Study'!$AB$302</definedName>
    <definedName name="UAcct450So">'[13]Func Study'!$AB$303</definedName>
    <definedName name="UAcct451S">'[13]Func Study'!$AB$307</definedName>
    <definedName name="UAcct451Sg">'[13]Func Study'!$AB$308</definedName>
    <definedName name="UAcct451So">'[13]Func Study'!$AB$309</definedName>
    <definedName name="UAcct453">'[13]Func Study'!$AB$315</definedName>
    <definedName name="UAcct454">'[13]Func Study'!$AB$322</definedName>
    <definedName name="UAcct454JBG">'[13]Func Study'!$AB$319</definedName>
    <definedName name="UAcct454S">'[13]Func Study'!$AB$318</definedName>
    <definedName name="UAcct454Sg">'[13]Func Study'!$AB$320</definedName>
    <definedName name="UAcct454So">'[13]Func Study'!$AB$321</definedName>
    <definedName name="UAcct456">'[13]Func Study'!$AB$332</definedName>
    <definedName name="UAcct456CAEW">'[13]Func Study'!$AB$331</definedName>
    <definedName name="UAcct456S">'[13]Func Study'!$AB$325</definedName>
    <definedName name="UAcct456So">'[13]Func Study'!$AB$329</definedName>
    <definedName name="UAcct500">'[13]Func Study'!$AB$416</definedName>
    <definedName name="UAcct500JBG">'[13]Func Study'!$AB$414</definedName>
    <definedName name="UAcct501">'[13]Func Study'!$AB$423</definedName>
    <definedName name="UAcct501CAEW">'[13]Func Study'!$AB$420</definedName>
    <definedName name="UAcct501JBE">'[13]Func Study'!$AB$421</definedName>
    <definedName name="UACCT501NPCCAEW">'[13]Func Study'!$AB$426</definedName>
    <definedName name="UAcct502">'[13]Func Study'!$AB$433</definedName>
    <definedName name="UAcct502CAGE">'[13]Func Study'!$AB$431</definedName>
    <definedName name="UAcct503">'[13]Func Study'!$AB$437</definedName>
    <definedName name="UACCT503NPC">'[13]Func Study'!$AB$443</definedName>
    <definedName name="UAcct505">'[13]Func Study'!$AB$449</definedName>
    <definedName name="UAcct505CAGE">'[13]Func Study'!$AB$447</definedName>
    <definedName name="UAcct506">'[13]Func Study'!$AB$455</definedName>
    <definedName name="UAcct506CAGE">'[13]Func Study'!$AB$452</definedName>
    <definedName name="UAcct507">'[13]Func Study'!$AB$464</definedName>
    <definedName name="UAcct507CAGE">'[13]Func Study'!$AB$462</definedName>
    <definedName name="UAcct510">'[13]Func Study'!$AB$469</definedName>
    <definedName name="UAcct510CAGE">'[13]Func Study'!$AB$467</definedName>
    <definedName name="UAcct511">'[13]Func Study'!$AB$474</definedName>
    <definedName name="UAcct511CAGE">'[13]Func Study'!$AB$472</definedName>
    <definedName name="UAcct512">'[13]Func Study'!$AB$479</definedName>
    <definedName name="UAcct512CAGE">'[13]Func Study'!$AB$477</definedName>
    <definedName name="UAcct513">'[13]Func Study'!$AB$484</definedName>
    <definedName name="UAcct513CAGE">'[13]Func Study'!$AB$482</definedName>
    <definedName name="UAcct514">'[13]Func Study'!$AB$489</definedName>
    <definedName name="UAcct514CAGE">'[13]Func Study'!$AB$487</definedName>
    <definedName name="UAcct517">'[13]Func Study'!$AB$498</definedName>
    <definedName name="UAcct518">'[13]Func Study'!$AB$502</definedName>
    <definedName name="UAcct519">'[13]Func Study'!$AB$507</definedName>
    <definedName name="UAcct520">'[13]Func Study'!$AB$511</definedName>
    <definedName name="UAcct523">'[13]Func Study'!$AB$515</definedName>
    <definedName name="UAcct524">'[13]Func Study'!$AB$519</definedName>
    <definedName name="UAcct528">'[13]Func Study'!$AB$523</definedName>
    <definedName name="UAcct529">'[13]Func Study'!$AB$527</definedName>
    <definedName name="UAcct530">'[13]Func Study'!$AB$531</definedName>
    <definedName name="UAcct531">'[13]Func Study'!$AB$535</definedName>
    <definedName name="UAcct532">'[13]Func Study'!$AB$539</definedName>
    <definedName name="UAcct535">'[13]Func Study'!$AB$551</definedName>
    <definedName name="UAcct536">'[13]Func Study'!$AB$555</definedName>
    <definedName name="UAcct537">'[13]Func Study'!$AB$559</definedName>
    <definedName name="UAcct538">'[13]Func Study'!$AB$563</definedName>
    <definedName name="UAcct539">'[13]Func Study'!$AB$568</definedName>
    <definedName name="UAcct540">'[13]Func Study'!$AB$572</definedName>
    <definedName name="UAcct541">'[13]Func Study'!$AB$576</definedName>
    <definedName name="UAcct542">'[13]Func Study'!$AB$580</definedName>
    <definedName name="UAcct543">'[13]Func Study'!$AB$584</definedName>
    <definedName name="UAcct544">'[13]Func Study'!$AB$588</definedName>
    <definedName name="UAcct545">'[13]Func Study'!$AB$592</definedName>
    <definedName name="UAcct546">'[13]Func Study'!$AB$606</definedName>
    <definedName name="UAcct546CAGE">'[13]Func Study'!$AB$605</definedName>
    <definedName name="UAcct547CAEW">'[13]Func Study'!$AB$610</definedName>
    <definedName name="UACCT547NPCCAEW">'[13]Func Study'!$AB$613</definedName>
    <definedName name="UAcct547Se">'[13]Func Study'!$AB$609</definedName>
    <definedName name="UAcct548">'[13]Func Study'!$AB$621</definedName>
    <definedName name="UACCT548CAGE">'[13]Func Study'!$AB$620</definedName>
    <definedName name="UAcct549">'[13]Func Study'!$AB$626</definedName>
    <definedName name="Uacct549CAGE">'[13]Func Study'!$AB$625</definedName>
    <definedName name="UAcct551CAGE">'[13]Func Study'!$AB$634</definedName>
    <definedName name="UACCT551SG">'[13]Func Study'!$AB$635</definedName>
    <definedName name="UACCT552CAGE">'[13]Func Study'!$AB$640</definedName>
    <definedName name="UAcct552SG">'[13]Func Study'!$AB$639</definedName>
    <definedName name="UACCT553CAGE">'[13]Func Study'!$AB$646</definedName>
    <definedName name="UAcct553SG">'[13]Func Study'!$AB$645</definedName>
    <definedName name="UACCT554CAGE">'[13]Func Study'!$AB$651</definedName>
    <definedName name="UAcct554SG">'[13]Func Study'!$AB$650</definedName>
    <definedName name="UAcct555CAEW">'[13]Func Study'!$AB$665</definedName>
    <definedName name="UAcct555CAGW">'[13]Func Study'!$AB$664</definedName>
    <definedName name="UACCT555DGP">'[13]Func Study'!$AB$670</definedName>
    <definedName name="UACCT555NPCCAEW">'[13]Func Study'!$AB$669</definedName>
    <definedName name="UACCT555NPCCAGW">'[13]Func Study'!$AB$668</definedName>
    <definedName name="UAcct555S">'[13]Func Study'!$AB$663</definedName>
    <definedName name="UAcct555Se">'[13]Func Study'!$AB$665</definedName>
    <definedName name="UACCT555SG">'[13]Func Study'!$AB$664</definedName>
    <definedName name="UAcct556">'[13]Func Study'!$AB$676</definedName>
    <definedName name="UAcct557">'[13]Func Study'!$AB$685</definedName>
    <definedName name="UAcct560">'[13]Func Study'!$AB$715</definedName>
    <definedName name="UAcct561">'[13]Func Study'!$AB$720</definedName>
    <definedName name="UAcct562">'[13]Func Study'!$AB$726</definedName>
    <definedName name="UAcct563">'[13]Func Study'!$AB$731</definedName>
    <definedName name="UAcct564">'[13]Func Study'!$AB$735</definedName>
    <definedName name="UAcct565">'[13]Func Study'!$AB$739</definedName>
    <definedName name="UACCT565NPC">'[13]Func Study'!$AB$744</definedName>
    <definedName name="UACCT565NPCCAGW">'[13]Func Study'!$AB$742</definedName>
    <definedName name="UAcct566">'[13]Func Study'!$AB$748</definedName>
    <definedName name="UAcct567">'[13]Func Study'!$AB$752</definedName>
    <definedName name="UAcct568">'[13]Func Study'!$AB$756</definedName>
    <definedName name="UAcct569">'[13]Func Study'!$AB$760</definedName>
    <definedName name="UAcct570">'[13]Func Study'!$AB$765</definedName>
    <definedName name="UAcct571">'[13]Func Study'!$AB$770</definedName>
    <definedName name="UAcct572">'[13]Func Study'!$AB$774</definedName>
    <definedName name="UAcct573">'[13]Func Study'!$AB$778</definedName>
    <definedName name="UAcct580">'[13]Func Study'!$AB$791</definedName>
    <definedName name="UAcct581">'[13]Func Study'!$AB$796</definedName>
    <definedName name="UAcct582">'[13]Func Study'!$AB$801</definedName>
    <definedName name="UAcct583">'[13]Func Study'!$AB$806</definedName>
    <definedName name="UAcct584">'[13]Func Study'!$AB$811</definedName>
    <definedName name="UAcct585">'[13]Func Study'!$AB$816</definedName>
    <definedName name="UAcct586">'[13]Func Study'!$AB$821</definedName>
    <definedName name="UAcct587">'[13]Func Study'!$AB$826</definedName>
    <definedName name="UAcct588">'[13]Func Study'!$AB$831</definedName>
    <definedName name="UAcct589">'[13]Func Study'!$AB$836</definedName>
    <definedName name="UAcct590">'[13]Func Study'!$AB$841</definedName>
    <definedName name="UAcct591">'[13]Func Study'!$AB$846</definedName>
    <definedName name="UAcct592">'[13]Func Study'!$AB$851</definedName>
    <definedName name="UAcct593">'[13]Func Study'!$AB$856</definedName>
    <definedName name="UAcct594">'[13]Func Study'!$AB$861</definedName>
    <definedName name="UAcct595">'[13]Func Study'!$AB$866</definedName>
    <definedName name="UAcct596">'[13]Func Study'!$AB$876</definedName>
    <definedName name="UAcct597">'[13]Func Study'!$AB$881</definedName>
    <definedName name="UAcct598">'[13]Func Study'!$AB$886</definedName>
    <definedName name="UAcct901">'[13]Func Study'!$AB$898</definedName>
    <definedName name="UAcct902">'[13]Func Study'!$AB$903</definedName>
    <definedName name="UAcct903">'[13]Func Study'!$AB$908</definedName>
    <definedName name="UAcct904">'[13]Func Study'!$AB$914</definedName>
    <definedName name="UAcct905">'[13]Func Study'!$AB$919</definedName>
    <definedName name="UAcct907">'[13]Func Study'!$AB$933</definedName>
    <definedName name="UAcct908">'[13]Func Study'!$AB$938</definedName>
    <definedName name="UAcct909">'[13]Func Study'!$AB$943</definedName>
    <definedName name="UAcct910">'[13]Func Study'!$AB$948</definedName>
    <definedName name="UAcct911">'[13]Func Study'!$AB$959</definedName>
    <definedName name="UAcct912">'[13]Func Study'!$AB$964</definedName>
    <definedName name="UAcct913">'[13]Func Study'!$AB$969</definedName>
    <definedName name="UAcct916">'[13]Func Study'!$AB$974</definedName>
    <definedName name="UAcct920">'[13]Func Study'!$AB$985</definedName>
    <definedName name="UAcct920Cn">'[13]Func Study'!$AB$983</definedName>
    <definedName name="UAcct921">'[13]Func Study'!$AB$991</definedName>
    <definedName name="UAcct921Cn">'[13]Func Study'!$AB$989</definedName>
    <definedName name="UAcct923">'[13]Func Study'!$AB$997</definedName>
    <definedName name="UAcct923CAGW">'[13]Func Study'!$AB$995</definedName>
    <definedName name="UAcct924">'[13]Func Study'!$AB$1001</definedName>
    <definedName name="UAcct925">'[13]Func Study'!$AB$1005</definedName>
    <definedName name="UAcct926">'[13]Func Study'!$AB$1011</definedName>
    <definedName name="UAcct927">'[13]Func Study'!$AB$1016</definedName>
    <definedName name="UAcct928">'[13]Func Study'!$AB$1023</definedName>
    <definedName name="UAcct929">'[13]Func Study'!$AB$1028</definedName>
    <definedName name="UAcct930">'[13]Func Study'!$AB$1034</definedName>
    <definedName name="UAcct931">'[13]Func Study'!$AB$1039</definedName>
    <definedName name="UAcct935">'[13]Func Study'!$AB$1045</definedName>
    <definedName name="UAcctAGA">'[13]Func Study'!$AB$296</definedName>
    <definedName name="UAcctcwc">'[13]Func Study'!$AB$2136</definedName>
    <definedName name="UAcctd00">'[13]Func Study'!$AB$1786</definedName>
    <definedName name="UAcctds0">'[13]Func Study'!$AB$1790</definedName>
    <definedName name="UACCTECDDGP">'[13]Func Study'!$AB$687</definedName>
    <definedName name="UACCTECDMC">'[13]Func Study'!$AB$689</definedName>
    <definedName name="UACCTECDS">'[13]Func Study'!$AB$691</definedName>
    <definedName name="UACCTECDSG1">'[13]Func Study'!$AB$688</definedName>
    <definedName name="UACCTECDSG2">'[13]Func Study'!$AB$690</definedName>
    <definedName name="UACCTECDSG3">'[13]Func Study'!$AB$692</definedName>
    <definedName name="UAcctfit">'[13]Func Study'!$AB$1395</definedName>
    <definedName name="UAcctg00">'[13]Func Study'!$AB$1947</definedName>
    <definedName name="UAccth00">'[13]Func Study'!$AB$1545</definedName>
    <definedName name="UAccti00">'[13]Func Study'!$AB$1993</definedName>
    <definedName name="UAcctn00">'[13]Func Study'!$AB$1496</definedName>
    <definedName name="UAccto00">'[13]Func Study'!$AB$1606</definedName>
    <definedName name="UAcctowc">'[13]Func Study'!$AB$2149</definedName>
    <definedName name="UACCTOWCSSECH">'[13]Func Study'!$AB$2148</definedName>
    <definedName name="UAccts00">'[13]Func Study'!$AB$1455</definedName>
    <definedName name="UAcctsttax">'[13]Func Study'!$AB$1377</definedName>
    <definedName name="UAcctt00">'[13]Func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[17]Variables!$D$25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[17]Variables!$D$29</definedName>
    <definedName name="v" localSheetId="10" hidden="1">{#N/A,#N/A,FALSE,"Coversheet";#N/A,#N/A,FALSE,"QA"}</definedName>
    <definedName name="v" hidden="1">{#N/A,#N/A,FALSE,"Coversheet";#N/A,#N/A,FALSE,"QA"}</definedName>
    <definedName name="ValidAccount">[14]Variables!$AK$43:$AK$369</definedName>
    <definedName name="Value" localSheetId="10" hidden="1">{#N/A,#N/A,FALSE,"Summ";#N/A,#N/A,FALSE,"General"}</definedName>
    <definedName name="Value" hidden="1">{#N/A,#N/A,FALSE,"Summ";#N/A,#N/A,FALSE,"General"}</definedName>
    <definedName name="Values_Entered" localSheetId="10">IF(Loan_Amount*Interest_Rate*Loan_Years*Loan_Start&gt;0,1,0)</definedName>
    <definedName name="Values_Entered">IF(Loan_Amount*Interest_Rate*Loan_Years*Loan_Start&gt;0,1,0)</definedName>
    <definedName name="VOMEsc">[15]Assumptions!$C$21</definedName>
    <definedName name="w" localSheetId="10" hidden="1">{#N/A,#N/A,FALSE,"Schedule F";#N/A,#N/A,FALSE,"Schedule G"}</definedName>
    <definedName name="w" hidden="1">{#N/A,#N/A,FALSE,"Schedule F";#N/A,#N/A,FALSE,"Schedule G"}</definedName>
    <definedName name="WACC">[15]Assumptions!$I$61</definedName>
    <definedName name="WaRevenueTax">[17]Variables!$D$27</definedName>
    <definedName name="we" localSheetId="1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0" hidden="1">{#N/A,#N/A,FALSE,"Coversheet";#N/A,#N/A,FALSE,"QA"}</definedName>
    <definedName name="WH" hidden="1">{#N/A,#N/A,FALSE,"Coversheet";#N/A,#N/A,FALSE,"QA"}</definedName>
    <definedName name="Winter">'[67]Input Tab'!$B$11</definedName>
    <definedName name="WinterPeak">'[68]Load Data'!$D$9:$H$12,'[68]Load Data'!$D$20:$H$22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1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1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1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10" hidden="1">{#N/A,#N/A,FALSE,"Cost Adjustment "}</definedName>
    <definedName name="wrn.Cost._.Adjustment." hidden="1">{#N/A,#N/A,FALSE,"Cost Adjustment 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1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10" hidden="1">{#N/A,#N/A,FALSE,"schA"}</definedName>
    <definedName name="wrn.ECR." hidden="1">{#N/A,#N/A,FALSE,"schA"}</definedName>
    <definedName name="wrn.ESTIMATE." localSheetId="1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1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1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0" hidden="1">{#N/A,#N/A,FALSE,"Coversheet";#N/A,#N/A,FALSE,"QA"}</definedName>
    <definedName name="wrn.Incentive._.Overhead." hidden="1">{#N/A,#N/A,FALSE,"Coversheet";#N/A,#N/A,FALSE,"QA"}</definedName>
    <definedName name="wrn.limit_reports." localSheetId="10" hidden="1">{#N/A,#N/A,FALSE,"Schedule F";#N/A,#N/A,FALSE,"Schedule G"}</definedName>
    <definedName name="wrn.limit_reports." hidden="1">{#N/A,#N/A,FALSE,"Schedule F";#N/A,#N/A,FALSE,"Schedule G"}</definedName>
    <definedName name="wrn.MARGIN_WO_QTR." localSheetId="1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1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1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1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1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1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0" hidden="1">{#N/A,#N/A,FALSE,"7617 Fab";#N/A,#N/A,FALSE,"7617 NSK"}</definedName>
    <definedName name="wrn.SCHEDULE." hidden="1">{#N/A,#N/A,FALSE,"7617 Fab";#N/A,#N/A,FALSE,"7617 NSK"}</definedName>
    <definedName name="wrn.Semi._.Annual._.Cost._.Adj." localSheetId="1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1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0" hidden="1">{#N/A,#N/A,FALSE,"2002 Small Tool OH";#N/A,#N/A,FALSE,"QA"}</definedName>
    <definedName name="wrn.Small._.Tools._.Overhead." hidden="1">{#N/A,#N/A,FALSE,"2002 Small Tool OH";#N/A,#N/A,FALSE,"QA"}</definedName>
    <definedName name="wrn.Summary." localSheetId="10" hidden="1">{#N/A,#N/A,FALSE,"Summ";#N/A,#N/A,FALSE,"General"}</definedName>
    <definedName name="wrn.Summary." hidden="1">{#N/A,#N/A,FALSE,"Summ";#N/A,#N/A,FALSE,"General"}</definedName>
    <definedName name="wrn.test." localSheetId="1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1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'[11]MJS-6'!$F$2</definedName>
    <definedName name="WUTC_FILING_FEE">'[11]MJS-7'!$O$15</definedName>
    <definedName name="www" localSheetId="10" hidden="1">{#N/A,#N/A,FALSE,"schA"}</definedName>
    <definedName name="www" hidden="1">{#N/A,#N/A,FALSE,"schA"}</definedName>
    <definedName name="x" localSheetId="10" hidden="1">{#N/A,#N/A,FALSE,"Coversheet";#N/A,#N/A,FALSE,"QA"}</definedName>
    <definedName name="x" hidden="1">{#N/A,#N/A,FALSE,"Coversheet";#N/A,#N/A,FALSE,"QA"}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'[69]Revison Inputs'!$B$6</definedName>
    <definedName name="YEFactors">[14]Factors!$S$3:$AG$99</definedName>
    <definedName name="YTD_Format">[60]YTD!$B$13:$D$13,[60]YTD!$B$36:$D$36</definedName>
    <definedName name="yuf" localSheetId="10" hidden="1">{#N/A,#N/A,FALSE,"Summ";#N/A,#N/A,FALSE,"General"}</definedName>
    <definedName name="yuf" hidden="1">{#N/A,#N/A,FALSE,"Summ";#N/A,#N/A,FALSE,"General"}</definedName>
    <definedName name="z" localSheetId="10" hidden="1">{#N/A,#N/A,FALSE,"Coversheet";#N/A,#N/A,FALSE,"QA"}</definedName>
    <definedName name="z" hidden="1">{#N/A,#N/A,FALSE,"Coversheet";#N/A,#N/A,FALSE,"QA"}</definedName>
    <definedName name="Z_74962C52_C942_4B77_930E_25C76D119A65_.wvu.Cols" localSheetId="4" hidden="1">'Electric- Tracker 3-11-24'!$C:$C</definedName>
    <definedName name="Z_74962C52_C942_4B77_930E_25C76D119A65_.wvu.PrintArea" localSheetId="4" hidden="1">'Electric- Tracker 3-11-24'!$A$1:$L$39</definedName>
    <definedName name="Z_8F562C4E_A8C1_4CDC_BAAD_54F3E4B9F2A9_.wvu.PrintArea" localSheetId="5" hidden="1">'Gas-Tracker filing 3-11-24'!$A$1:$L$33</definedName>
    <definedName name="Z_D202B23E_F4C4_4C7F_A7AC_9FC1047E83DA_.wvu.Cols" localSheetId="4" hidden="1">'Electric- Tracker 3-11-24'!$C:$C</definedName>
    <definedName name="Z_D202B23E_F4C4_4C7F_A7AC_9FC1047E83DA_.wvu.PrintArea" localSheetId="4" hidden="1">'Electric- Tracker 3-11-24'!$A$1:$L$39</definedName>
    <definedName name="Z_DCA244FE_B3FD_47E6_8C48_6297B4FECBBF_.wvu.PrintArea" localSheetId="5" hidden="1">'Gas-Tracker filing 3-11-24'!$A$1:$L$33</definedName>
    <definedName name="zzz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B12" i="97" l="1"/>
  <c r="B11" i="97"/>
  <c r="F11" i="97" s="1"/>
  <c r="D12" i="74" s="1"/>
  <c r="D12" i="97"/>
  <c r="F12" i="97" s="1"/>
  <c r="E12" i="74" s="1"/>
  <c r="D11" i="97"/>
  <c r="B2" i="100"/>
  <c r="B1" i="100"/>
  <c r="F12" i="102"/>
  <c r="J12" i="102" s="1"/>
  <c r="F13" i="102"/>
  <c r="J13" i="102"/>
  <c r="L13" i="102"/>
  <c r="M13" i="102"/>
  <c r="F14" i="102"/>
  <c r="J14" i="102" s="1"/>
  <c r="F15" i="102"/>
  <c r="J15" i="102"/>
  <c r="L15" i="102"/>
  <c r="M15" i="102"/>
  <c r="F16" i="102"/>
  <c r="J16" i="102" s="1"/>
  <c r="L16" i="102" s="1"/>
  <c r="F17" i="102"/>
  <c r="J17" i="102"/>
  <c r="L17" i="102"/>
  <c r="M17" i="102"/>
  <c r="F18" i="102"/>
  <c r="J18" i="102" s="1"/>
  <c r="F19" i="102"/>
  <c r="L19" i="102"/>
  <c r="F20" i="102"/>
  <c r="J20" i="102" s="1"/>
  <c r="L20" i="102" s="1"/>
  <c r="F21" i="102"/>
  <c r="J21" i="102"/>
  <c r="L21" i="102"/>
  <c r="F22" i="102"/>
  <c r="J22" i="102" s="1"/>
  <c r="L22" i="102" s="1"/>
  <c r="K22" i="102"/>
  <c r="F23" i="102"/>
  <c r="J23" i="102"/>
  <c r="L23" i="102"/>
  <c r="M23" i="102"/>
  <c r="F24" i="102"/>
  <c r="J24" i="102" s="1"/>
  <c r="L24" i="102" s="1"/>
  <c r="F25" i="102"/>
  <c r="J25" i="102"/>
  <c r="L25" i="102"/>
  <c r="M25" i="102"/>
  <c r="F26" i="102"/>
  <c r="J26" i="102" s="1"/>
  <c r="L26" i="102" s="1"/>
  <c r="F27" i="102"/>
  <c r="J27" i="102"/>
  <c r="L27" i="102"/>
  <c r="F28" i="102"/>
  <c r="J28" i="102" s="1"/>
  <c r="L28" i="102" s="1"/>
  <c r="D30" i="102"/>
  <c r="E30" i="102"/>
  <c r="G30" i="102"/>
  <c r="H30" i="102"/>
  <c r="I30" i="102"/>
  <c r="K30" i="102"/>
  <c r="K32" i="102"/>
  <c r="F12" i="101"/>
  <c r="J12" i="101"/>
  <c r="L12" i="101"/>
  <c r="N12" i="101"/>
  <c r="F13" i="101"/>
  <c r="F37" i="101" s="1"/>
  <c r="J13" i="101"/>
  <c r="N13" i="101" s="1"/>
  <c r="L13" i="101"/>
  <c r="F14" i="101"/>
  <c r="J14" i="101"/>
  <c r="L14" i="101"/>
  <c r="F15" i="101"/>
  <c r="J15" i="101"/>
  <c r="N15" i="101" s="1"/>
  <c r="L15" i="101"/>
  <c r="F16" i="101"/>
  <c r="J16" i="101"/>
  <c r="L16" i="101"/>
  <c r="N16" i="101"/>
  <c r="F17" i="101"/>
  <c r="J17" i="101"/>
  <c r="N17" i="101" s="1"/>
  <c r="L17" i="101"/>
  <c r="F18" i="101"/>
  <c r="J18" i="101"/>
  <c r="L18" i="101"/>
  <c r="N18" i="101"/>
  <c r="F19" i="101"/>
  <c r="J19" i="101"/>
  <c r="N19" i="101" s="1"/>
  <c r="L19" i="101"/>
  <c r="F20" i="101"/>
  <c r="J20" i="101"/>
  <c r="L20" i="101"/>
  <c r="F21" i="101"/>
  <c r="J21" i="101"/>
  <c r="L21" i="101"/>
  <c r="F22" i="101"/>
  <c r="J22" i="101"/>
  <c r="L22" i="101"/>
  <c r="N22" i="101"/>
  <c r="F23" i="101"/>
  <c r="J23" i="101"/>
  <c r="N23" i="101" s="1"/>
  <c r="L23" i="101"/>
  <c r="F24" i="101"/>
  <c r="J24" i="101"/>
  <c r="L24" i="101"/>
  <c r="F25" i="101"/>
  <c r="J25" i="101"/>
  <c r="L25" i="101"/>
  <c r="F26" i="101"/>
  <c r="J26" i="101" s="1"/>
  <c r="F27" i="101"/>
  <c r="J27" i="101"/>
  <c r="L27" i="101"/>
  <c r="F28" i="101"/>
  <c r="J28" i="101"/>
  <c r="L28" i="101"/>
  <c r="F29" i="101"/>
  <c r="J29" i="101"/>
  <c r="L29" i="101"/>
  <c r="N29" i="101"/>
  <c r="F30" i="101"/>
  <c r="J30" i="101" s="1"/>
  <c r="F31" i="101"/>
  <c r="J31" i="101"/>
  <c r="L31" i="101"/>
  <c r="N31" i="101"/>
  <c r="F32" i="101"/>
  <c r="J32" i="101" s="1"/>
  <c r="F33" i="101"/>
  <c r="J33" i="101"/>
  <c r="L33" i="101"/>
  <c r="F34" i="101"/>
  <c r="J34" i="101" s="1"/>
  <c r="L34" i="101" s="1"/>
  <c r="F35" i="101"/>
  <c r="J35" i="101"/>
  <c r="N35" i="101" s="1"/>
  <c r="D37" i="101"/>
  <c r="E37" i="101"/>
  <c r="G37" i="101"/>
  <c r="H37" i="101"/>
  <c r="I37" i="101"/>
  <c r="K37" i="101"/>
  <c r="K40" i="101"/>
  <c r="L30" i="101" l="1"/>
  <c r="N30" i="101"/>
  <c r="N32" i="101"/>
  <c r="L32" i="101"/>
  <c r="L18" i="102"/>
  <c r="M18" i="102"/>
  <c r="L37" i="101"/>
  <c r="L14" i="102"/>
  <c r="M14" i="102"/>
  <c r="L26" i="101"/>
  <c r="N26" i="101"/>
  <c r="J37" i="101"/>
  <c r="J32" i="102"/>
  <c r="M32" i="102" s="1"/>
  <c r="L12" i="102"/>
  <c r="J30" i="102"/>
  <c r="M12" i="102"/>
  <c r="L35" i="101"/>
  <c r="F30" i="102"/>
  <c r="J40" i="101"/>
  <c r="M40" i="101" s="1"/>
  <c r="L30" i="102" l="1"/>
  <c r="N21" i="101"/>
  <c r="N25" i="101"/>
  <c r="N27" i="101"/>
  <c r="N33" i="101"/>
  <c r="N34" i="101"/>
  <c r="N14" i="101"/>
  <c r="N24" i="101"/>
  <c r="N20" i="101"/>
  <c r="M21" i="102"/>
  <c r="M27" i="102"/>
  <c r="M28" i="102"/>
  <c r="M20" i="102"/>
  <c r="M16" i="102"/>
  <c r="M30" i="102" s="1"/>
  <c r="M22" i="102"/>
  <c r="M24" i="102"/>
  <c r="M26" i="102"/>
  <c r="M19" i="102"/>
  <c r="N37" i="101" l="1"/>
  <c r="F18" i="99" l="1"/>
  <c r="F22" i="99" s="1"/>
  <c r="F7" i="99" s="1"/>
  <c r="G8" i="99" s="1"/>
  <c r="F28" i="99"/>
  <c r="F32" i="99" s="1"/>
  <c r="F10" i="99" s="1"/>
  <c r="G11" i="99" s="1"/>
  <c r="B9" i="100" l="1"/>
  <c r="D9" i="74" s="1"/>
  <c r="B6" i="100" l="1"/>
  <c r="B10" i="100"/>
  <c r="D13" i="74"/>
  <c r="E22" i="85"/>
  <c r="E9" i="74" l="1"/>
  <c r="B11" i="100"/>
  <c r="E13" i="74"/>
  <c r="E29" i="74"/>
  <c r="D29" i="74"/>
  <c r="A29" i="74"/>
  <c r="I12" i="74"/>
  <c r="I29" i="74" s="1"/>
  <c r="H12" i="74"/>
  <c r="H29" i="74" s="1"/>
  <c r="F12" i="74"/>
  <c r="A12" i="74"/>
  <c r="A13" i="74"/>
  <c r="J29" i="74" l="1"/>
  <c r="J12" i="74"/>
  <c r="F29" i="74"/>
  <c r="X16" i="95" l="1"/>
  <c r="E7" i="94" l="1"/>
  <c r="K7" i="94"/>
  <c r="M7" i="94" s="1"/>
  <c r="E8" i="94"/>
  <c r="G8" i="94" s="1"/>
  <c r="K8" i="94"/>
  <c r="K9" i="94"/>
  <c r="M9" i="94" s="1"/>
  <c r="K10" i="94"/>
  <c r="M10" i="94" s="1"/>
  <c r="E12" i="94"/>
  <c r="G12" i="94" s="1"/>
  <c r="E14" i="94"/>
  <c r="K14" i="94"/>
  <c r="M14" i="94" s="1"/>
  <c r="E15" i="94"/>
  <c r="K15" i="94"/>
  <c r="M15" i="94" s="1"/>
  <c r="E16" i="94"/>
  <c r="G16" i="94"/>
  <c r="K17" i="94"/>
  <c r="M17" i="94" s="1"/>
  <c r="C20" i="94"/>
  <c r="E30" i="74"/>
  <c r="D30" i="74" l="1"/>
  <c r="F13" i="74"/>
  <c r="G14" i="94"/>
  <c r="O14" i="94" s="1"/>
  <c r="K11" i="94"/>
  <c r="M11" i="94" s="1"/>
  <c r="G15" i="94"/>
  <c r="K19" i="94"/>
  <c r="M19" i="94" s="1"/>
  <c r="K12" i="94"/>
  <c r="M12" i="94" s="1"/>
  <c r="E18" i="94"/>
  <c r="G18" i="94" s="1"/>
  <c r="O18" i="94" s="1"/>
  <c r="E17" i="94"/>
  <c r="G17" i="94" s="1"/>
  <c r="O17" i="94" s="1"/>
  <c r="E11" i="94"/>
  <c r="G11" i="94" s="1"/>
  <c r="O11" i="94" s="1"/>
  <c r="M8" i="94"/>
  <c r="O8" i="94" s="1"/>
  <c r="E19" i="94"/>
  <c r="G19" i="94" s="1"/>
  <c r="O19" i="94" s="1"/>
  <c r="K13" i="94"/>
  <c r="M13" i="94" s="1"/>
  <c r="E13" i="94"/>
  <c r="G13" i="94" s="1"/>
  <c r="K18" i="94"/>
  <c r="M18" i="94" s="1"/>
  <c r="E10" i="94"/>
  <c r="G10" i="94" s="1"/>
  <c r="O10" i="94" s="1"/>
  <c r="E9" i="94"/>
  <c r="G9" i="94" s="1"/>
  <c r="O9" i="94" s="1"/>
  <c r="K16" i="94"/>
  <c r="M16" i="94" s="1"/>
  <c r="O16" i="94" s="1"/>
  <c r="J20" i="94"/>
  <c r="I20" i="94"/>
  <c r="G7" i="94"/>
  <c r="O15" i="94"/>
  <c r="O12" i="94"/>
  <c r="D20" i="94"/>
  <c r="E31" i="74"/>
  <c r="D31" i="74"/>
  <c r="A31" i="74"/>
  <c r="I6" i="74"/>
  <c r="F8" i="93"/>
  <c r="F9" i="93" s="1"/>
  <c r="K9" i="93"/>
  <c r="A9" i="93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E9" i="93"/>
  <c r="J9" i="93"/>
  <c r="F12" i="93"/>
  <c r="L13" i="93"/>
  <c r="L14" i="93"/>
  <c r="L15" i="93"/>
  <c r="D22" i="93"/>
  <c r="L24" i="93"/>
  <c r="J29" i="93"/>
  <c r="F28" i="93"/>
  <c r="D29" i="93"/>
  <c r="F31" i="93"/>
  <c r="L33" i="93"/>
  <c r="N33" i="93" l="1"/>
  <c r="H31" i="93"/>
  <c r="L19" i="93"/>
  <c r="F13" i="93"/>
  <c r="M20" i="94"/>
  <c r="E16" i="93"/>
  <c r="L31" i="93"/>
  <c r="N31" i="93" s="1"/>
  <c r="F27" i="93"/>
  <c r="F29" i="93" s="1"/>
  <c r="H20" i="93"/>
  <c r="F19" i="93"/>
  <c r="H19" i="93" s="1"/>
  <c r="F15" i="93"/>
  <c r="H15" i="93" s="1"/>
  <c r="F33" i="93"/>
  <c r="H33" i="93" s="1"/>
  <c r="E29" i="93"/>
  <c r="L21" i="93"/>
  <c r="N21" i="93" s="1"/>
  <c r="J16" i="93"/>
  <c r="N14" i="93"/>
  <c r="L8" i="93"/>
  <c r="L9" i="93" s="1"/>
  <c r="E20" i="94"/>
  <c r="O13" i="94"/>
  <c r="F20" i="93"/>
  <c r="K20" i="94"/>
  <c r="E22" i="93"/>
  <c r="E35" i="93" s="1"/>
  <c r="O7" i="94"/>
  <c r="O20" i="94" s="1"/>
  <c r="G20" i="94"/>
  <c r="F31" i="74"/>
  <c r="H13" i="93"/>
  <c r="K29" i="93"/>
  <c r="N15" i="93"/>
  <c r="K16" i="93"/>
  <c r="H28" i="93"/>
  <c r="F24" i="93"/>
  <c r="H24" i="93" s="1"/>
  <c r="L12" i="93"/>
  <c r="L16" i="93" s="1"/>
  <c r="D16" i="93"/>
  <c r="L20" i="93"/>
  <c r="N20" i="93" s="1"/>
  <c r="L28" i="93"/>
  <c r="N28" i="93" s="1"/>
  <c r="J22" i="93"/>
  <c r="J35" i="93" s="1"/>
  <c r="F21" i="93"/>
  <c r="H21" i="93" s="1"/>
  <c r="N13" i="93"/>
  <c r="N24" i="93"/>
  <c r="L27" i="93"/>
  <c r="N27" i="93" s="1"/>
  <c r="K22" i="93"/>
  <c r="F14" i="93"/>
  <c r="H14" i="93" s="1"/>
  <c r="H12" i="93"/>
  <c r="H8" i="93"/>
  <c r="N19" i="93"/>
  <c r="D9" i="93"/>
  <c r="H27" i="93" l="1"/>
  <c r="P15" i="93"/>
  <c r="D35" i="93"/>
  <c r="P33" i="93"/>
  <c r="P28" i="93"/>
  <c r="P31" i="93"/>
  <c r="H29" i="93"/>
  <c r="P13" i="93"/>
  <c r="P24" i="93"/>
  <c r="P14" i="93"/>
  <c r="L29" i="93"/>
  <c r="N29" i="93"/>
  <c r="P20" i="93"/>
  <c r="L22" i="93"/>
  <c r="N8" i="93"/>
  <c r="N9" i="93" s="1"/>
  <c r="H22" i="93"/>
  <c r="P21" i="93"/>
  <c r="K35" i="93"/>
  <c r="N22" i="93"/>
  <c r="F16" i="93"/>
  <c r="P27" i="93"/>
  <c r="N12" i="93"/>
  <c r="N16" i="93" s="1"/>
  <c r="F22" i="93"/>
  <c r="P8" i="93"/>
  <c r="P9" i="93" s="1"/>
  <c r="H9" i="93"/>
  <c r="H16" i="93"/>
  <c r="P19" i="93"/>
  <c r="L35" i="93" l="1"/>
  <c r="P29" i="93"/>
  <c r="P22" i="93"/>
  <c r="F35" i="93"/>
  <c r="P12" i="93"/>
  <c r="P16" i="93" s="1"/>
  <c r="H35" i="93"/>
  <c r="N35" i="93"/>
  <c r="P35" i="93" l="1"/>
  <c r="H6" i="74"/>
  <c r="E6" i="74"/>
  <c r="D6" i="74"/>
  <c r="A31" i="92"/>
  <c r="A32" i="92" s="1"/>
  <c r="A33" i="92" s="1"/>
  <c r="A34" i="92" s="1"/>
  <c r="F27" i="92"/>
  <c r="I19" i="92"/>
  <c r="H19" i="92"/>
  <c r="J19" i="92" s="1"/>
  <c r="H10" i="92"/>
  <c r="E10" i="92"/>
  <c r="D10" i="92"/>
  <c r="F10" i="92" s="1"/>
  <c r="E13" i="92"/>
  <c r="D13" i="92"/>
  <c r="F13" i="92" s="1"/>
  <c r="F6" i="92"/>
  <c r="F11" i="92" l="1"/>
  <c r="H11" i="92"/>
  <c r="I11" i="92"/>
  <c r="E15" i="92"/>
  <c r="J6" i="92"/>
  <c r="H27" i="92"/>
  <c r="F19" i="92"/>
  <c r="I27" i="92"/>
  <c r="F9" i="92"/>
  <c r="I10" i="92"/>
  <c r="J10" i="92" s="1"/>
  <c r="D15" i="92"/>
  <c r="H9" i="92"/>
  <c r="I9" i="92"/>
  <c r="J9" i="92" l="1"/>
  <c r="H13" i="92"/>
  <c r="F25" i="92"/>
  <c r="F28" i="92" s="1"/>
  <c r="F29" i="92" s="1"/>
  <c r="D28" i="92"/>
  <c r="D29" i="92" s="1"/>
  <c r="F15" i="92"/>
  <c r="E21" i="92"/>
  <c r="I18" i="92"/>
  <c r="I21" i="92" s="1"/>
  <c r="I13" i="92"/>
  <c r="I15" i="92" s="1"/>
  <c r="J11" i="92"/>
  <c r="E28" i="92"/>
  <c r="E29" i="92" s="1"/>
  <c r="J27" i="92"/>
  <c r="F26" i="92"/>
  <c r="H28" i="92" l="1"/>
  <c r="J25" i="92"/>
  <c r="J28" i="92" s="1"/>
  <c r="J29" i="92" s="1"/>
  <c r="D21" i="92"/>
  <c r="F21" i="92" s="1"/>
  <c r="H18" i="92"/>
  <c r="F18" i="92"/>
  <c r="J26" i="92"/>
  <c r="I28" i="92"/>
  <c r="J13" i="92"/>
  <c r="H15" i="92"/>
  <c r="J15" i="92" s="1"/>
  <c r="H29" i="92" l="1"/>
  <c r="H31" i="92"/>
  <c r="H32" i="92" s="1"/>
  <c r="I29" i="92"/>
  <c r="I31" i="92"/>
  <c r="I32" i="92" s="1"/>
  <c r="J18" i="92"/>
  <c r="H21" i="92"/>
  <c r="J21" i="92" s="1"/>
  <c r="K9" i="91" l="1"/>
  <c r="D9" i="91"/>
  <c r="H10" i="91"/>
  <c r="F30" i="91" s="1"/>
  <c r="K10" i="91"/>
  <c r="H11" i="91"/>
  <c r="F31" i="91" s="1"/>
  <c r="K11" i="91"/>
  <c r="E13" i="91"/>
  <c r="K13" i="91"/>
  <c r="H14" i="91"/>
  <c r="K14" i="91"/>
  <c r="H15" i="91"/>
  <c r="F35" i="91" s="1"/>
  <c r="K15" i="91"/>
  <c r="H16" i="91"/>
  <c r="H17" i="91" s="1"/>
  <c r="K16" i="91"/>
  <c r="I22" i="91"/>
  <c r="J22" i="91"/>
  <c r="F29" i="91"/>
  <c r="B29" i="91"/>
  <c r="C29" i="91" s="1"/>
  <c r="D29" i="91"/>
  <c r="E29" i="91"/>
  <c r="B30" i="91"/>
  <c r="B31" i="91"/>
  <c r="B32" i="91"/>
  <c r="F33" i="91"/>
  <c r="B33" i="91"/>
  <c r="F34" i="91"/>
  <c r="B34" i="91"/>
  <c r="B35" i="91"/>
  <c r="F36" i="91"/>
  <c r="B36" i="91"/>
  <c r="B37" i="91"/>
  <c r="B38" i="91"/>
  <c r="B39" i="91"/>
  <c r="B40" i="91"/>
  <c r="B40" i="90"/>
  <c r="B39" i="90"/>
  <c r="B38" i="90"/>
  <c r="B37" i="90"/>
  <c r="B36" i="90"/>
  <c r="B35" i="90"/>
  <c r="B34" i="90"/>
  <c r="B33" i="90"/>
  <c r="F33" i="90"/>
  <c r="B32" i="90"/>
  <c r="B31" i="90"/>
  <c r="B30" i="90"/>
  <c r="E29" i="90"/>
  <c r="D29" i="90"/>
  <c r="B29" i="90"/>
  <c r="C29" i="90" s="1"/>
  <c r="F29" i="90"/>
  <c r="J22" i="90"/>
  <c r="I22" i="90"/>
  <c r="H14" i="90"/>
  <c r="F34" i="90" s="1"/>
  <c r="J13" i="90"/>
  <c r="K13" i="90" s="1"/>
  <c r="H10" i="90"/>
  <c r="K10" i="90" s="1"/>
  <c r="D9" i="90"/>
  <c r="K9" i="90"/>
  <c r="L9" i="90" s="1"/>
  <c r="E30" i="91" l="1"/>
  <c r="G29" i="91"/>
  <c r="C9" i="91" s="1"/>
  <c r="F9" i="91" s="1"/>
  <c r="G9" i="91" s="1"/>
  <c r="C30" i="91"/>
  <c r="C31" i="91" s="1"/>
  <c r="C32" i="91" s="1"/>
  <c r="C33" i="91" s="1"/>
  <c r="E31" i="91"/>
  <c r="E32" i="91" s="1"/>
  <c r="E33" i="91" s="1"/>
  <c r="G29" i="90"/>
  <c r="C9" i="90" s="1"/>
  <c r="F9" i="90" s="1"/>
  <c r="G9" i="90" s="1"/>
  <c r="D10" i="91"/>
  <c r="D11" i="91" s="1"/>
  <c r="D12" i="91" s="1"/>
  <c r="H18" i="91"/>
  <c r="K17" i="91"/>
  <c r="F37" i="91"/>
  <c r="D30" i="91"/>
  <c r="L9" i="91"/>
  <c r="L10" i="91" s="1"/>
  <c r="L11" i="91" s="1"/>
  <c r="H12" i="91"/>
  <c r="L10" i="90"/>
  <c r="C30" i="90"/>
  <c r="C31" i="90" s="1"/>
  <c r="D10" i="90"/>
  <c r="D11" i="90" s="1"/>
  <c r="D30" i="90"/>
  <c r="E30" i="90"/>
  <c r="E13" i="90"/>
  <c r="F30" i="90"/>
  <c r="H11" i="90"/>
  <c r="H15" i="90"/>
  <c r="H17" i="90"/>
  <c r="K14" i="90"/>
  <c r="G30" i="91" l="1"/>
  <c r="C10" i="91" s="1"/>
  <c r="F10" i="91" s="1"/>
  <c r="G10" i="91" s="1"/>
  <c r="D12" i="90"/>
  <c r="D13" i="90" s="1"/>
  <c r="E34" i="91"/>
  <c r="E35" i="91" s="1"/>
  <c r="E36" i="91" s="1"/>
  <c r="F32" i="91"/>
  <c r="K12" i="91"/>
  <c r="L12" i="91" s="1"/>
  <c r="L13" i="91" s="1"/>
  <c r="L14" i="91" s="1"/>
  <c r="L15" i="91" s="1"/>
  <c r="L16" i="91" s="1"/>
  <c r="L17" i="91" s="1"/>
  <c r="L18" i="91" s="1"/>
  <c r="D13" i="91"/>
  <c r="D14" i="91" s="1"/>
  <c r="F38" i="91"/>
  <c r="H19" i="91"/>
  <c r="K18" i="91"/>
  <c r="D31" i="91"/>
  <c r="C34" i="91"/>
  <c r="K17" i="90"/>
  <c r="F37" i="90"/>
  <c r="K15" i="90"/>
  <c r="H18" i="90"/>
  <c r="H16" i="90"/>
  <c r="F35" i="90"/>
  <c r="G30" i="90"/>
  <c r="C10" i="90" s="1"/>
  <c r="F10" i="90" s="1"/>
  <c r="G10" i="90" s="1"/>
  <c r="D31" i="90"/>
  <c r="D32" i="90"/>
  <c r="K11" i="90"/>
  <c r="H12" i="90"/>
  <c r="F31" i="90"/>
  <c r="E31" i="90"/>
  <c r="C32" i="90"/>
  <c r="C33" i="90" s="1"/>
  <c r="D14" i="90" l="1"/>
  <c r="D15" i="90" s="1"/>
  <c r="E37" i="91"/>
  <c r="G31" i="91"/>
  <c r="C11" i="91" s="1"/>
  <c r="F11" i="91" s="1"/>
  <c r="G11" i="91" s="1"/>
  <c r="D15" i="91"/>
  <c r="C35" i="91"/>
  <c r="C36" i="91"/>
  <c r="H20" i="91"/>
  <c r="F39" i="91"/>
  <c r="K19" i="91"/>
  <c r="L19" i="91" s="1"/>
  <c r="E38" i="91"/>
  <c r="E39" i="91" s="1"/>
  <c r="E40" i="91" s="1"/>
  <c r="D32" i="91"/>
  <c r="G32" i="91" s="1"/>
  <c r="C12" i="91" s="1"/>
  <c r="F12" i="91" s="1"/>
  <c r="K12" i="90"/>
  <c r="F32" i="90"/>
  <c r="E32" i="90"/>
  <c r="G32" i="90" s="1"/>
  <c r="C12" i="90" s="1"/>
  <c r="F12" i="90" s="1"/>
  <c r="D33" i="90"/>
  <c r="D34" i="90" s="1"/>
  <c r="E33" i="90"/>
  <c r="K18" i="90"/>
  <c r="H19" i="90"/>
  <c r="F38" i="90"/>
  <c r="G31" i="90"/>
  <c r="C11" i="90" s="1"/>
  <c r="F11" i="90" s="1"/>
  <c r="G11" i="90" s="1"/>
  <c r="C34" i="90"/>
  <c r="C35" i="90" s="1"/>
  <c r="L11" i="90"/>
  <c r="L12" i="90" s="1"/>
  <c r="L13" i="90" s="1"/>
  <c r="L14" i="90" s="1"/>
  <c r="L15" i="90" s="1"/>
  <c r="K16" i="90"/>
  <c r="F36" i="90"/>
  <c r="G12" i="90" l="1"/>
  <c r="D16" i="90"/>
  <c r="D17" i="90" s="1"/>
  <c r="D18" i="90" s="1"/>
  <c r="D19" i="90" s="1"/>
  <c r="D20" i="90" s="1"/>
  <c r="D16" i="91"/>
  <c r="D17" i="91" s="1"/>
  <c r="G12" i="91"/>
  <c r="K20" i="91"/>
  <c r="L20" i="91" s="1"/>
  <c r="F40" i="91"/>
  <c r="H22" i="91"/>
  <c r="D33" i="91"/>
  <c r="C37" i="91"/>
  <c r="C38" i="91" s="1"/>
  <c r="K22" i="91"/>
  <c r="H22" i="90"/>
  <c r="E34" i="90"/>
  <c r="G34" i="90" s="1"/>
  <c r="C14" i="90" s="1"/>
  <c r="F14" i="90" s="1"/>
  <c r="C36" i="90"/>
  <c r="C37" i="90"/>
  <c r="L16" i="90"/>
  <c r="L17" i="90" s="1"/>
  <c r="L18" i="90" s="1"/>
  <c r="L19" i="90" s="1"/>
  <c r="D35" i="90"/>
  <c r="G33" i="90"/>
  <c r="C13" i="90" s="1"/>
  <c r="F13" i="90" s="1"/>
  <c r="G13" i="90" s="1"/>
  <c r="K19" i="90"/>
  <c r="H20" i="90"/>
  <c r="F39" i="90"/>
  <c r="E35" i="90"/>
  <c r="G14" i="90" l="1"/>
  <c r="D18" i="91"/>
  <c r="C39" i="91"/>
  <c r="G35" i="90"/>
  <c r="C15" i="90" s="1"/>
  <c r="F15" i="90" s="1"/>
  <c r="D19" i="91"/>
  <c r="C40" i="91"/>
  <c r="G33" i="91"/>
  <c r="C13" i="91" s="1"/>
  <c r="F13" i="91" s="1"/>
  <c r="G13" i="91" s="1"/>
  <c r="D34" i="91"/>
  <c r="L20" i="90"/>
  <c r="E36" i="90"/>
  <c r="D36" i="90"/>
  <c r="C38" i="90"/>
  <c r="K20" i="90"/>
  <c r="K22" i="90" s="1"/>
  <c r="F40" i="90"/>
  <c r="G36" i="90" l="1"/>
  <c r="C16" i="90" s="1"/>
  <c r="F16" i="90" s="1"/>
  <c r="G15" i="90"/>
  <c r="D20" i="91"/>
  <c r="G34" i="91"/>
  <c r="C14" i="91" s="1"/>
  <c r="F14" i="91" s="1"/>
  <c r="G14" i="91" s="1"/>
  <c r="D35" i="91"/>
  <c r="C39" i="90"/>
  <c r="D37" i="90"/>
  <c r="E37" i="90"/>
  <c r="E38" i="90" s="1"/>
  <c r="E39" i="90" s="1"/>
  <c r="E40" i="90" s="1"/>
  <c r="G16" i="90" l="1"/>
  <c r="G35" i="91"/>
  <c r="C15" i="91" s="1"/>
  <c r="F15" i="91" s="1"/>
  <c r="G15" i="91" s="1"/>
  <c r="D36" i="91"/>
  <c r="C40" i="90"/>
  <c r="D38" i="90"/>
  <c r="G37" i="90"/>
  <c r="C17" i="90" s="1"/>
  <c r="F17" i="90" s="1"/>
  <c r="G17" i="90" l="1"/>
  <c r="G36" i="91"/>
  <c r="C16" i="91" s="1"/>
  <c r="F16" i="91" s="1"/>
  <c r="G16" i="91" s="1"/>
  <c r="D37" i="91"/>
  <c r="D39" i="90"/>
  <c r="G38" i="90"/>
  <c r="C18" i="90" s="1"/>
  <c r="F18" i="90" s="1"/>
  <c r="G18" i="90" s="1"/>
  <c r="G37" i="91" l="1"/>
  <c r="C17" i="91" s="1"/>
  <c r="F17" i="91" s="1"/>
  <c r="G17" i="91" s="1"/>
  <c r="D38" i="91"/>
  <c r="D40" i="90"/>
  <c r="G40" i="90" s="1"/>
  <c r="C20" i="90" s="1"/>
  <c r="F20" i="90" s="1"/>
  <c r="G39" i="90"/>
  <c r="C19" i="90" s="1"/>
  <c r="F19" i="90" s="1"/>
  <c r="G19" i="90" s="1"/>
  <c r="G20" i="90" l="1"/>
  <c r="D21" i="74" s="1"/>
  <c r="G38" i="91"/>
  <c r="C18" i="91" s="1"/>
  <c r="F18" i="91" s="1"/>
  <c r="G18" i="91" s="1"/>
  <c r="D39" i="91"/>
  <c r="G39" i="91" l="1"/>
  <c r="C19" i="91" s="1"/>
  <c r="F19" i="91" s="1"/>
  <c r="G19" i="91" s="1"/>
  <c r="D40" i="91"/>
  <c r="G40" i="91" s="1"/>
  <c r="C20" i="91" s="1"/>
  <c r="F20" i="91" s="1"/>
  <c r="G20" i="91" l="1"/>
  <c r="E21" i="74" s="1"/>
  <c r="A7" i="74" l="1"/>
  <c r="A8" i="74"/>
  <c r="A9" i="74"/>
  <c r="A10" i="74"/>
  <c r="A11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30" i="74"/>
  <c r="A32" i="74"/>
  <c r="A33" i="74"/>
  <c r="A34" i="74"/>
  <c r="A35" i="74"/>
  <c r="A36" i="74"/>
  <c r="A37" i="74"/>
  <c r="A38" i="74"/>
  <c r="A6" i="74"/>
  <c r="I10" i="74" l="1"/>
  <c r="H10" i="74"/>
  <c r="E16" i="85" l="1"/>
  <c r="E18" i="85" s="1"/>
  <c r="E20" i="85" s="1"/>
  <c r="E16" i="86"/>
  <c r="E18" i="86" s="1"/>
  <c r="E20" i="86" s="1"/>
  <c r="B16" i="86"/>
  <c r="B16" i="85"/>
  <c r="E21" i="86" l="1"/>
  <c r="E22" i="86" s="1"/>
  <c r="I5" i="74"/>
  <c r="E21" i="85"/>
  <c r="H5" i="74"/>
  <c r="H31" i="74" l="1"/>
  <c r="H13" i="74"/>
  <c r="I13" i="74"/>
  <c r="E11" i="74"/>
  <c r="I30" i="74"/>
  <c r="I31" i="74"/>
  <c r="J31" i="74" s="1"/>
  <c r="H30" i="74"/>
  <c r="D11" i="74"/>
  <c r="D28" i="74" s="1"/>
  <c r="F30" i="74"/>
  <c r="J13" i="74" l="1"/>
  <c r="E15" i="74" l="1"/>
  <c r="D15" i="74"/>
  <c r="D27" i="74" l="1"/>
  <c r="D32" i="74" s="1"/>
  <c r="E27" i="74"/>
  <c r="I9" i="74"/>
  <c r="I27" i="74" l="1"/>
  <c r="E28" i="74"/>
  <c r="E32" i="74" s="1"/>
  <c r="J30" i="74"/>
  <c r="H9" i="74"/>
  <c r="F9" i="74"/>
  <c r="H27" i="74" l="1"/>
  <c r="J9" i="74"/>
  <c r="J27" i="74" l="1"/>
  <c r="H11" i="74"/>
  <c r="H15" i="74" s="1"/>
  <c r="H14" i="74" l="1"/>
  <c r="H28" i="74"/>
  <c r="H32" i="74" s="1"/>
  <c r="H33" i="74" s="1"/>
  <c r="I11" i="74"/>
  <c r="I15" i="74" s="1"/>
  <c r="F11" i="74"/>
  <c r="I14" i="74" l="1"/>
  <c r="I28" i="74"/>
  <c r="I32" i="74" s="1"/>
  <c r="J11" i="74"/>
  <c r="I33" i="74" l="1"/>
  <c r="I21" i="74"/>
  <c r="H21" i="74"/>
  <c r="F21" i="74"/>
  <c r="F28" i="74" l="1"/>
  <c r="F27" i="74"/>
  <c r="J21" i="74"/>
  <c r="F32" i="74" l="1"/>
  <c r="J28" i="74"/>
  <c r="J32" i="74" s="1"/>
  <c r="E10" i="74"/>
  <c r="E33" i="74" s="1"/>
  <c r="I35" i="74" l="1"/>
  <c r="I36" i="74" s="1"/>
  <c r="E17" i="74" l="1"/>
  <c r="E20" i="74" s="1"/>
  <c r="I17" i="74"/>
  <c r="I20" i="74" l="1"/>
  <c r="I23" i="74" s="1"/>
  <c r="E23" i="74" l="1"/>
  <c r="D10" i="74"/>
  <c r="D33" i="74" s="1"/>
  <c r="F6" i="74"/>
  <c r="F10" i="74" l="1"/>
  <c r="J6" i="74"/>
  <c r="H35" i="74"/>
  <c r="H36" i="74" s="1"/>
  <c r="F15" i="74" l="1"/>
  <c r="F33" i="74" s="1"/>
  <c r="D17" i="74"/>
  <c r="D20" i="74" s="1"/>
  <c r="J10" i="74"/>
  <c r="H20" i="74" l="1"/>
  <c r="J15" i="74"/>
  <c r="J33" i="74" s="1"/>
  <c r="H17" i="74"/>
  <c r="F17" i="74"/>
  <c r="D23" i="74"/>
  <c r="F20" i="74" l="1"/>
  <c r="F23" i="74"/>
  <c r="J17" i="74"/>
  <c r="H23" i="74"/>
  <c r="J23" i="74" l="1"/>
  <c r="J20" i="74"/>
</calcChain>
</file>

<file path=xl/comments1.xml><?xml version="1.0" encoding="utf-8"?>
<comments xmlns="http://schemas.openxmlformats.org/spreadsheetml/2006/main">
  <authors>
    <author>Banda, Faith Chabwera</author>
  </authors>
  <commentList>
    <comment ref="E9" authorId="0" shapeId="0">
      <text>
        <r>
          <rPr>
            <b/>
            <sz val="9"/>
            <color indexed="81"/>
            <rFont val="Tahoma"/>
            <family val="2"/>
          </rPr>
          <t>Banda, Faith Chabwera:</t>
        </r>
        <r>
          <rPr>
            <sz val="9"/>
            <color indexed="81"/>
            <rFont val="Tahoma"/>
            <family val="2"/>
          </rPr>
          <t xml:space="preserve">
Montana Check Correction Payment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Banda, Faith Chabwera:</t>
        </r>
        <r>
          <rPr>
            <sz val="9"/>
            <color indexed="81"/>
            <rFont val="Tahoma"/>
            <family val="2"/>
          </rPr>
          <t xml:space="preserve">
Includes Transfer of $1,141,732.35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Banda, Faith Chabwera:</t>
        </r>
        <r>
          <rPr>
            <sz val="9"/>
            <color indexed="81"/>
            <rFont val="Tahoma"/>
            <family val="2"/>
          </rPr>
          <t xml:space="preserve">
Transfer of Sch141Z balance to Sch140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Banda, Faith Chabwera:</t>
        </r>
        <r>
          <rPr>
            <sz val="9"/>
            <color indexed="81"/>
            <rFont val="Tahoma"/>
            <family val="2"/>
          </rPr>
          <t xml:space="preserve">
Reverse Transfer</t>
        </r>
      </text>
    </comment>
  </commentList>
</comments>
</file>

<file path=xl/sharedStrings.xml><?xml version="1.0" encoding="utf-8"?>
<sst xmlns="http://schemas.openxmlformats.org/spreadsheetml/2006/main" count="595" uniqueCount="332">
  <si>
    <t>Electric</t>
  </si>
  <si>
    <t>Gas</t>
  </si>
  <si>
    <t>Total</t>
  </si>
  <si>
    <t>Rate Increase</t>
  </si>
  <si>
    <t>Base Property Tax Revenue Requirement (140A)</t>
  </si>
  <si>
    <t>Components of Revenue Requirement Increase:</t>
  </si>
  <si>
    <t>Add Increment to New Cash Payment</t>
  </si>
  <si>
    <t>Net Change in Load True-Up</t>
  </si>
  <si>
    <t>Description</t>
  </si>
  <si>
    <t>Montana</t>
  </si>
  <si>
    <t>Oregon</t>
  </si>
  <si>
    <t>Balance</t>
  </si>
  <si>
    <t>CONVERSION FACTOR</t>
  </si>
  <si>
    <t>LINE</t>
  </si>
  <si>
    <t>NO.</t>
  </si>
  <si>
    <t>DESCRIPTION</t>
  </si>
  <si>
    <t>BAD DEBTS</t>
  </si>
  <si>
    <t>ANNUAL FILING FEE</t>
  </si>
  <si>
    <t>SUM OF TAXES OTHER</t>
  </si>
  <si>
    <t xml:space="preserve">New Revenue Requirement </t>
  </si>
  <si>
    <t>Pre-Revenue Sensitive Items (RSI)</t>
  </si>
  <si>
    <t>Grossed Up for RSI</t>
  </si>
  <si>
    <t>= 1</t>
  </si>
  <si>
    <t>= 1 + 6</t>
  </si>
  <si>
    <t>= 3 - 4 + 5</t>
  </si>
  <si>
    <t xml:space="preserve">Per section "e" of the tariff, where the increase or decrease results in an amount that is less than 1% of the prior year Revenue Requirement, </t>
  </si>
  <si>
    <t>the existing tariff rates will not be changed and the filing will consist of a letter explaining that no tariff change is required.</t>
  </si>
  <si>
    <t>(e) = (c * d)</t>
  </si>
  <si>
    <t>(d)</t>
  </si>
  <si>
    <t>(c) = (b - a)</t>
  </si>
  <si>
    <t>(b)</t>
  </si>
  <si>
    <t>(a)</t>
  </si>
  <si>
    <t>(c) = (a - b)</t>
  </si>
  <si>
    <t>Total Variance</t>
  </si>
  <si>
    <t>Variance</t>
  </si>
  <si>
    <t>Schedule</t>
  </si>
  <si>
    <t>Line No.</t>
  </si>
  <si>
    <t>Puget Sound Energy</t>
  </si>
  <si>
    <t>Rate Schedule</t>
  </si>
  <si>
    <t>Load Variance (Therms)</t>
  </si>
  <si>
    <t>Contracts</t>
  </si>
  <si>
    <t xml:space="preserve">Total </t>
  </si>
  <si>
    <t>Residential</t>
  </si>
  <si>
    <t>Interruptible</t>
  </si>
  <si>
    <t>Total Residential</t>
  </si>
  <si>
    <t>Secondary Voltage</t>
  </si>
  <si>
    <t>Demand &lt;= 50 kW</t>
  </si>
  <si>
    <t>8 / 24</t>
  </si>
  <si>
    <t>Demand &gt; 50 kW but &lt;= 350 kW</t>
  </si>
  <si>
    <t>7A / 11 / 25</t>
  </si>
  <si>
    <t>Demand &gt; 350 kW</t>
  </si>
  <si>
    <t>12 / 26 / 26P</t>
  </si>
  <si>
    <t>Seasonal Irrigation &amp; Drainage Pumping</t>
  </si>
  <si>
    <t>Total Secondary Voltage</t>
  </si>
  <si>
    <t>Primary Voltage</t>
  </si>
  <si>
    <t>General Service</t>
  </si>
  <si>
    <t>10 / 31</t>
  </si>
  <si>
    <t>Interruptible Total Electric Schools</t>
  </si>
  <si>
    <t>Total Primary Voltage</t>
  </si>
  <si>
    <t>High Voltage</t>
  </si>
  <si>
    <t>Total High Voltage</t>
  </si>
  <si>
    <t>Lighting</t>
  </si>
  <si>
    <t>50-59</t>
  </si>
  <si>
    <t>Total Choice /Retail Wheeling</t>
  </si>
  <si>
    <t>Total Jurisdictional Retail Sales</t>
  </si>
  <si>
    <t>Change</t>
  </si>
  <si>
    <t>July</t>
  </si>
  <si>
    <t>Increase as a percent of prior year's revenue</t>
  </si>
  <si>
    <t>requirement Filing Required?</t>
  </si>
  <si>
    <t>18238041 Current Period Deferral</t>
  </si>
  <si>
    <t>18238031 Prior Period Deferral</t>
  </si>
  <si>
    <t>Estimated</t>
  </si>
  <si>
    <t>Booked</t>
  </si>
  <si>
    <t>Received</t>
  </si>
  <si>
    <t>Year End</t>
  </si>
  <si>
    <t>To</t>
  </si>
  <si>
    <t>in</t>
  </si>
  <si>
    <t>to</t>
  </si>
  <si>
    <t>Deferral</t>
  </si>
  <si>
    <t>Net</t>
  </si>
  <si>
    <t>Month</t>
  </si>
  <si>
    <t>Accrual</t>
  </si>
  <si>
    <t>Payable</t>
  </si>
  <si>
    <t>Revenue</t>
  </si>
  <si>
    <t>Transfer</t>
  </si>
  <si>
    <t>Amortization</t>
  </si>
  <si>
    <t>True-Up</t>
  </si>
  <si>
    <t>(includes amort &amp; amort rev)</t>
  </si>
  <si>
    <t>Beginning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</si>
  <si>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</si>
  <si>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</si>
  <si>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</si>
  <si>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</si>
  <si>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</si>
  <si>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</si>
  <si>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</si>
  <si>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</si>
  <si>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</si>
  <si>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</si>
  <si>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</si>
  <si>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(Counties)</t>
  </si>
  <si>
    <t>(Cities)</t>
  </si>
  <si>
    <t>Prior Year</t>
  </si>
  <si>
    <t>Property Taxes</t>
  </si>
  <si>
    <t>Suface Water</t>
  </si>
  <si>
    <t>Tax Bill</t>
  </si>
  <si>
    <t>(Annual)</t>
  </si>
  <si>
    <t>(Monthly)</t>
  </si>
  <si>
    <t>Mgmt Fees</t>
  </si>
  <si>
    <t>Corrections</t>
  </si>
  <si>
    <t>Activity</t>
  </si>
  <si>
    <t>18238042 Current Period Deferral</t>
  </si>
  <si>
    <t>18238032 Prior Period Deferral</t>
  </si>
  <si>
    <t>May-Dec Variance</t>
  </si>
  <si>
    <t>&lt;==Check Load</t>
  </si>
  <si>
    <t>Revenue Requirement Increase / (Decrease)</t>
  </si>
  <si>
    <t>Total Variance ($)</t>
  </si>
  <si>
    <t>Residential Propane</t>
  </si>
  <si>
    <t>Commercial &amp; Industrial - Sales</t>
  </si>
  <si>
    <t>31T</t>
  </si>
  <si>
    <t>Commercial &amp; Industrial - Transportation</t>
  </si>
  <si>
    <t>Large Vol. High Load Factor - Sales</t>
  </si>
  <si>
    <t>41T</t>
  </si>
  <si>
    <t>Large Vol. High Load Factor - Transportation</t>
  </si>
  <si>
    <t>Interruptible - Sales</t>
  </si>
  <si>
    <t>85T</t>
  </si>
  <si>
    <t>Interruptible - Transportation</t>
  </si>
  <si>
    <t>Limited Interruptible - Sales</t>
  </si>
  <si>
    <t>86T</t>
  </si>
  <si>
    <t>Limited Interruptible - Transportation</t>
  </si>
  <si>
    <t>Non-exclusive Interruptible - Sales</t>
  </si>
  <si>
    <t>87T</t>
  </si>
  <si>
    <t>Non-exclusive Interruptible - Transportation</t>
  </si>
  <si>
    <t>Property Tax Variance Calculation</t>
  </si>
  <si>
    <t>= 7 - 9</t>
  </si>
  <si>
    <t>Step 1:</t>
  </si>
  <si>
    <t>Updated by Property Tax</t>
  </si>
  <si>
    <t>YTD</t>
  </si>
  <si>
    <t>relink cells</t>
  </si>
  <si>
    <t>Gas Schedule 140 Property Tax Tracker</t>
  </si>
  <si>
    <t>Revenue Variance</t>
  </si>
  <si>
    <t>16 &amp; 23</t>
  </si>
  <si>
    <t>449/459</t>
  </si>
  <si>
    <t>Revenue Requirement from 2022 Filing</t>
  </si>
  <si>
    <t>Cash Payment expected to be made 2023</t>
  </si>
  <si>
    <t>Schedule 140 Rates Effective May 1, 2022</t>
  </si>
  <si>
    <t>Special Contract</t>
  </si>
  <si>
    <t>SC</t>
  </si>
  <si>
    <r>
      <t xml:space="preserve">Property Tax Revenue Requirement - </t>
    </r>
    <r>
      <rPr>
        <b/>
        <sz val="14"/>
        <rFont val="Calibri"/>
        <family val="2"/>
      </rPr>
      <t>FINAL</t>
    </r>
    <r>
      <rPr>
        <b/>
        <sz val="14"/>
        <rFont val="Calibri"/>
        <family val="2"/>
        <scheme val="minor"/>
      </rPr>
      <t xml:space="preserve"> Filing - March, 2023</t>
    </r>
  </si>
  <si>
    <t>One time transfer of Schedule 141X residual balance</t>
  </si>
  <si>
    <t xml:space="preserve">Property Tax Revenue Requirement (without 141X) </t>
  </si>
  <si>
    <t>Change in Revenue Requirement (including 141X)</t>
  </si>
  <si>
    <t>2022 GENERAL RATE CASE</t>
  </si>
  <si>
    <t>%'s</t>
  </si>
  <si>
    <t>RATE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</si>
  <si>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</si>
  <si>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</si>
  <si>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</si>
  <si>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</si>
  <si>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PUGET SOUND ENERGY - ELECTRIC</t>
  </si>
  <si>
    <t>ELECTRIC RESULTS OF OPERATIONS</t>
  </si>
  <si>
    <t>12 MONTHS ENDED JUNE 30, 2021</t>
  </si>
  <si>
    <t>RATE YEARS CALENDAR 2023 AND 2024</t>
  </si>
  <si>
    <t>Electric Conversion Factor from UE-220066 updated for new Annual Filing Fee Rate</t>
  </si>
  <si>
    <t>`</t>
  </si>
  <si>
    <t>Deferral Revenue Requirement (140B) (with 141X residual  balance)</t>
  </si>
  <si>
    <t>= 8 + 9</t>
  </si>
  <si>
    <r>
      <t xml:space="preserve">Property Tax Revenue Requirement - </t>
    </r>
    <r>
      <rPr>
        <b/>
        <sz val="14"/>
        <rFont val="Calibri"/>
        <family val="2"/>
      </rPr>
      <t>FINAL</t>
    </r>
    <r>
      <rPr>
        <b/>
        <sz val="14"/>
        <rFont val="Calibri"/>
        <family val="2"/>
        <scheme val="minor"/>
      </rPr>
      <t xml:space="preserve"> Filing - March, 2024</t>
    </r>
  </si>
  <si>
    <t>Revenue Requirement from 2023 Filing</t>
  </si>
  <si>
    <t>Cash Payment expected to be made 2024</t>
  </si>
  <si>
    <t>One time transfer of Schedule 141Z residual balance</t>
  </si>
  <si>
    <t>= 6</t>
  </si>
  <si>
    <t>Property Tracker Charge Effective 5-1-23</t>
  </si>
  <si>
    <t>Actual 8 Months ended December 2023</t>
  </si>
  <si>
    <t>F2023 Projected 8 Months ended December 2023</t>
  </si>
  <si>
    <t>Jan 2023 to Apr 2023  Variance</t>
  </si>
  <si>
    <t>Property Tracker Charge Effective 
5-1-22</t>
  </si>
  <si>
    <t>Actual Delivered January 2023 to April 2023</t>
  </si>
  <si>
    <t>F2022 Projected January 2023 to April 2023</t>
  </si>
  <si>
    <t>Input</t>
  </si>
  <si>
    <t>Input cells</t>
  </si>
  <si>
    <t>True-up for 2022 Load Variance</t>
  </si>
  <si>
    <t xml:space="preserve">No longer included: Schedule 141X residual balance (2023 filing only) </t>
  </si>
  <si>
    <t xml:space="preserve">   True-up for 2023 Load Variance</t>
  </si>
  <si>
    <t>Schedule 140 Rates Effective May 1, 2023</t>
  </si>
  <si>
    <t xml:space="preserve">Change in Revenue Requirement </t>
  </si>
  <si>
    <t xml:space="preserve">Property Tax Revenue Requirement </t>
  </si>
  <si>
    <t xml:space="preserve">Deferral Revenue Requirement (140B) </t>
  </si>
  <si>
    <t>Components of Revenue Requirement Increase / (decrease):</t>
  </si>
  <si>
    <t>WA Electric</t>
  </si>
  <si>
    <t>WA Gas</t>
  </si>
  <si>
    <t>Grand Total</t>
  </si>
  <si>
    <t xml:space="preserve">Electric </t>
  </si>
  <si>
    <t xml:space="preserve">   True-up for 2023 Tax Payment Variance</t>
  </si>
  <si>
    <t>Net Change in Tax Payment True-Up</t>
  </si>
  <si>
    <t>= 9 - 10 + 11 +12 +13</t>
  </si>
  <si>
    <t>= 6 + 15</t>
  </si>
  <si>
    <t>= 17 - 21</t>
  </si>
  <si>
    <t>= 20 + 21</t>
  </si>
  <si>
    <t>Total Billed - Aug Unbilled</t>
  </si>
  <si>
    <t>Conversion Factor</t>
  </si>
  <si>
    <t>Gas Unbilled Reversal</t>
  </si>
  <si>
    <t>Sep 2023 - Dec 2023</t>
  </si>
  <si>
    <t>Electric Unbilled Reversal</t>
  </si>
  <si>
    <t>G Sch. 140 Amortization</t>
  </si>
  <si>
    <t xml:space="preserve">Cr.  </t>
  </si>
  <si>
    <t>Gas Sch. 140 Tracker</t>
  </si>
  <si>
    <t>Dr.</t>
  </si>
  <si>
    <t>E Sch. 140 Amortization</t>
  </si>
  <si>
    <t>Cr.</t>
  </si>
  <si>
    <t>Electric Sch. 140 Tracker</t>
  </si>
  <si>
    <t>Order</t>
  </si>
  <si>
    <t>Account/CE</t>
  </si>
  <si>
    <t>JE's to transfer residual Sch. 141Z over-passback to Sch. 140.</t>
  </si>
  <si>
    <t>Gas Billed 141Z Revenue</t>
  </si>
  <si>
    <t>Electric Billed 141Z Revenue</t>
  </si>
  <si>
    <t>(credits provided - I/S Debit)</t>
  </si>
  <si>
    <t>over-pass-back</t>
  </si>
  <si>
    <t>(reversal of estimated credits - I/S Credit - already net of conversion factor)</t>
  </si>
  <si>
    <t>(reversal of estimated credits - I/S Credit - already net of converstion factor)</t>
  </si>
  <si>
    <t>WA Electric (est)</t>
  </si>
  <si>
    <t>paid in 2024</t>
  </si>
  <si>
    <t>WA Gas (est)</t>
  </si>
  <si>
    <t>paid in 2023</t>
  </si>
  <si>
    <t>January 2023 - December 2023</t>
  </si>
  <si>
    <t>Jan - Apr 2023 (F2022 Forecasted Therms)</t>
  </si>
  <si>
    <t>Jan - Apr 2023 (Actual Therms)</t>
  </si>
  <si>
    <t>Jan - Apr 2023 Variance ($)</t>
  </si>
  <si>
    <t>May - Dec 2023 (F2022 Forecasted Therms)</t>
  </si>
  <si>
    <t>May - Dec 2023 (Actual Therms)</t>
  </si>
  <si>
    <t>May - Dec 2023 Variance ($)</t>
  </si>
  <si>
    <t>WSA-Tracker filing 3-11-24</t>
  </si>
  <si>
    <t xml:space="preserve">Tab: </t>
  </si>
  <si>
    <t>Source: H:\Property Tax\10 Washington\WA Electric\WA-Electric Payments\22-23 Tax Year\WS23-24.xlsx</t>
  </si>
  <si>
    <t>Change vs. PY</t>
  </si>
  <si>
    <t>*As of 3/11/24</t>
  </si>
  <si>
    <t>NOTES</t>
  </si>
  <si>
    <t>Total Payment</t>
  </si>
  <si>
    <t>A</t>
  </si>
  <si>
    <t>WHITMAN</t>
  </si>
  <si>
    <t>E</t>
  </si>
  <si>
    <t>WHATCOM</t>
  </si>
  <si>
    <t>Walla Walla</t>
  </si>
  <si>
    <t>THURSTON</t>
  </si>
  <si>
    <t>SPOKANE</t>
  </si>
  <si>
    <t>SNOHOMISH</t>
  </si>
  <si>
    <t>SKAGIT</t>
  </si>
  <si>
    <t>PIERCE</t>
  </si>
  <si>
    <t>LEWIS</t>
  </si>
  <si>
    <t>KLICKITAT</t>
  </si>
  <si>
    <t>KITTITAS</t>
  </si>
  <si>
    <t>KITSAP</t>
  </si>
  <si>
    <t>KING</t>
  </si>
  <si>
    <t>JEFFERSON</t>
  </si>
  <si>
    <t>ISLAND</t>
  </si>
  <si>
    <t>GRANT</t>
  </si>
  <si>
    <t>GARFIELD</t>
  </si>
  <si>
    <t>FRANKLIN</t>
  </si>
  <si>
    <t xml:space="preserve">DOUGLAS </t>
  </si>
  <si>
    <t>COWLITZ</t>
  </si>
  <si>
    <t>COLUMBIA</t>
  </si>
  <si>
    <t>CHELAN</t>
  </si>
  <si>
    <t>BENTON</t>
  </si>
  <si>
    <t xml:space="preserve">ADAMS </t>
  </si>
  <si>
    <t>(E) - (G)</t>
  </si>
  <si>
    <t>(C) + (D)</t>
  </si>
  <si>
    <t>A/C 23700833</t>
  </si>
  <si>
    <t>(A) + (B)</t>
  </si>
  <si>
    <t>(as of 3/11/24)</t>
  </si>
  <si>
    <t>22-23</t>
  </si>
  <si>
    <t>A/C 23600201</t>
  </si>
  <si>
    <t>Taxes</t>
  </si>
  <si>
    <t>Personal</t>
  </si>
  <si>
    <t>Real</t>
  </si>
  <si>
    <t>Act*</t>
  </si>
  <si>
    <t>Payment in 2024</t>
  </si>
  <si>
    <t>( ) = Decrease</t>
  </si>
  <si>
    <t>Yr Taxes</t>
  </si>
  <si>
    <t>Total Taxes</t>
  </si>
  <si>
    <t xml:space="preserve">Penalty </t>
  </si>
  <si>
    <t>Special</t>
  </si>
  <si>
    <t>Assessed</t>
  </si>
  <si>
    <t xml:space="preserve">Assessed </t>
  </si>
  <si>
    <t>Centrally Assessed Taxes</t>
  </si>
  <si>
    <t>Est/</t>
  </si>
  <si>
    <t>COUNTY</t>
  </si>
  <si>
    <t>ID #</t>
  </si>
  <si>
    <t>Total Estimated</t>
  </si>
  <si>
    <t>Prior</t>
  </si>
  <si>
    <t>Locally</t>
  </si>
  <si>
    <t xml:space="preserve">Total Centrally </t>
  </si>
  <si>
    <t>(H)</t>
  </si>
  <si>
    <t>(G)</t>
  </si>
  <si>
    <t>(E)</t>
  </si>
  <si>
    <t>(D)</t>
  </si>
  <si>
    <t>(C)</t>
  </si>
  <si>
    <t>(B)</t>
  </si>
  <si>
    <t>(A)</t>
  </si>
  <si>
    <t>(23-24)</t>
  </si>
  <si>
    <t>WORK SHEET "A"</t>
  </si>
  <si>
    <t>2023 Washington Property Tax Payment Schedule</t>
  </si>
  <si>
    <t>Property Tax Dept</t>
  </si>
  <si>
    <t>Puget  Sound Energy-ELECTRIC</t>
  </si>
  <si>
    <t>Tab: WSA-Tracker filing 3-11-24</t>
  </si>
  <si>
    <t>Source: H:\Property Tax\10 Washington\WA Gas\WA-Gas Payments\23-24 tax year\WS23-24NG.xlsx</t>
  </si>
  <si>
    <t>**Pierce excludes PLNG</t>
  </si>
  <si>
    <t>WALLA WALLA</t>
  </si>
  <si>
    <t>PIERCE**</t>
  </si>
  <si>
    <t>Kitsap</t>
  </si>
  <si>
    <t>Garfield</t>
  </si>
  <si>
    <t>Jefferson</t>
  </si>
  <si>
    <t>Cowlitz</t>
  </si>
  <si>
    <t>Columbia</t>
  </si>
  <si>
    <t>Benton</t>
  </si>
  <si>
    <t>(22-23)</t>
  </si>
  <si>
    <t>A/C 23600232</t>
  </si>
  <si>
    <t>TAXES</t>
  </si>
  <si>
    <t>PERSONAL</t>
  </si>
  <si>
    <t>REAL</t>
  </si>
  <si>
    <t>ID#</t>
  </si>
  <si>
    <t>Penalty</t>
  </si>
  <si>
    <t>ASSESSED</t>
  </si>
  <si>
    <t xml:space="preserve">   CENTRALLY ASSESSED </t>
  </si>
  <si>
    <t>LOCALLY</t>
  </si>
  <si>
    <t>TOTAL CENTRALLY</t>
  </si>
  <si>
    <t>GAS</t>
  </si>
  <si>
    <t>Puget  Sound Energy</t>
  </si>
  <si>
    <t>Account</t>
  </si>
  <si>
    <t>Actual</t>
  </si>
  <si>
    <t>True-up</t>
  </si>
  <si>
    <t>2023 Payments</t>
  </si>
  <si>
    <t>Jurisdiction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</si>
</sst>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%"/>
    <numFmt numFmtId="168" formatCode="_(&quot;$&quot;* #,##0.000000_);_(&quot;$&quot;* \(#,##0.000000\);_(&quot;$&quot;* &quot;-&quot;??_);_(@_)"/>
    <numFmt numFmtId="169" formatCode="_(&quot;$&quot;* #,##0.00000_);_(&quot;$&quot;* \(#,##0.00000\);_(&quot;$&quot;* &quot;-&quot;??_);_(@_)"/>
    <numFmt numFmtId="170" formatCode="_-* #,##0.00\ _€_-;\-* #,##0.00\ _€_-;_-* &quot;-&quot;??\ _€_-;_-@_-"/>
    <numFmt numFmtId="171" formatCode="_-* #,##0.00\ &quot;€&quot;_-;\-* #,##0.00\ &quot;€&quot;_-;_-* &quot;-&quot;??\ &quot;€&quot;_-;_-@_-"/>
    <numFmt numFmtId="172" formatCode="General_)"/>
    <numFmt numFmtId="173" formatCode="0.00000000"/>
    <numFmt numFmtId="174" formatCode="_(* #,##0.000000_);_(* \(#,##0.000000\);_(* &quot;-&quot;??_);_(@_)"/>
    <numFmt numFmtId="175" formatCode="#,##0.000_);[Red]\(#,##0.000\)"/>
    <numFmt numFmtId="176" formatCode="0.000%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00FF"/>
      <name val="Calibri"/>
      <family val="2"/>
      <scheme val="minor"/>
    </font>
    <font>
      <sz val="11"/>
      <color rgb="FF7500EA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1"/>
      <name val="Calibri"/>
      <family val="2"/>
      <scheme val="minor"/>
    </font>
    <font>
      <sz val="11"/>
      <color rgb="FF008080"/>
      <name val="Calibri"/>
      <family val="2"/>
    </font>
    <font>
      <sz val="9"/>
      <color rgb="FFFF0000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Calibri"/>
      <family val="2"/>
    </font>
    <font>
      <sz val="11"/>
      <color rgb="FF006100"/>
      <name val="Calibri"/>
      <family val="2"/>
      <scheme val="minor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4" tint="-0.249977111117893"/>
      <name val="Arial"/>
      <family val="2"/>
    </font>
    <font>
      <sz val="11"/>
      <color rgb="FFFF0000"/>
      <name val="Calibri"/>
      <family val="2"/>
    </font>
    <font>
      <sz val="11"/>
      <color theme="9"/>
      <name val="Calibri"/>
      <family val="2"/>
      <scheme val="minor"/>
    </font>
    <font>
      <sz val="11"/>
      <color theme="1"/>
      <name val="Calibri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1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29" applyNumberFormat="0" applyAlignment="0" applyProtection="0"/>
    <xf numFmtId="0" fontId="19" fillId="21" borderId="30" applyNumberFormat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0" borderId="31" applyNumberFormat="0" applyFill="0" applyAlignment="0" applyProtection="0"/>
    <xf numFmtId="0" fontId="24" fillId="0" borderId="32" applyNumberFormat="0" applyFill="0" applyAlignment="0" applyProtection="0"/>
    <xf numFmtId="0" fontId="25" fillId="0" borderId="33" applyNumberFormat="0" applyFill="0" applyAlignment="0" applyProtection="0"/>
    <xf numFmtId="0" fontId="25" fillId="0" borderId="0" applyNumberFormat="0" applyFill="0" applyBorder="0" applyAlignment="0" applyProtection="0"/>
    <xf numFmtId="0" fontId="26" fillId="7" borderId="29" applyNumberFormat="0" applyAlignment="0" applyProtection="0"/>
    <xf numFmtId="0" fontId="27" fillId="0" borderId="34" applyNumberFormat="0" applyFill="0" applyAlignment="0" applyProtection="0"/>
    <xf numFmtId="0" fontId="28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23" borderId="35" applyNumberFormat="0" applyFont="0" applyAlignment="0" applyProtection="0"/>
    <xf numFmtId="0" fontId="15" fillId="23" borderId="35" applyNumberFormat="0" applyFont="0" applyAlignment="0" applyProtection="0"/>
    <xf numFmtId="0" fontId="29" fillId="20" borderId="3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32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172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45" fillId="29" borderId="0" applyNumberFormat="0" applyBorder="0" applyAlignment="0" applyProtection="0"/>
    <xf numFmtId="44" fontId="1" fillId="0" borderId="0" applyFont="0" applyFill="0" applyBorder="0" applyAlignment="0" applyProtection="0"/>
    <xf numFmtId="172" fontId="3" fillId="0" borderId="0"/>
    <xf numFmtId="43" fontId="5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0">
    <xf numFmtId="0" fontId="0" fillId="0" borderId="0" xfId="0"/>
    <xf numFmtId="164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42" fontId="0" fillId="0" borderId="0" xfId="0" applyNumberFormat="1" applyFill="1"/>
    <xf numFmtId="0" fontId="0" fillId="0" borderId="1" xfId="0" applyFill="1" applyBorder="1"/>
    <xf numFmtId="42" fontId="0" fillId="0" borderId="3" xfId="0" applyNumberFormat="1" applyFill="1" applyBorder="1"/>
    <xf numFmtId="41" fontId="8" fillId="0" borderId="0" xfId="0" applyNumberFormat="1" applyFont="1" applyFill="1"/>
    <xf numFmtId="0" fontId="0" fillId="0" borderId="0" xfId="0" applyFill="1" applyAlignment="1">
      <alignment horizontal="center"/>
    </xf>
    <xf numFmtId="0" fontId="10" fillId="0" borderId="0" xfId="0" applyFont="1" applyFill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6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0" fillId="0" borderId="4" xfId="0" applyFill="1" applyBorder="1" applyAlignment="1">
      <alignment horizontal="center"/>
    </xf>
    <xf numFmtId="0" fontId="0" fillId="0" borderId="0" xfId="0" applyFill="1" applyAlignment="1">
      <alignment horizontal="left" indent="1"/>
    </xf>
    <xf numFmtId="0" fontId="0" fillId="0" borderId="0" xfId="0" quotePrefix="1" applyFill="1" applyAlignment="1">
      <alignment horizontal="left"/>
    </xf>
    <xf numFmtId="41" fontId="8" fillId="0" borderId="1" xfId="0" applyNumberFormat="1" applyFont="1" applyFill="1" applyBorder="1"/>
    <xf numFmtId="0" fontId="8" fillId="0" borderId="1" xfId="0" applyFont="1" applyFill="1" applyBorder="1"/>
    <xf numFmtId="42" fontId="0" fillId="0" borderId="2" xfId="0" applyNumberFormat="1" applyFill="1" applyBorder="1"/>
    <xf numFmtId="0" fontId="8" fillId="0" borderId="0" xfId="0" applyFont="1" applyFill="1"/>
    <xf numFmtId="0" fontId="2" fillId="0" borderId="0" xfId="0" applyFont="1" applyFill="1"/>
    <xf numFmtId="0" fontId="9" fillId="0" borderId="0" xfId="0" applyFont="1" applyFill="1"/>
    <xf numFmtId="0" fontId="5" fillId="0" borderId="0" xfId="0" applyFont="1" applyFill="1"/>
    <xf numFmtId="0" fontId="14" fillId="0" borderId="0" xfId="0" applyFont="1" applyFill="1" applyAlignment="1">
      <alignment horizontal="left"/>
    </xf>
    <xf numFmtId="0" fontId="10" fillId="0" borderId="0" xfId="0" applyFont="1" applyFill="1" applyAlignment="1">
      <alignment horizontal="centerContinuous"/>
    </xf>
    <xf numFmtId="0" fontId="10" fillId="0" borderId="4" xfId="0" applyFont="1" applyFill="1" applyBorder="1" applyAlignment="1">
      <alignment wrapText="1"/>
    </xf>
    <xf numFmtId="0" fontId="10" fillId="0" borderId="4" xfId="0" applyFont="1" applyFill="1" applyBorder="1"/>
    <xf numFmtId="0" fontId="10" fillId="0" borderId="4" xfId="0" applyFont="1" applyFill="1" applyBorder="1" applyAlignment="1">
      <alignment horizontal="center" wrapText="1"/>
    </xf>
    <xf numFmtId="2" fontId="10" fillId="0" borderId="4" xfId="0" applyNumberFormat="1" applyFont="1" applyFill="1" applyBorder="1" applyAlignment="1">
      <alignment horizontal="center" wrapText="1"/>
    </xf>
    <xf numFmtId="0" fontId="10" fillId="0" borderId="0" xfId="0" applyFont="1" applyFill="1" applyAlignment="1">
      <alignment horizontal="left"/>
    </xf>
    <xf numFmtId="164" fontId="34" fillId="0" borderId="0" xfId="0" applyNumberFormat="1" applyFont="1" applyFill="1" applyBorder="1"/>
    <xf numFmtId="164" fontId="10" fillId="0" borderId="0" xfId="0" applyNumberFormat="1" applyFont="1" applyFill="1" applyBorder="1"/>
    <xf numFmtId="169" fontId="34" fillId="0" borderId="0" xfId="0" applyNumberFormat="1" applyFont="1" applyFill="1"/>
    <xf numFmtId="165" fontId="10" fillId="0" borderId="0" xfId="0" applyNumberFormat="1" applyFont="1" applyFill="1"/>
    <xf numFmtId="0" fontId="10" fillId="0" borderId="4" xfId="0" applyFont="1" applyFill="1" applyBorder="1" applyAlignment="1">
      <alignment horizontal="left"/>
    </xf>
    <xf numFmtId="169" fontId="34" fillId="0" borderId="4" xfId="0" applyNumberFormat="1" applyFont="1" applyFill="1" applyBorder="1"/>
    <xf numFmtId="165" fontId="10" fillId="0" borderId="4" xfId="0" applyNumberFormat="1" applyFont="1" applyFill="1" applyBorder="1"/>
    <xf numFmtId="164" fontId="10" fillId="0" borderId="1" xfId="0" applyNumberFormat="1" applyFont="1" applyFill="1" applyBorder="1"/>
    <xf numFmtId="165" fontId="10" fillId="0" borderId="1" xfId="0" applyNumberFormat="1" applyFont="1" applyFill="1" applyBorder="1"/>
    <xf numFmtId="0" fontId="35" fillId="0" borderId="0" xfId="0" applyFont="1" applyFill="1" applyAlignment="1">
      <alignment horizontal="right"/>
    </xf>
    <xf numFmtId="164" fontId="35" fillId="0" borderId="0" xfId="0" applyNumberFormat="1" applyFont="1" applyFill="1" applyBorder="1"/>
    <xf numFmtId="164" fontId="35" fillId="0" borderId="0" xfId="0" applyNumberFormat="1" applyFont="1" applyFill="1"/>
    <xf numFmtId="0" fontId="36" fillId="0" borderId="0" xfId="0" applyNumberFormat="1" applyFont="1" applyFill="1" applyAlignment="1">
      <alignment horizontal="center"/>
    </xf>
    <xf numFmtId="0" fontId="36" fillId="0" borderId="4" xfId="0" applyNumberFormat="1" applyFont="1" applyFill="1" applyBorder="1" applyAlignment="1">
      <alignment horizontal="center"/>
    </xf>
    <xf numFmtId="0" fontId="37" fillId="0" borderId="0" xfId="0" applyNumberFormat="1" applyFont="1" applyFill="1" applyAlignment="1">
      <alignment horizontal="left"/>
    </xf>
    <xf numFmtId="0" fontId="37" fillId="0" borderId="0" xfId="0" applyNumberFormat="1" applyFont="1" applyFill="1" applyAlignment="1"/>
    <xf numFmtId="166" fontId="37" fillId="0" borderId="0" xfId="0" applyNumberFormat="1" applyFont="1" applyFill="1" applyAlignment="1"/>
    <xf numFmtId="166" fontId="37" fillId="0" borderId="4" xfId="0" applyNumberFormat="1" applyFont="1" applyFill="1" applyBorder="1" applyAlignment="1"/>
    <xf numFmtId="166" fontId="37" fillId="0" borderId="0" xfId="0" applyNumberFormat="1" applyFont="1" applyFill="1" applyBorder="1" applyAlignment="1"/>
    <xf numFmtId="10" fontId="0" fillId="0" borderId="0" xfId="0" applyNumberFormat="1" applyFont="1" applyFill="1" applyAlignment="1">
      <alignment horizontal="center"/>
    </xf>
    <xf numFmtId="0" fontId="1" fillId="0" borderId="26" xfId="72" applyFill="1" applyBorder="1" applyAlignment="1">
      <alignment horizontal="center"/>
    </xf>
    <xf numFmtId="0" fontId="1" fillId="0" borderId="8" xfId="72" applyFill="1" applyBorder="1" applyAlignment="1">
      <alignment horizontal="center"/>
    </xf>
    <xf numFmtId="0" fontId="1" fillId="0" borderId="4" xfId="72" applyFill="1" applyBorder="1" applyAlignment="1">
      <alignment horizontal="center"/>
    </xf>
    <xf numFmtId="0" fontId="33" fillId="0" borderId="13" xfId="72" applyFont="1" applyFill="1" applyBorder="1" applyAlignment="1">
      <alignment horizontal="centerContinuous"/>
    </xf>
    <xf numFmtId="42" fontId="1" fillId="0" borderId="0" xfId="72" applyNumberFormat="1" applyFill="1" applyBorder="1"/>
    <xf numFmtId="41" fontId="1" fillId="0" borderId="0" xfId="72" applyNumberFormat="1" applyFill="1" applyBorder="1"/>
    <xf numFmtId="41" fontId="1" fillId="0" borderId="0" xfId="72" applyNumberFormat="1" applyFont="1" applyFill="1" applyBorder="1"/>
    <xf numFmtId="0" fontId="1" fillId="0" borderId="0" xfId="72" applyFill="1"/>
    <xf numFmtId="41" fontId="1" fillId="0" borderId="0" xfId="72" applyNumberFormat="1" applyFill="1"/>
    <xf numFmtId="41" fontId="1" fillId="0" borderId="13" xfId="72" applyNumberFormat="1" applyFill="1" applyBorder="1"/>
    <xf numFmtId="41" fontId="1" fillId="0" borderId="26" xfId="72" applyNumberFormat="1" applyFill="1" applyBorder="1"/>
    <xf numFmtId="41" fontId="1" fillId="0" borderId="8" xfId="3" applyNumberFormat="1" applyFont="1" applyFill="1" applyBorder="1"/>
    <xf numFmtId="41" fontId="1" fillId="0" borderId="15" xfId="72" applyNumberFormat="1" applyFill="1" applyBorder="1"/>
    <xf numFmtId="164" fontId="1" fillId="0" borderId="0" xfId="3" applyNumberFormat="1" applyFont="1" applyFill="1"/>
    <xf numFmtId="42" fontId="1" fillId="0" borderId="0" xfId="72" applyNumberFormat="1" applyFill="1"/>
    <xf numFmtId="0" fontId="0" fillId="0" borderId="0" xfId="0" applyFill="1" applyAlignment="1">
      <alignment horizontal="center"/>
    </xf>
    <xf numFmtId="0" fontId="1" fillId="0" borderId="0" xfId="72"/>
    <xf numFmtId="4" fontId="1" fillId="0" borderId="0" xfId="72" applyNumberFormat="1"/>
    <xf numFmtId="41" fontId="1" fillId="0" borderId="0" xfId="72" applyNumberFormat="1"/>
    <xf numFmtId="0" fontId="1" fillId="0" borderId="0" xfId="72" applyFont="1"/>
    <xf numFmtId="41" fontId="1" fillId="25" borderId="0" xfId="72" applyNumberFormat="1" applyFill="1" applyBorder="1"/>
    <xf numFmtId="42" fontId="1" fillId="25" borderId="0" xfId="72" applyNumberFormat="1" applyFill="1" applyBorder="1"/>
    <xf numFmtId="42" fontId="1" fillId="0" borderId="0" xfId="72" applyNumberFormat="1"/>
    <xf numFmtId="0" fontId="40" fillId="0" borderId="17" xfId="72" applyFont="1" applyBorder="1" applyAlignment="1">
      <alignment horizontal="center"/>
    </xf>
    <xf numFmtId="0" fontId="40" fillId="0" borderId="0" xfId="72" applyFont="1" applyBorder="1" applyAlignment="1">
      <alignment horizontal="center"/>
    </xf>
    <xf numFmtId="0" fontId="40" fillId="0" borderId="18" xfId="72" applyFont="1" applyBorder="1"/>
    <xf numFmtId="0" fontId="39" fillId="25" borderId="0" xfId="72" quotePrefix="1" applyFont="1" applyFill="1" applyAlignment="1">
      <alignment horizontal="center"/>
    </xf>
    <xf numFmtId="0" fontId="1" fillId="0" borderId="17" xfId="72" applyBorder="1" applyAlignment="1">
      <alignment horizontal="center"/>
    </xf>
    <xf numFmtId="0" fontId="1" fillId="0" borderId="0" xfId="72" applyBorder="1" applyAlignment="1">
      <alignment horizontal="center"/>
    </xf>
    <xf numFmtId="0" fontId="1" fillId="0" borderId="18" xfId="72" applyBorder="1"/>
    <xf numFmtId="0" fontId="40" fillId="0" borderId="0" xfId="72" applyFont="1" applyAlignment="1">
      <alignment horizontal="center"/>
    </xf>
    <xf numFmtId="41" fontId="1" fillId="0" borderId="0" xfId="72" applyNumberFormat="1" applyFont="1"/>
    <xf numFmtId="0" fontId="1" fillId="0" borderId="0" xfId="72" applyAlignment="1">
      <alignment horizontal="center"/>
    </xf>
    <xf numFmtId="0" fontId="1" fillId="0" borderId="0" xfId="72" applyAlignment="1">
      <alignment horizontal="centerContinuous"/>
    </xf>
    <xf numFmtId="0" fontId="1" fillId="0" borderId="18" xfId="72" applyBorder="1" applyAlignment="1">
      <alignment horizontal="center"/>
    </xf>
    <xf numFmtId="0" fontId="1" fillId="0" borderId="17" xfId="72" applyBorder="1"/>
    <xf numFmtId="0" fontId="1" fillId="0" borderId="0" xfId="72" applyBorder="1"/>
    <xf numFmtId="42" fontId="1" fillId="0" borderId="3" xfId="72" applyNumberFormat="1" applyBorder="1"/>
    <xf numFmtId="41" fontId="1" fillId="0" borderId="26" xfId="72" applyNumberFormat="1" applyBorder="1"/>
    <xf numFmtId="0" fontId="1" fillId="0" borderId="26" xfId="72" applyBorder="1"/>
    <xf numFmtId="0" fontId="1" fillId="0" borderId="0" xfId="72" applyFont="1" applyBorder="1"/>
    <xf numFmtId="41" fontId="1" fillId="24" borderId="20" xfId="3" applyNumberFormat="1" applyFont="1" applyFill="1" applyBorder="1"/>
    <xf numFmtId="41" fontId="1" fillId="0" borderId="15" xfId="72" applyNumberFormat="1" applyBorder="1"/>
    <xf numFmtId="41" fontId="1" fillId="26" borderId="15" xfId="72" applyNumberFormat="1" applyFill="1" applyBorder="1"/>
    <xf numFmtId="41" fontId="1" fillId="24" borderId="28" xfId="72" applyNumberFormat="1" applyFill="1" applyBorder="1"/>
    <xf numFmtId="41" fontId="1" fillId="0" borderId="19" xfId="72" applyNumberFormat="1" applyBorder="1"/>
    <xf numFmtId="0" fontId="1" fillId="0" borderId="17" xfId="72" applyFont="1" applyBorder="1"/>
    <xf numFmtId="41" fontId="1" fillId="0" borderId="8" xfId="3" applyNumberFormat="1" applyFont="1" applyBorder="1"/>
    <xf numFmtId="41" fontId="1" fillId="0" borderId="0" xfId="72" applyNumberFormat="1" applyBorder="1"/>
    <xf numFmtId="41" fontId="1" fillId="26" borderId="0" xfId="72" applyNumberFormat="1" applyFill="1" applyBorder="1"/>
    <xf numFmtId="41" fontId="1" fillId="0" borderId="13" xfId="72" applyNumberFormat="1" applyBorder="1"/>
    <xf numFmtId="41" fontId="1" fillId="24" borderId="8" xfId="3" applyNumberFormat="1" applyFont="1" applyFill="1" applyBorder="1"/>
    <xf numFmtId="41" fontId="1" fillId="24" borderId="26" xfId="72" applyNumberFormat="1" applyFill="1" applyBorder="1"/>
    <xf numFmtId="42" fontId="1" fillId="0" borderId="0" xfId="72" applyNumberFormat="1" applyBorder="1"/>
    <xf numFmtId="42" fontId="1" fillId="0" borderId="13" xfId="72" applyNumberFormat="1" applyBorder="1"/>
    <xf numFmtId="41" fontId="1" fillId="26" borderId="8" xfId="3" applyNumberFormat="1" applyFont="1" applyFill="1" applyBorder="1"/>
    <xf numFmtId="42" fontId="1" fillId="26" borderId="26" xfId="72" applyNumberFormat="1" applyFill="1" applyBorder="1"/>
    <xf numFmtId="0" fontId="1" fillId="0" borderId="13" xfId="72" applyBorder="1"/>
    <xf numFmtId="0" fontId="1" fillId="0" borderId="8" xfId="72" applyBorder="1"/>
    <xf numFmtId="0" fontId="33" fillId="0" borderId="0" xfId="72" applyFont="1" applyBorder="1" applyAlignment="1">
      <alignment horizontal="centerContinuous"/>
    </xf>
    <xf numFmtId="0" fontId="1" fillId="0" borderId="7" xfId="72" applyBorder="1" applyAlignment="1">
      <alignment horizontal="center"/>
    </xf>
    <xf numFmtId="0" fontId="1" fillId="0" borderId="27" xfId="72" applyBorder="1" applyAlignment="1">
      <alignment horizontal="center"/>
    </xf>
    <xf numFmtId="0" fontId="1" fillId="0" borderId="4" xfId="72" applyBorder="1" applyAlignment="1">
      <alignment horizontal="center"/>
    </xf>
    <xf numFmtId="0" fontId="1" fillId="0" borderId="14" xfId="72" applyBorder="1" applyAlignment="1">
      <alignment horizontal="center"/>
    </xf>
    <xf numFmtId="0" fontId="1" fillId="0" borderId="13" xfId="72" applyBorder="1" applyAlignment="1">
      <alignment horizontal="center"/>
    </xf>
    <xf numFmtId="0" fontId="1" fillId="0" borderId="12" xfId="72" applyBorder="1"/>
    <xf numFmtId="0" fontId="1" fillId="0" borderId="1" xfId="72" applyBorder="1"/>
    <xf numFmtId="0" fontId="1" fillId="0" borderId="25" xfId="72" applyBorder="1"/>
    <xf numFmtId="0" fontId="1" fillId="0" borderId="1" xfId="72" applyBorder="1" applyAlignment="1">
      <alignment horizontal="center"/>
    </xf>
    <xf numFmtId="0" fontId="1" fillId="0" borderId="11" xfId="72" applyBorder="1" applyAlignment="1">
      <alignment horizontal="center"/>
    </xf>
    <xf numFmtId="0" fontId="1" fillId="0" borderId="10" xfId="72" applyBorder="1" applyAlignment="1">
      <alignment horizontal="centerContinuous"/>
    </xf>
    <xf numFmtId="0" fontId="1" fillId="0" borderId="5" xfId="72" applyBorder="1" applyAlignment="1">
      <alignment horizontal="centerContinuous"/>
    </xf>
    <xf numFmtId="0" fontId="38" fillId="0" borderId="5" xfId="72" applyFont="1" applyBorder="1" applyAlignment="1">
      <alignment horizontal="centerContinuous"/>
    </xf>
    <xf numFmtId="0" fontId="1" fillId="0" borderId="24" xfId="72" applyBorder="1" applyAlignment="1">
      <alignment horizontal="centerContinuous"/>
    </xf>
    <xf numFmtId="0" fontId="38" fillId="0" borderId="9" xfId="72" applyFont="1" applyBorder="1" applyAlignment="1">
      <alignment horizontal="centerContinuous"/>
    </xf>
    <xf numFmtId="0" fontId="13" fillId="0" borderId="23" xfId="72" applyFont="1" applyBorder="1"/>
    <xf numFmtId="0" fontId="13" fillId="0" borderId="22" xfId="72" applyFont="1" applyBorder="1"/>
    <xf numFmtId="0" fontId="1" fillId="0" borderId="21" xfId="72" applyBorder="1"/>
    <xf numFmtId="0" fontId="38" fillId="0" borderId="0" xfId="72" applyFont="1"/>
    <xf numFmtId="0" fontId="2" fillId="0" borderId="0" xfId="72" applyFont="1" applyAlignment="1"/>
    <xf numFmtId="164" fontId="1" fillId="0" borderId="26" xfId="3" applyNumberFormat="1" applyFont="1" applyBorder="1"/>
    <xf numFmtId="0" fontId="1" fillId="0" borderId="18" xfId="72" applyFont="1" applyBorder="1" applyAlignment="1">
      <alignment horizontal="center"/>
    </xf>
    <xf numFmtId="41" fontId="42" fillId="0" borderId="0" xfId="0" applyNumberFormat="1" applyFont="1" applyFill="1"/>
    <xf numFmtId="0" fontId="42" fillId="0" borderId="0" xfId="0" applyFont="1" applyFill="1"/>
    <xf numFmtId="0" fontId="43" fillId="0" borderId="0" xfId="0" applyFont="1" applyFill="1"/>
    <xf numFmtId="0" fontId="36" fillId="0" borderId="0" xfId="0" applyNumberFormat="1" applyFont="1" applyFill="1" applyAlignment="1"/>
    <xf numFmtId="0" fontId="20" fillId="0" borderId="0" xfId="0" applyNumberFormat="1" applyFont="1" applyFill="1" applyAlignment="1"/>
    <xf numFmtId="0" fontId="36" fillId="0" borderId="4" xfId="0" applyNumberFormat="1" applyFont="1" applyFill="1" applyBorder="1" applyAlignment="1" applyProtection="1">
      <alignment horizontal="center"/>
      <protection locked="0"/>
    </xf>
    <xf numFmtId="0" fontId="37" fillId="0" borderId="0" xfId="0" applyNumberFormat="1" applyFont="1" applyFill="1" applyAlignment="1">
      <alignment horizontal="center"/>
    </xf>
    <xf numFmtId="167" fontId="37" fillId="0" borderId="0" xfId="0" applyNumberFormat="1" applyFont="1" applyFill="1" applyAlignment="1">
      <alignment horizontal="center"/>
    </xf>
    <xf numFmtId="9" fontId="37" fillId="0" borderId="0" xfId="0" applyNumberFormat="1" applyFont="1" applyFill="1" applyAlignment="1">
      <alignment horizontal="center"/>
    </xf>
    <xf numFmtId="166" fontId="37" fillId="0" borderId="39" xfId="0" applyNumberFormat="1" applyFont="1" applyFill="1" applyBorder="1" applyAlignment="1" applyProtection="1">
      <protection locked="0"/>
    </xf>
    <xf numFmtId="173" fontId="20" fillId="0" borderId="0" xfId="0" applyNumberFormat="1" applyFont="1" applyFill="1" applyAlignment="1"/>
    <xf numFmtId="0" fontId="36" fillId="0" borderId="0" xfId="0" applyFont="1" applyFill="1" applyAlignment="1">
      <alignment horizontal="centerContinuous"/>
    </xf>
    <xf numFmtId="0" fontId="46" fillId="0" borderId="0" xfId="0" applyFont="1" applyFill="1" applyAlignment="1">
      <alignment horizontal="centerContinuous"/>
    </xf>
    <xf numFmtId="0" fontId="45" fillId="29" borderId="0" xfId="112" applyAlignment="1">
      <alignment horizontal="centerContinuous"/>
    </xf>
    <xf numFmtId="0" fontId="37" fillId="0" borderId="0" xfId="0" applyFont="1" applyFill="1"/>
    <xf numFmtId="0" fontId="37" fillId="0" borderId="0" xfId="0" applyFont="1" applyFill="1" applyAlignment="1">
      <alignment horizontal="centerContinuous"/>
    </xf>
    <xf numFmtId="0" fontId="47" fillId="29" borderId="0" xfId="112" applyFont="1" applyAlignment="1">
      <alignment horizontal="left"/>
    </xf>
    <xf numFmtId="166" fontId="47" fillId="29" borderId="0" xfId="112" applyNumberFormat="1" applyFont="1" applyAlignment="1"/>
    <xf numFmtId="42" fontId="0" fillId="0" borderId="0" xfId="0" applyNumberFormat="1" applyFill="1" applyBorder="1"/>
    <xf numFmtId="0" fontId="0" fillId="0" borderId="0" xfId="0" applyFill="1" applyBorder="1"/>
    <xf numFmtId="44" fontId="0" fillId="0" borderId="0" xfId="0" applyNumberFormat="1" applyFill="1"/>
    <xf numFmtId="164" fontId="0" fillId="0" borderId="0" xfId="0" applyNumberFormat="1" applyFill="1"/>
    <xf numFmtId="0" fontId="48" fillId="0" borderId="0" xfId="0" applyFont="1"/>
    <xf numFmtId="165" fontId="48" fillId="0" borderId="0" xfId="0" applyNumberFormat="1" applyFont="1"/>
    <xf numFmtId="0" fontId="48" fillId="0" borderId="0" xfId="0" applyFont="1" applyFill="1"/>
    <xf numFmtId="165" fontId="41" fillId="0" borderId="0" xfId="0" quotePrefix="1" applyNumberFormat="1" applyFont="1" applyFill="1" applyAlignment="1">
      <alignment horizontal="left"/>
    </xf>
    <xf numFmtId="164" fontId="48" fillId="0" borderId="0" xfId="0" applyNumberFormat="1" applyFont="1"/>
    <xf numFmtId="165" fontId="50" fillId="0" borderId="2" xfId="0" applyNumberFormat="1" applyFont="1" applyFill="1" applyBorder="1"/>
    <xf numFmtId="165" fontId="41" fillId="0" borderId="0" xfId="0" applyNumberFormat="1" applyFont="1" applyFill="1" applyBorder="1"/>
    <xf numFmtId="165" fontId="41" fillId="0" borderId="2" xfId="0" applyNumberFormat="1" applyFont="1" applyFill="1" applyBorder="1"/>
    <xf numFmtId="168" fontId="48" fillId="0" borderId="0" xfId="0" applyNumberFormat="1" applyFont="1" applyFill="1" applyAlignment="1">
      <alignment horizontal="right"/>
    </xf>
    <xf numFmtId="164" fontId="41" fillId="0" borderId="2" xfId="0" applyNumberFormat="1" applyFont="1" applyFill="1" applyBorder="1"/>
    <xf numFmtId="0" fontId="41" fillId="0" borderId="0" xfId="0" applyFont="1" applyFill="1"/>
    <xf numFmtId="165" fontId="41" fillId="0" borderId="0" xfId="0" applyNumberFormat="1" applyFont="1" applyFill="1"/>
    <xf numFmtId="164" fontId="41" fillId="0" borderId="0" xfId="0" applyNumberFormat="1" applyFont="1" applyFill="1"/>
    <xf numFmtId="0" fontId="41" fillId="0" borderId="0" xfId="0" applyFont="1" applyFill="1" applyAlignment="1">
      <alignment horizontal="left"/>
    </xf>
    <xf numFmtId="168" fontId="48" fillId="28" borderId="0" xfId="0" applyNumberFormat="1" applyFont="1" applyFill="1" applyAlignment="1">
      <alignment horizontal="right"/>
    </xf>
    <xf numFmtId="164" fontId="41" fillId="0" borderId="5" xfId="0" applyNumberFormat="1" applyFont="1" applyFill="1" applyBorder="1"/>
    <xf numFmtId="164" fontId="41" fillId="28" borderId="5" xfId="0" applyNumberFormat="1" applyFont="1" applyFill="1" applyBorder="1"/>
    <xf numFmtId="168" fontId="48" fillId="27" borderId="0" xfId="0" applyNumberFormat="1" applyFont="1" applyFill="1" applyAlignment="1">
      <alignment horizontal="right"/>
    </xf>
    <xf numFmtId="164" fontId="41" fillId="27" borderId="5" xfId="0" applyNumberFormat="1" applyFont="1" applyFill="1" applyBorder="1"/>
    <xf numFmtId="0" fontId="41" fillId="0" borderId="0" xfId="0" quotePrefix="1" applyFont="1" applyFill="1" applyAlignment="1">
      <alignment horizontal="center"/>
    </xf>
    <xf numFmtId="0" fontId="41" fillId="0" borderId="0" xfId="0" quotePrefix="1" applyFont="1" applyFill="1" applyAlignment="1">
      <alignment horizontal="left" indent="1"/>
    </xf>
    <xf numFmtId="0" fontId="41" fillId="0" borderId="0" xfId="0" applyFont="1" applyFill="1" applyAlignment="1">
      <alignment horizontal="center"/>
    </xf>
    <xf numFmtId="0" fontId="41" fillId="0" borderId="0" xfId="0" quotePrefix="1" applyFont="1" applyFill="1" applyAlignment="1">
      <alignment horizontal="left"/>
    </xf>
    <xf numFmtId="165" fontId="41" fillId="0" borderId="5" xfId="0" applyNumberFormat="1" applyFont="1" applyFill="1" applyBorder="1"/>
    <xf numFmtId="164" fontId="41" fillId="0" borderId="0" xfId="0" applyNumberFormat="1" applyFont="1" applyFill="1" applyBorder="1"/>
    <xf numFmtId="164" fontId="41" fillId="28" borderId="0" xfId="0" applyNumberFormat="1" applyFont="1" applyFill="1" applyBorder="1"/>
    <xf numFmtId="164" fontId="41" fillId="27" borderId="0" xfId="0" applyNumberFormat="1" applyFont="1" applyFill="1" applyBorder="1"/>
    <xf numFmtId="0" fontId="41" fillId="0" borderId="0" xfId="0" applyFont="1" applyFill="1" applyAlignment="1">
      <alignment horizontal="left" indent="1"/>
    </xf>
    <xf numFmtId="164" fontId="41" fillId="28" borderId="0" xfId="0" quotePrefix="1" applyNumberFormat="1" applyFont="1" applyFill="1" applyAlignment="1">
      <alignment horizontal="left"/>
    </xf>
    <xf numFmtId="164" fontId="41" fillId="27" borderId="0" xfId="0" quotePrefix="1" applyNumberFormat="1" applyFont="1" applyFill="1" applyAlignment="1">
      <alignment horizontal="left"/>
    </xf>
    <xf numFmtId="164" fontId="41" fillId="0" borderId="0" xfId="0" quotePrefix="1" applyNumberFormat="1" applyFont="1" applyFill="1" applyAlignment="1">
      <alignment horizontal="left"/>
    </xf>
    <xf numFmtId="0" fontId="41" fillId="0" borderId="0" xfId="0" applyFont="1" applyFill="1" applyBorder="1" applyAlignment="1">
      <alignment horizontal="center" wrapText="1"/>
    </xf>
    <xf numFmtId="0" fontId="41" fillId="0" borderId="0" xfId="0" applyFont="1" applyFill="1" applyBorder="1" applyAlignment="1">
      <alignment horizontal="left" wrapText="1"/>
    </xf>
    <xf numFmtId="168" fontId="48" fillId="0" borderId="0" xfId="0" applyNumberFormat="1" applyFont="1" applyAlignment="1">
      <alignment horizontal="center"/>
    </xf>
    <xf numFmtId="0" fontId="48" fillId="0" borderId="0" xfId="0" applyFont="1" applyFill="1" applyAlignment="1">
      <alignment horizontal="center"/>
    </xf>
    <xf numFmtId="0" fontId="48" fillId="0" borderId="4" xfId="0" applyFont="1" applyBorder="1" applyAlignment="1">
      <alignment horizontal="center" wrapText="1"/>
    </xf>
    <xf numFmtId="0" fontId="48" fillId="0" borderId="4" xfId="0" quotePrefix="1" applyFont="1" applyBorder="1" applyAlignment="1">
      <alignment horizontal="center" wrapText="1"/>
    </xf>
    <xf numFmtId="17" fontId="48" fillId="0" borderId="4" xfId="0" quotePrefix="1" applyNumberFormat="1" applyFont="1" applyFill="1" applyBorder="1" applyAlignment="1">
      <alignment horizontal="center" wrapText="1"/>
    </xf>
    <xf numFmtId="17" fontId="48" fillId="0" borderId="4" xfId="0" quotePrefix="1" applyNumberFormat="1" applyFont="1" applyBorder="1" applyAlignment="1">
      <alignment horizontal="center" wrapText="1"/>
    </xf>
    <xf numFmtId="0" fontId="48" fillId="0" borderId="4" xfId="0" quotePrefix="1" applyFont="1" applyFill="1" applyBorder="1" applyAlignment="1">
      <alignment horizontal="center" wrapText="1"/>
    </xf>
    <xf numFmtId="0" fontId="48" fillId="0" borderId="4" xfId="0" applyFont="1" applyFill="1" applyBorder="1" applyAlignment="1">
      <alignment horizontal="center" wrapText="1"/>
    </xf>
    <xf numFmtId="17" fontId="48" fillId="0" borderId="4" xfId="0" applyNumberFormat="1" applyFont="1" applyBorder="1" applyAlignment="1">
      <alignment horizontal="center" wrapText="1"/>
    </xf>
    <xf numFmtId="166" fontId="51" fillId="0" borderId="0" xfId="0" applyNumberFormat="1" applyFont="1" applyFill="1" applyAlignment="1">
      <alignment horizontal="left" wrapText="1"/>
    </xf>
    <xf numFmtId="0" fontId="48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41" fontId="1" fillId="25" borderId="0" xfId="72" applyNumberFormat="1" applyFont="1" applyFill="1" applyBorder="1"/>
    <xf numFmtId="42" fontId="1" fillId="0" borderId="18" xfId="72" applyNumberFormat="1" applyFill="1" applyBorder="1"/>
    <xf numFmtId="41" fontId="1" fillId="0" borderId="18" xfId="72" applyNumberFormat="1" applyFill="1" applyBorder="1"/>
    <xf numFmtId="41" fontId="1" fillId="0" borderId="17" xfId="72" applyNumberFormat="1" applyFill="1" applyBorder="1"/>
    <xf numFmtId="41" fontId="1" fillId="0" borderId="38" xfId="72" applyNumberFormat="1" applyFill="1" applyBorder="1"/>
    <xf numFmtId="41" fontId="1" fillId="0" borderId="6" xfId="72" applyNumberFormat="1" applyFill="1" applyBorder="1"/>
    <xf numFmtId="41" fontId="1" fillId="0" borderId="16" xfId="72" applyNumberFormat="1" applyFill="1" applyBorder="1"/>
    <xf numFmtId="41" fontId="1" fillId="0" borderId="0" xfId="72" applyNumberFormat="1" applyFont="1" applyBorder="1"/>
    <xf numFmtId="41" fontId="1" fillId="0" borderId="26" xfId="72" applyNumberFormat="1" applyFont="1" applyFill="1" applyBorder="1"/>
    <xf numFmtId="41" fontId="1" fillId="0" borderId="26" xfId="72" applyNumberFormat="1" applyFont="1" applyBorder="1"/>
    <xf numFmtId="42" fontId="1" fillId="0" borderId="18" xfId="72" applyNumberFormat="1" applyFont="1" applyFill="1" applyBorder="1"/>
    <xf numFmtId="42" fontId="42" fillId="0" borderId="0" xfId="0" applyNumberFormat="1" applyFont="1" applyFill="1"/>
    <xf numFmtId="42" fontId="42" fillId="0" borderId="0" xfId="0" applyNumberFormat="1" applyFont="1" applyFill="1" applyBorder="1"/>
    <xf numFmtId="43" fontId="0" fillId="0" borderId="0" xfId="0" applyNumberFormat="1" applyFill="1"/>
    <xf numFmtId="164" fontId="52" fillId="0" borderId="0" xfId="0" applyNumberFormat="1" applyFont="1" applyFill="1" applyBorder="1"/>
    <xf numFmtId="165" fontId="0" fillId="0" borderId="0" xfId="113" applyNumberFormat="1" applyFont="1"/>
    <xf numFmtId="0" fontId="0" fillId="0" borderId="0" xfId="0" applyAlignment="1">
      <alignment horizontal="left"/>
    </xf>
    <xf numFmtId="43" fontId="0" fillId="0" borderId="0" xfId="0" applyNumberFormat="1"/>
    <xf numFmtId="43" fontId="0" fillId="0" borderId="0" xfId="1" applyFont="1"/>
    <xf numFmtId="43" fontId="0" fillId="30" borderId="1" xfId="0" applyNumberFormat="1" applyFill="1" applyBorder="1"/>
    <xf numFmtId="44" fontId="0" fillId="0" borderId="0" xfId="0" applyNumberFormat="1"/>
    <xf numFmtId="17" fontId="0" fillId="0" borderId="0" xfId="0" applyNumberFormat="1"/>
    <xf numFmtId="43" fontId="0" fillId="30" borderId="1" xfId="1" applyFont="1" applyFill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4" xfId="0" applyFont="1" applyBorder="1"/>
    <xf numFmtId="174" fontId="53" fillId="0" borderId="0" xfId="1" applyNumberFormat="1" applyFont="1"/>
    <xf numFmtId="0" fontId="42" fillId="0" borderId="0" xfId="0" applyFont="1"/>
    <xf numFmtId="164" fontId="0" fillId="0" borderId="0" xfId="1" applyNumberFormat="1" applyFont="1"/>
    <xf numFmtId="0" fontId="9" fillId="0" borderId="0" xfId="0" applyFont="1"/>
    <xf numFmtId="164" fontId="0" fillId="0" borderId="2" xfId="0" applyNumberFormat="1" applyBorder="1"/>
    <xf numFmtId="164" fontId="0" fillId="0" borderId="0" xfId="0" applyNumberFormat="1"/>
    <xf numFmtId="164" fontId="49" fillId="0" borderId="0" xfId="0" applyNumberFormat="1" applyFont="1" applyFill="1"/>
    <xf numFmtId="42" fontId="48" fillId="0" borderId="0" xfId="0" applyNumberFormat="1" applyFont="1" applyFill="1"/>
    <xf numFmtId="43" fontId="48" fillId="0" borderId="0" xfId="0" applyNumberFormat="1" applyFont="1" applyFill="1"/>
    <xf numFmtId="164" fontId="48" fillId="0" borderId="0" xfId="0" applyNumberFormat="1" applyFont="1" applyFill="1"/>
    <xf numFmtId="172" fontId="3" fillId="0" borderId="0" xfId="114" applyFont="1"/>
    <xf numFmtId="9" fontId="3" fillId="0" borderId="0" xfId="116" applyFont="1" applyBorder="1"/>
    <xf numFmtId="172" fontId="3" fillId="0" borderId="0" xfId="114" applyFont="1" applyBorder="1"/>
    <xf numFmtId="43" fontId="3" fillId="0" borderId="0" xfId="1" applyFont="1"/>
    <xf numFmtId="172" fontId="3" fillId="0" borderId="0" xfId="114" applyFont="1" applyAlignment="1">
      <alignment horizontal="left"/>
    </xf>
    <xf numFmtId="40" fontId="3" fillId="0" borderId="0" xfId="114" applyNumberFormat="1" applyFont="1" applyBorder="1"/>
    <xf numFmtId="40" fontId="55" fillId="0" borderId="0" xfId="114" applyNumberFormat="1" applyFont="1"/>
    <xf numFmtId="39" fontId="3" fillId="0" borderId="0" xfId="114" applyNumberFormat="1" applyFont="1" applyBorder="1" applyProtection="1"/>
    <xf numFmtId="39" fontId="3" fillId="0" borderId="0" xfId="114" applyNumberFormat="1" applyFont="1" applyProtection="1"/>
    <xf numFmtId="172" fontId="56" fillId="0" borderId="0" xfId="114" applyFont="1" applyAlignment="1" applyProtection="1">
      <alignment horizontal="left"/>
    </xf>
    <xf numFmtId="40" fontId="3" fillId="0" borderId="40" xfId="114" applyNumberFormat="1" applyFont="1" applyBorder="1"/>
    <xf numFmtId="40" fontId="3" fillId="0" borderId="41" xfId="114" applyNumberFormat="1" applyFont="1" applyBorder="1"/>
    <xf numFmtId="40" fontId="55" fillId="0" borderId="42" xfId="114" applyNumberFormat="1" applyFont="1" applyBorder="1"/>
    <xf numFmtId="40" fontId="3" fillId="0" borderId="42" xfId="114" applyNumberFormat="1" applyFont="1" applyBorder="1" applyProtection="1"/>
    <xf numFmtId="40" fontId="3" fillId="0" borderId="0" xfId="114" applyNumberFormat="1" applyFont="1" applyProtection="1"/>
    <xf numFmtId="172" fontId="3" fillId="0" borderId="41" xfId="114" applyFont="1" applyBorder="1"/>
    <xf numFmtId="40" fontId="57" fillId="0" borderId="43" xfId="71" applyNumberFormat="1" applyFont="1" applyBorder="1"/>
    <xf numFmtId="40" fontId="3" fillId="0" borderId="44" xfId="114" applyNumberFormat="1" applyFont="1" applyBorder="1"/>
    <xf numFmtId="40" fontId="55" fillId="0" borderId="43" xfId="114" applyNumberFormat="1" applyFont="1" applyBorder="1" applyProtection="1"/>
    <xf numFmtId="40" fontId="3" fillId="0" borderId="43" xfId="114" applyNumberFormat="1" applyFont="1" applyBorder="1" applyProtection="1"/>
    <xf numFmtId="40" fontId="3" fillId="0" borderId="3" xfId="114" applyNumberFormat="1" applyFont="1" applyBorder="1" applyProtection="1"/>
    <xf numFmtId="40" fontId="3" fillId="0" borderId="45" xfId="114" applyNumberFormat="1" applyFont="1" applyBorder="1" applyProtection="1"/>
    <xf numFmtId="172" fontId="3" fillId="0" borderId="41" xfId="114" applyFont="1" applyBorder="1" applyAlignment="1">
      <alignment horizontal="centerContinuous"/>
    </xf>
    <xf numFmtId="172" fontId="3" fillId="0" borderId="0" xfId="114" applyFont="1" applyAlignment="1" applyProtection="1">
      <alignment horizontal="centerContinuous"/>
    </xf>
    <xf numFmtId="172" fontId="58" fillId="0" borderId="0" xfId="114" applyFont="1"/>
    <xf numFmtId="172" fontId="58" fillId="0" borderId="46" xfId="114" applyFont="1" applyBorder="1"/>
    <xf numFmtId="40" fontId="55" fillId="0" borderId="46" xfId="114" applyNumberFormat="1" applyFont="1" applyBorder="1"/>
    <xf numFmtId="40" fontId="3" fillId="0" borderId="42" xfId="114" applyNumberFormat="1" applyFont="1" applyFill="1" applyBorder="1" applyProtection="1"/>
    <xf numFmtId="40" fontId="3" fillId="0" borderId="46" xfId="114" applyNumberFormat="1" applyFont="1" applyFill="1" applyBorder="1" applyProtection="1"/>
    <xf numFmtId="40" fontId="3" fillId="0" borderId="1" xfId="114" applyNumberFormat="1" applyFont="1" applyFill="1" applyBorder="1"/>
    <xf numFmtId="40" fontId="3" fillId="0" borderId="47" xfId="114" applyNumberFormat="1" applyFont="1" applyFill="1" applyBorder="1"/>
    <xf numFmtId="172" fontId="58" fillId="0" borderId="41" xfId="114" applyFont="1" applyBorder="1"/>
    <xf numFmtId="172" fontId="3" fillId="0" borderId="0" xfId="114" applyFont="1" applyAlignment="1" applyProtection="1">
      <alignment horizontal="left"/>
    </xf>
    <xf numFmtId="172" fontId="3" fillId="0" borderId="0" xfId="114" applyFont="1" applyBorder="1" applyAlignment="1" applyProtection="1">
      <alignment horizontal="center"/>
    </xf>
    <xf numFmtId="43" fontId="57" fillId="0" borderId="41" xfId="115" applyFont="1" applyBorder="1"/>
    <xf numFmtId="9" fontId="3" fillId="0" borderId="40" xfId="95" applyFont="1" applyBorder="1"/>
    <xf numFmtId="40" fontId="3" fillId="0" borderId="48" xfId="114" applyNumberFormat="1" applyFont="1" applyFill="1" applyBorder="1"/>
    <xf numFmtId="40" fontId="59" fillId="0" borderId="49" xfId="114" applyNumberFormat="1" applyFont="1" applyBorder="1" applyProtection="1"/>
    <xf numFmtId="40" fontId="3" fillId="0" borderId="49" xfId="114" applyNumberFormat="1" applyFont="1" applyFill="1" applyBorder="1" applyProtection="1"/>
    <xf numFmtId="40" fontId="3" fillId="0" borderId="4" xfId="114" applyNumberFormat="1" applyFont="1" applyFill="1" applyBorder="1"/>
    <xf numFmtId="172" fontId="3" fillId="0" borderId="0" xfId="114" applyFont="1" applyFill="1" applyAlignment="1" applyProtection="1">
      <alignment horizontal="left"/>
    </xf>
    <xf numFmtId="172" fontId="3" fillId="0" borderId="41" xfId="114" applyFont="1" applyBorder="1" applyAlignment="1" applyProtection="1">
      <alignment horizontal="center"/>
    </xf>
    <xf numFmtId="9" fontId="3" fillId="0" borderId="0" xfId="95" applyFont="1" applyBorder="1"/>
    <xf numFmtId="40" fontId="3" fillId="0" borderId="41" xfId="114" applyNumberFormat="1" applyFont="1" applyFill="1" applyBorder="1"/>
    <xf numFmtId="40" fontId="59" fillId="0" borderId="42" xfId="114" applyNumberFormat="1" applyFont="1" applyBorder="1" applyProtection="1"/>
    <xf numFmtId="40" fontId="3" fillId="0" borderId="41" xfId="114" applyNumberFormat="1" applyFont="1" applyFill="1" applyBorder="1" applyProtection="1">
      <protection locked="0"/>
    </xf>
    <xf numFmtId="40" fontId="3" fillId="0" borderId="0" xfId="114" applyNumberFormat="1" applyFont="1" applyFill="1" applyProtection="1">
      <protection locked="0"/>
    </xf>
    <xf numFmtId="172" fontId="3" fillId="0" borderId="41" xfId="114" quotePrefix="1" applyFont="1" applyBorder="1" applyAlignment="1" applyProtection="1">
      <alignment horizontal="center"/>
    </xf>
    <xf numFmtId="172" fontId="3" fillId="0" borderId="41" xfId="114" applyFont="1" applyFill="1" applyBorder="1"/>
    <xf numFmtId="172" fontId="60" fillId="0" borderId="0" xfId="114" applyFont="1" applyAlignment="1" applyProtection="1">
      <alignment horizontal="left"/>
    </xf>
    <xf numFmtId="40" fontId="59" fillId="0" borderId="42" xfId="114" applyNumberFormat="1" applyFont="1" applyFill="1" applyBorder="1" applyProtection="1"/>
    <xf numFmtId="172" fontId="3" fillId="0" borderId="41" xfId="114" quotePrefix="1" applyFont="1" applyFill="1" applyBorder="1" applyAlignment="1" applyProtection="1">
      <alignment horizontal="center"/>
    </xf>
    <xf numFmtId="40" fontId="3" fillId="0" borderId="42" xfId="114" applyNumberFormat="1" applyFont="1" applyFill="1" applyBorder="1" applyProtection="1">
      <protection locked="0"/>
    </xf>
    <xf numFmtId="172" fontId="60" fillId="0" borderId="0" xfId="114" applyFont="1" applyFill="1" applyAlignment="1" applyProtection="1">
      <alignment horizontal="left"/>
    </xf>
    <xf numFmtId="40" fontId="59" fillId="0" borderId="42" xfId="114" applyNumberFormat="1" applyFont="1" applyBorder="1" applyProtection="1">
      <protection locked="0"/>
    </xf>
    <xf numFmtId="172" fontId="3" fillId="0" borderId="41" xfId="114" quotePrefix="1" applyFont="1" applyBorder="1"/>
    <xf numFmtId="40" fontId="3" fillId="0" borderId="41" xfId="114" applyNumberFormat="1" applyFont="1" applyBorder="1" applyProtection="1">
      <protection locked="0"/>
    </xf>
    <xf numFmtId="40" fontId="3" fillId="0" borderId="0" xfId="114" applyNumberFormat="1" applyFont="1" applyProtection="1">
      <protection locked="0"/>
    </xf>
    <xf numFmtId="172" fontId="57" fillId="0" borderId="43" xfId="71" applyFont="1" applyBorder="1" applyAlignment="1">
      <alignment horizontal="center"/>
    </xf>
    <xf numFmtId="172" fontId="3" fillId="0" borderId="44" xfId="114" applyFont="1" applyBorder="1" applyAlignment="1">
      <alignment horizontal="center"/>
    </xf>
    <xf numFmtId="172" fontId="3" fillId="0" borderId="3" xfId="114" applyFont="1" applyBorder="1"/>
    <xf numFmtId="172" fontId="3" fillId="0" borderId="43" xfId="114" applyFont="1" applyBorder="1" applyAlignment="1" applyProtection="1">
      <alignment horizontal="center"/>
    </xf>
    <xf numFmtId="172" fontId="61" fillId="0" borderId="43" xfId="114" applyFont="1" applyBorder="1" applyAlignment="1" applyProtection="1">
      <alignment horizontal="center"/>
    </xf>
    <xf numFmtId="172" fontId="3" fillId="0" borderId="3" xfId="114" applyFont="1" applyBorder="1" applyAlignment="1" applyProtection="1">
      <alignment horizontal="center"/>
    </xf>
    <xf numFmtId="172" fontId="3" fillId="0" borderId="44" xfId="114" applyFont="1" applyBorder="1"/>
    <xf numFmtId="172" fontId="3" fillId="0" borderId="3" xfId="114" applyFont="1" applyBorder="1" applyAlignment="1" applyProtection="1">
      <alignment horizontal="left"/>
    </xf>
    <xf numFmtId="172" fontId="3" fillId="0" borderId="42" xfId="114" applyFont="1" applyBorder="1" applyAlignment="1">
      <alignment horizontal="center"/>
    </xf>
    <xf numFmtId="172" fontId="3" fillId="0" borderId="0" xfId="114" applyFont="1" applyAlignment="1">
      <alignment horizontal="center"/>
    </xf>
    <xf numFmtId="172" fontId="61" fillId="0" borderId="42" xfId="114" applyFont="1" applyBorder="1" applyAlignment="1">
      <alignment horizontal="center"/>
    </xf>
    <xf numFmtId="172" fontId="3" fillId="0" borderId="42" xfId="114" applyFont="1" applyBorder="1" applyAlignment="1" applyProtection="1">
      <alignment horizontal="center"/>
    </xf>
    <xf numFmtId="172" fontId="57" fillId="0" borderId="42" xfId="71" applyFont="1" applyBorder="1" applyAlignment="1">
      <alignment horizontal="center"/>
    </xf>
    <xf numFmtId="172" fontId="3" fillId="0" borderId="41" xfId="114" applyFont="1" applyBorder="1" applyAlignment="1">
      <alignment horizontal="center"/>
    </xf>
    <xf numFmtId="172" fontId="3" fillId="0" borderId="4" xfId="114" applyFont="1" applyBorder="1" applyAlignment="1" applyProtection="1">
      <alignment horizontal="centerContinuous"/>
    </xf>
    <xf numFmtId="172" fontId="3" fillId="0" borderId="50" xfId="114" applyFont="1" applyBorder="1" applyAlignment="1" applyProtection="1">
      <alignment horizontal="centerContinuous"/>
    </xf>
    <xf numFmtId="172" fontId="3" fillId="0" borderId="0" xfId="114" applyFont="1" applyBorder="1" applyAlignment="1">
      <alignment horizontal="center"/>
    </xf>
    <xf numFmtId="172" fontId="57" fillId="0" borderId="51" xfId="71" applyFont="1" applyBorder="1" applyAlignment="1">
      <alignment horizontal="center"/>
    </xf>
    <xf numFmtId="172" fontId="3" fillId="0" borderId="52" xfId="114" applyFont="1" applyBorder="1" applyAlignment="1">
      <alignment horizontal="center"/>
    </xf>
    <xf numFmtId="172" fontId="3" fillId="0" borderId="51" xfId="114" applyFont="1" applyBorder="1"/>
    <xf numFmtId="172" fontId="3" fillId="0" borderId="51" xfId="114" applyFont="1" applyBorder="1" applyAlignment="1">
      <alignment horizontal="center"/>
    </xf>
    <xf numFmtId="172" fontId="3" fillId="0" borderId="51" xfId="114" applyFont="1" applyBorder="1" applyAlignment="1" applyProtection="1">
      <alignment horizontal="center"/>
    </xf>
    <xf numFmtId="172" fontId="3" fillId="0" borderId="52" xfId="114" applyFont="1" applyBorder="1"/>
    <xf numFmtId="172" fontId="3" fillId="0" borderId="3" xfId="114" applyFont="1" applyBorder="1" applyAlignment="1">
      <alignment horizontal="center"/>
    </xf>
    <xf numFmtId="172" fontId="55" fillId="0" borderId="3" xfId="114" applyFont="1" applyBorder="1" applyProtection="1">
      <protection locked="0"/>
    </xf>
    <xf numFmtId="172" fontId="62" fillId="0" borderId="0" xfId="114" applyFont="1" applyAlignment="1" applyProtection="1">
      <alignment horizontal="centerContinuous"/>
    </xf>
    <xf numFmtId="172" fontId="3" fillId="0" borderId="0" xfId="114" applyFont="1" applyAlignment="1">
      <alignment horizontal="centerContinuous"/>
    </xf>
    <xf numFmtId="172" fontId="57" fillId="0" borderId="0" xfId="114" applyFont="1"/>
    <xf numFmtId="172" fontId="57" fillId="0" borderId="0" xfId="114" applyFont="1" applyFill="1"/>
    <xf numFmtId="172" fontId="57" fillId="0" borderId="0" xfId="114" applyFont="1" applyBorder="1"/>
    <xf numFmtId="9" fontId="57" fillId="0" borderId="0" xfId="95" applyFont="1"/>
    <xf numFmtId="164" fontId="57" fillId="0" borderId="0" xfId="1" applyNumberFormat="1" applyFont="1"/>
    <xf numFmtId="175" fontId="57" fillId="0" borderId="42" xfId="114" applyNumberFormat="1" applyFont="1" applyBorder="1"/>
    <xf numFmtId="175" fontId="57" fillId="0" borderId="41" xfId="114" applyNumberFormat="1" applyFont="1" applyBorder="1"/>
    <xf numFmtId="175" fontId="57" fillId="0" borderId="40" xfId="114" applyNumberFormat="1" applyFont="1" applyBorder="1"/>
    <xf numFmtId="172" fontId="57" fillId="0" borderId="0" xfId="114" applyFont="1" applyAlignment="1">
      <alignment horizontal="left"/>
    </xf>
    <xf numFmtId="40" fontId="57" fillId="0" borderId="0" xfId="114" applyNumberFormat="1" applyFont="1"/>
    <xf numFmtId="175" fontId="57" fillId="0" borderId="0" xfId="114" applyNumberFormat="1" applyFont="1" applyBorder="1"/>
    <xf numFmtId="40" fontId="57" fillId="0" borderId="41" xfId="114" applyNumberFormat="1" applyFont="1" applyBorder="1" applyProtection="1"/>
    <xf numFmtId="40" fontId="57" fillId="0" borderId="0" xfId="114" applyNumberFormat="1" applyFont="1" applyBorder="1" applyProtection="1"/>
    <xf numFmtId="40" fontId="57" fillId="0" borderId="40" xfId="114" applyNumberFormat="1" applyFont="1" applyBorder="1" applyProtection="1"/>
    <xf numFmtId="172" fontId="57" fillId="0" borderId="0" xfId="114" applyFont="1" applyAlignment="1" applyProtection="1">
      <alignment horizontal="center"/>
    </xf>
    <xf numFmtId="40" fontId="57" fillId="0" borderId="53" xfId="114" applyNumberFormat="1" applyFont="1" applyBorder="1"/>
    <xf numFmtId="40" fontId="57" fillId="0" borderId="54" xfId="114" applyNumberFormat="1" applyFont="1" applyBorder="1" applyProtection="1"/>
    <xf numFmtId="40" fontId="57" fillId="0" borderId="53" xfId="114" applyNumberFormat="1" applyFont="1" applyBorder="1" applyProtection="1"/>
    <xf numFmtId="175" fontId="57" fillId="0" borderId="0" xfId="114" applyNumberFormat="1" applyFont="1"/>
    <xf numFmtId="40" fontId="57" fillId="0" borderId="49" xfId="114" applyNumberFormat="1" applyFont="1" applyBorder="1"/>
    <xf numFmtId="40" fontId="57" fillId="0" borderId="4" xfId="114" applyNumberFormat="1" applyFont="1" applyBorder="1"/>
    <xf numFmtId="40" fontId="57" fillId="0" borderId="49" xfId="114" applyNumberFormat="1" applyFont="1" applyBorder="1" applyProtection="1"/>
    <xf numFmtId="40" fontId="57" fillId="0" borderId="48" xfId="114" applyNumberFormat="1" applyFont="1" applyBorder="1"/>
    <xf numFmtId="40" fontId="57" fillId="0" borderId="50" xfId="114" applyNumberFormat="1" applyFont="1" applyBorder="1"/>
    <xf numFmtId="176" fontId="63" fillId="0" borderId="0" xfId="114" applyNumberFormat="1" applyFont="1"/>
    <xf numFmtId="43" fontId="57" fillId="0" borderId="0" xfId="3" applyFont="1"/>
    <xf numFmtId="40" fontId="57" fillId="0" borderId="42" xfId="114" applyNumberFormat="1" applyFont="1" applyFill="1" applyBorder="1"/>
    <xf numFmtId="40" fontId="57" fillId="0" borderId="42" xfId="114" applyNumberFormat="1" applyFont="1" applyBorder="1" applyProtection="1"/>
    <xf numFmtId="40" fontId="57" fillId="0" borderId="40" xfId="114" applyNumberFormat="1" applyFont="1" applyBorder="1" applyProtection="1">
      <protection locked="0"/>
    </xf>
    <xf numFmtId="40" fontId="57" fillId="0" borderId="41" xfId="114" applyNumberFormat="1" applyFont="1" applyBorder="1" applyProtection="1">
      <protection locked="0"/>
    </xf>
    <xf numFmtId="172" fontId="57" fillId="0" borderId="0" xfId="114" applyFont="1" applyFill="1" applyAlignment="1" applyProtection="1">
      <alignment horizontal="left"/>
    </xf>
    <xf numFmtId="172" fontId="57" fillId="0" borderId="0" xfId="114" applyFont="1" applyAlignment="1" applyProtection="1">
      <alignment horizontal="right"/>
    </xf>
    <xf numFmtId="43" fontId="63" fillId="0" borderId="0" xfId="3" applyFont="1"/>
    <xf numFmtId="172" fontId="57" fillId="0" borderId="0" xfId="114" applyFont="1" applyAlignment="1" applyProtection="1">
      <alignment horizontal="left"/>
    </xf>
    <xf numFmtId="4" fontId="57" fillId="0" borderId="0" xfId="114" applyNumberFormat="1" applyFont="1"/>
    <xf numFmtId="40" fontId="57" fillId="0" borderId="40" xfId="114" applyNumberFormat="1" applyFont="1" applyFill="1" applyBorder="1" applyProtection="1"/>
    <xf numFmtId="40" fontId="57" fillId="0" borderId="42" xfId="114" applyNumberFormat="1" applyFont="1" applyBorder="1" applyProtection="1">
      <protection locked="0"/>
    </xf>
    <xf numFmtId="40" fontId="57" fillId="0" borderId="42" xfId="114" applyNumberFormat="1" applyFont="1" applyFill="1" applyBorder="1" applyProtection="1"/>
    <xf numFmtId="40" fontId="57" fillId="0" borderId="42" xfId="114" applyNumberFormat="1" applyFont="1" applyFill="1" applyBorder="1" applyProtection="1">
      <protection locked="0"/>
    </xf>
    <xf numFmtId="40" fontId="57" fillId="0" borderId="41" xfId="114" applyNumberFormat="1" applyFont="1" applyFill="1" applyBorder="1" applyProtection="1">
      <protection locked="0"/>
    </xf>
    <xf numFmtId="40" fontId="57" fillId="0" borderId="40" xfId="114" applyNumberFormat="1" applyFont="1" applyFill="1" applyBorder="1" applyProtection="1">
      <protection locked="0"/>
    </xf>
    <xf numFmtId="172" fontId="57" fillId="0" borderId="0" xfId="114" applyFont="1" applyFill="1" applyAlignment="1" applyProtection="1">
      <alignment horizontal="right"/>
    </xf>
    <xf numFmtId="40" fontId="57" fillId="0" borderId="42" xfId="114" applyNumberFormat="1" applyFont="1" applyFill="1" applyBorder="1" applyAlignment="1">
      <alignment horizontal="right"/>
    </xf>
    <xf numFmtId="40" fontId="57" fillId="0" borderId="40" xfId="114" applyNumberFormat="1" applyFont="1" applyBorder="1" applyAlignment="1" applyProtection="1">
      <alignment horizontal="right"/>
    </xf>
    <xf numFmtId="40" fontId="57" fillId="0" borderId="41" xfId="114" applyNumberFormat="1" applyFont="1" applyBorder="1" applyAlignment="1" applyProtection="1">
      <alignment horizontal="right"/>
    </xf>
    <xf numFmtId="172" fontId="57" fillId="0" borderId="0" xfId="114" applyFont="1" applyFill="1" applyBorder="1" applyAlignment="1" applyProtection="1">
      <alignment horizontal="left"/>
    </xf>
    <xf numFmtId="40" fontId="57" fillId="0" borderId="0" xfId="114" applyNumberFormat="1" applyFont="1" applyAlignment="1">
      <alignment horizontal="right"/>
    </xf>
    <xf numFmtId="3" fontId="57" fillId="0" borderId="0" xfId="114" applyNumberFormat="1" applyFont="1"/>
    <xf numFmtId="172" fontId="57" fillId="0" borderId="40" xfId="114" applyFont="1" applyBorder="1" applyAlignment="1" applyProtection="1">
      <alignment horizontal="right"/>
    </xf>
    <xf numFmtId="172" fontId="57" fillId="0" borderId="42" xfId="114" applyFont="1" applyBorder="1"/>
    <xf numFmtId="172" fontId="57" fillId="0" borderId="42" xfId="114" applyFont="1" applyBorder="1" applyAlignment="1" applyProtection="1">
      <alignment horizontal="center"/>
    </xf>
    <xf numFmtId="172" fontId="57" fillId="0" borderId="52" xfId="114" applyFont="1" applyBorder="1" applyAlignment="1" applyProtection="1">
      <alignment horizontal="center"/>
    </xf>
    <xf numFmtId="172" fontId="57" fillId="0" borderId="40" xfId="114" applyFont="1" applyBorder="1" applyAlignment="1" applyProtection="1">
      <alignment horizontal="center"/>
    </xf>
    <xf numFmtId="172" fontId="57" fillId="0" borderId="43" xfId="114" applyFont="1" applyBorder="1" applyAlignment="1">
      <alignment horizontal="center"/>
    </xf>
    <xf numFmtId="172" fontId="57" fillId="0" borderId="43" xfId="114" applyFont="1" applyBorder="1"/>
    <xf numFmtId="172" fontId="57" fillId="0" borderId="3" xfId="114" applyFont="1" applyBorder="1" applyAlignment="1">
      <alignment horizontal="center"/>
    </xf>
    <xf numFmtId="172" fontId="64" fillId="0" borderId="43" xfId="114" applyFont="1" applyBorder="1" applyAlignment="1" applyProtection="1">
      <alignment horizontal="center"/>
    </xf>
    <xf numFmtId="172" fontId="64" fillId="0" borderId="43" xfId="114" applyFont="1" applyBorder="1" applyAlignment="1">
      <alignment horizontal="center"/>
    </xf>
    <xf numFmtId="172" fontId="57" fillId="0" borderId="43" xfId="114" applyFont="1" applyBorder="1" applyAlignment="1" applyProtection="1">
      <alignment horizontal="center"/>
    </xf>
    <xf numFmtId="172" fontId="57" fillId="0" borderId="3" xfId="114" applyFont="1" applyBorder="1" applyAlignment="1" applyProtection="1">
      <alignment horizontal="center"/>
    </xf>
    <xf numFmtId="172" fontId="57" fillId="0" borderId="45" xfId="114" applyFont="1" applyBorder="1" applyAlignment="1" applyProtection="1">
      <alignment horizontal="center"/>
    </xf>
    <xf numFmtId="172" fontId="57" fillId="0" borderId="45" xfId="114" applyFont="1" applyBorder="1" applyAlignment="1" applyProtection="1">
      <alignment horizontal="left"/>
    </xf>
    <xf numFmtId="172" fontId="57" fillId="0" borderId="44" xfId="114" applyFont="1" applyBorder="1"/>
    <xf numFmtId="172" fontId="57" fillId="0" borderId="42" xfId="114" applyFont="1" applyBorder="1" applyAlignment="1">
      <alignment horizontal="center"/>
    </xf>
    <xf numFmtId="172" fontId="57" fillId="0" borderId="0" xfId="114" applyFont="1" applyAlignment="1">
      <alignment horizontal="center"/>
    </xf>
    <xf numFmtId="172" fontId="57" fillId="0" borderId="4" xfId="114" applyFont="1" applyBorder="1" applyAlignment="1" applyProtection="1">
      <alignment horizontal="centerContinuous"/>
    </xf>
    <xf numFmtId="172" fontId="57" fillId="0" borderId="50" xfId="114" applyFont="1" applyBorder="1" applyAlignment="1" applyProtection="1">
      <alignment horizontal="centerContinuous"/>
    </xf>
    <xf numFmtId="172" fontId="57" fillId="0" borderId="40" xfId="114" applyFont="1" applyBorder="1"/>
    <xf numFmtId="172" fontId="57" fillId="0" borderId="51" xfId="114" applyFont="1" applyBorder="1" applyAlignment="1">
      <alignment horizontal="center"/>
    </xf>
    <xf numFmtId="172" fontId="57" fillId="0" borderId="51" xfId="114" applyFont="1" applyBorder="1" applyAlignment="1" applyProtection="1">
      <alignment horizontal="center"/>
    </xf>
    <xf numFmtId="172" fontId="57" fillId="0" borderId="55" xfId="114" applyFont="1" applyBorder="1"/>
    <xf numFmtId="172" fontId="57" fillId="0" borderId="3" xfId="114" applyFont="1" applyBorder="1"/>
    <xf numFmtId="172" fontId="65" fillId="0" borderId="3" xfId="114" applyFont="1" applyBorder="1" applyProtection="1">
      <protection locked="0"/>
    </xf>
    <xf numFmtId="172" fontId="64" fillId="0" borderId="0" xfId="114" applyFont="1" applyAlignment="1">
      <alignment horizontal="centerContinuous"/>
    </xf>
    <xf numFmtId="172" fontId="64" fillId="0" borderId="0" xfId="114" applyFont="1" applyAlignment="1" applyProtection="1">
      <alignment horizontal="centerContinuous"/>
    </xf>
    <xf numFmtId="172" fontId="57" fillId="0" borderId="0" xfId="114" applyFont="1" applyAlignment="1">
      <alignment horizontal="centerContinuous"/>
    </xf>
    <xf numFmtId="172" fontId="57" fillId="0" borderId="0" xfId="114" applyFont="1" applyAlignment="1" applyProtection="1">
      <alignment horizontal="centerContinuous"/>
    </xf>
    <xf numFmtId="42" fontId="0" fillId="0" borderId="0" xfId="0" applyNumberFormat="1"/>
    <xf numFmtId="0" fontId="0" fillId="0" borderId="0" xfId="0" applyAlignment="1">
      <alignment horizontal="center"/>
    </xf>
    <xf numFmtId="44" fontId="0" fillId="0" borderId="0" xfId="113" applyFont="1"/>
    <xf numFmtId="0" fontId="2" fillId="0" borderId="56" xfId="0" applyFont="1" applyFill="1" applyBorder="1" applyAlignment="1">
      <alignment horizontal="left"/>
    </xf>
    <xf numFmtId="44" fontId="2" fillId="0" borderId="56" xfId="113" applyFont="1" applyFill="1" applyBorder="1"/>
    <xf numFmtId="0" fontId="48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0" fontId="48" fillId="0" borderId="0" xfId="0" quotePrefix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7" fontId="10" fillId="0" borderId="0" xfId="0" applyNumberFormat="1" applyFont="1" applyFill="1" applyAlignment="1">
      <alignment horizontal="center"/>
    </xf>
  </cellXfs>
  <cellStyles count="117">
    <cellStyle name="20% - Accent1 2" xfId="4"/>
    <cellStyle name="20% - Accent1 2 2" xfId="5"/>
    <cellStyle name="20% - Accent2 2" xfId="6"/>
    <cellStyle name="20% - Accent2 2 2" xfId="7"/>
    <cellStyle name="20% - Accent3 2" xfId="8"/>
    <cellStyle name="20% - Accent3 2 2" xfId="9"/>
    <cellStyle name="20% - Accent4 2" xfId="10"/>
    <cellStyle name="20% - Accent4 2 2" xfId="11"/>
    <cellStyle name="20% - Accent5 2" xfId="12"/>
    <cellStyle name="20% - Accent5 2 2" xfId="13"/>
    <cellStyle name="20% - Accent6 2" xfId="14"/>
    <cellStyle name="20% - Accent6 2 2" xfId="15"/>
    <cellStyle name="40% - Accent1 2" xfId="16"/>
    <cellStyle name="40% - Accent1 2 2" xfId="17"/>
    <cellStyle name="40% - Accent2 2" xfId="18"/>
    <cellStyle name="40% - Accent2 2 2" xfId="19"/>
    <cellStyle name="40% - Accent3 2" xfId="20"/>
    <cellStyle name="40% - Accent3 2 2" xfId="21"/>
    <cellStyle name="40% - Accent4 2" xfId="22"/>
    <cellStyle name="40% - Accent4 2 2" xfId="23"/>
    <cellStyle name="40% - Accent5 2" xfId="24"/>
    <cellStyle name="40% - Accent5 2 2" xfId="25"/>
    <cellStyle name="40% - Accent6 2" xfId="26"/>
    <cellStyle name="40% - Accent6 2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ulation 2" xfId="41"/>
    <cellStyle name="Check Cell 2" xfId="42"/>
    <cellStyle name="Comma" xfId="1" builtinId="3"/>
    <cellStyle name="Comma 2" xfId="3"/>
    <cellStyle name="Comma 2 2" xfId="43"/>
    <cellStyle name="Comma 2 2 2" xfId="100"/>
    <cellStyle name="Comma 2 2 3" xfId="115"/>
    <cellStyle name="Comma 2 3" xfId="101"/>
    <cellStyle name="Comma 3" xfId="44"/>
    <cellStyle name="Comma 3 2" xfId="102"/>
    <cellStyle name="Comma 4" xfId="45"/>
    <cellStyle name="Comma 4 2" xfId="46"/>
    <cellStyle name="Comma 4 3" xfId="47"/>
    <cellStyle name="Comma 4 4" xfId="48"/>
    <cellStyle name="Comma 4 5" xfId="49"/>
    <cellStyle name="Comma 5" xfId="50"/>
    <cellStyle name="Comma 6" xfId="51"/>
    <cellStyle name="Comma 6 2" xfId="52"/>
    <cellStyle name="Comma 6 3" xfId="53"/>
    <cellStyle name="Comma 6 4" xfId="54"/>
    <cellStyle name="Comma 6 5" xfId="55"/>
    <cellStyle name="Comma 7" xfId="56"/>
    <cellStyle name="Currency" xfId="113" builtinId="4"/>
    <cellStyle name="Currency 2" xfId="57"/>
    <cellStyle name="Currency 2 2" xfId="103"/>
    <cellStyle name="Currency 3" xfId="58"/>
    <cellStyle name="Explanatory Text 2" xfId="59"/>
    <cellStyle name="Good" xfId="112" builtinId="26"/>
    <cellStyle name="Good 2" xfId="60"/>
    <cellStyle name="Heading 1 2" xfId="61"/>
    <cellStyle name="Heading 2 2" xfId="62"/>
    <cellStyle name="Heading 3 2" xfId="63"/>
    <cellStyle name="Heading 4 2" xfId="64"/>
    <cellStyle name="Input 2" xfId="65"/>
    <cellStyle name="Linked Cell 2" xfId="66"/>
    <cellStyle name="Neutral 2" xfId="67"/>
    <cellStyle name="Normal" xfId="0" builtinId="0"/>
    <cellStyle name="Normal 2" xfId="68"/>
    <cellStyle name="Normal 2 2" xfId="69"/>
    <cellStyle name="Normal 2 2 2" xfId="104"/>
    <cellStyle name="Normal 2 2 3" xfId="114"/>
    <cellStyle name="Normal 2 3" xfId="70"/>
    <cellStyle name="Normal 2 3 2" xfId="105"/>
    <cellStyle name="Normal 2 4" xfId="71"/>
    <cellStyle name="Normal 2 4 2" xfId="106"/>
    <cellStyle name="Normal 2 5" xfId="72"/>
    <cellStyle name="Normal 2 5 2" xfId="73"/>
    <cellStyle name="Normal 2 5 3" xfId="2"/>
    <cellStyle name="Normal 2 5 4" xfId="110"/>
    <cellStyle name="Normal 3" xfId="74"/>
    <cellStyle name="Normal 3 2" xfId="75"/>
    <cellStyle name="Normal 3 2 2" xfId="76"/>
    <cellStyle name="Normal 3 2 3" xfId="77"/>
    <cellStyle name="Normal 3 2 4" xfId="78"/>
    <cellStyle name="Normal 3 2 5" xfId="79"/>
    <cellStyle name="Normal 3 3" xfId="107"/>
    <cellStyle name="Normal 4" xfId="80"/>
    <cellStyle name="Normal 5" xfId="81"/>
    <cellStyle name="Normal 5 2" xfId="82"/>
    <cellStyle name="Normal 5 3" xfId="83"/>
    <cellStyle name="Normal 5 4" xfId="84"/>
    <cellStyle name="Normal 5 5" xfId="85"/>
    <cellStyle name="Normal 6" xfId="86"/>
    <cellStyle name="Normal 7" xfId="87"/>
    <cellStyle name="Normal 7 2" xfId="88"/>
    <cellStyle name="Normal 7 3" xfId="89"/>
    <cellStyle name="Normal 7 4" xfId="90"/>
    <cellStyle name="Normal 7 5" xfId="91"/>
    <cellStyle name="Normal 8" xfId="109"/>
    <cellStyle name="Normal 8 2" xfId="111"/>
    <cellStyle name="Note 2" xfId="92"/>
    <cellStyle name="Note 2 2" xfId="93"/>
    <cellStyle name="Output 2" xfId="94"/>
    <cellStyle name="Percent" xfId="116" builtinId="5"/>
    <cellStyle name="Percent 2" xfId="95"/>
    <cellStyle name="Percent 2 2" xfId="108"/>
    <cellStyle name="Percent 3" xfId="96"/>
    <cellStyle name="Title 2" xfId="97"/>
    <cellStyle name="Total 2" xfId="98"/>
    <cellStyle name="Warning Text 2" xfId="99"/>
  </cellStyles>
  <dxfs count="0"/>
  <tableStyles count="0" defaultTableStyle="TableStyleMedium2" defaultPivotStyle="PivotStyleLight16"/>
  <colors>
    <mruColors>
      <color rgb="FF66FF66"/>
      <color rgb="FF0000FF"/>
      <color rgb="FFD6009E"/>
      <color rgb="FFCCFF33"/>
      <color rgb="FFFFCCFF"/>
      <color rgb="FF7500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69.xml"/><Relationship Id="rId89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9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90" Type="http://schemas.openxmlformats.org/officeDocument/2006/relationships/customXml" Target="../customXml/item2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6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externalLink" Target="externalLinks/externalLink65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68.xml"/><Relationship Id="rId88" Type="http://schemas.openxmlformats.org/officeDocument/2006/relationships/calcChain" Target="calcChain.xml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66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38100</xdr:colOff>
      <xdr:row>27</xdr:row>
      <xdr:rowOff>9525</xdr:rowOff>
    </xdr:from>
    <xdr:to>
      <xdr:col>25</xdr:col>
      <xdr:colOff>256538</xdr:colOff>
      <xdr:row>52</xdr:row>
      <xdr:rowOff>85119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54200" y="4970145"/>
          <a:ext cx="5217158" cy="465521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</xdr:colOff>
      <xdr:row>0</xdr:row>
      <xdr:rowOff>0</xdr:rowOff>
    </xdr:from>
    <xdr:to>
      <xdr:col>25</xdr:col>
      <xdr:colOff>199392</xdr:colOff>
      <xdr:row>25</xdr:row>
      <xdr:rowOff>37496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25625" y="0"/>
          <a:ext cx="5188587" cy="46323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428625</xdr:colOff>
      <xdr:row>0</xdr:row>
      <xdr:rowOff>0</xdr:rowOff>
    </xdr:from>
    <xdr:ext cx="5203827" cy="448818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6065" y="0"/>
          <a:ext cx="5203827" cy="4488180"/>
        </a:xfrm>
        <a:prstGeom prst="rect">
          <a:avLst/>
        </a:prstGeom>
      </xdr:spPr>
    </xdr:pic>
    <xdr:clientData/>
  </xdr:oneCellAnchor>
  <xdr:oneCellAnchor>
    <xdr:from>
      <xdr:col>16</xdr:col>
      <xdr:colOff>438150</xdr:colOff>
      <xdr:row>25</xdr:row>
      <xdr:rowOff>76200</xdr:rowOff>
    </xdr:from>
    <xdr:ext cx="5280017" cy="460759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5590" y="4267200"/>
          <a:ext cx="5280017" cy="46075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419100</xdr:colOff>
      <xdr:row>21</xdr:row>
      <xdr:rowOff>47625</xdr:rowOff>
    </xdr:from>
    <xdr:to>
      <xdr:col>24</xdr:col>
      <xdr:colOff>383270</xdr:colOff>
      <xdr:row>46</xdr:row>
      <xdr:rowOff>126394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8450" y="3914775"/>
          <a:ext cx="7279370" cy="4682519"/>
        </a:xfrm>
        <a:prstGeom prst="rect">
          <a:avLst/>
        </a:prstGeom>
      </xdr:spPr>
    </xdr:pic>
    <xdr:clientData/>
  </xdr:twoCellAnchor>
  <xdr:twoCellAnchor editAs="oneCell">
    <xdr:from>
      <xdr:col>9</xdr:col>
      <xdr:colOff>469899</xdr:colOff>
      <xdr:row>0</xdr:row>
      <xdr:rowOff>0</xdr:rowOff>
    </xdr:from>
    <xdr:to>
      <xdr:col>20</xdr:col>
      <xdr:colOff>477352</xdr:colOff>
      <xdr:row>18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0449" y="0"/>
          <a:ext cx="6713053" cy="3381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112369</xdr:colOff>
      <xdr:row>13</xdr:row>
      <xdr:rowOff>37786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47619" cy="25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ACA/PwrStat/Penny/LARGEQUALIFIED/Qf99/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Compliance%20Filing\190529-30-PSE-WP-Cmpl-RevReq-COS-(9-23-20)(C)\190529-30-PSE-WP-SEF-18.00G-GAS-MODEL-19GRC-01-2020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newgas/2000/Oct00/REVNEW0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PCORC/RORC%20Filing/PC%20Summary%202004-2008%20Aurora%20+%20Not%20Auror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</sheetNames>
    <definedNames>
      <definedName name="Number_of_Payments"/>
      <definedName name="Values_Entered"/>
    </defined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1"/>
  <sheetViews>
    <sheetView tabSelected="1" zoomScale="90" zoomScaleNormal="90" workbookViewId="0">
      <pane xSplit="2" ySplit="4" topLeftCell="C5" activePane="bottomRight" state="frozen"/>
      <selection activeCell="B31" sqref="B31"/>
      <selection pane="topRight" activeCell="B31" sqref="B31"/>
      <selection pane="bottomLeft" activeCell="B31" sqref="B31"/>
      <selection pane="bottomRight" activeCell="D12" sqref="D12"/>
    </sheetView>
  </sheetViews>
  <sheetFormatPr defaultColWidth="9.140625" defaultRowHeight="15" x14ac:dyDescent="0.25"/>
  <cols>
    <col min="1" max="1" width="5.140625" style="8" customWidth="1"/>
    <col min="2" max="2" width="66" style="2" customWidth="1"/>
    <col min="3" max="3" width="17.85546875" style="12" bestFit="1" customWidth="1"/>
    <col min="4" max="4" width="14" style="2" bestFit="1" customWidth="1"/>
    <col min="5" max="5" width="13.140625" style="2" bestFit="1" customWidth="1"/>
    <col min="6" max="6" width="14" style="2" customWidth="1"/>
    <col min="7" max="7" width="3.85546875" style="2" customWidth="1"/>
    <col min="8" max="9" width="16.140625" style="2" bestFit="1" customWidth="1"/>
    <col min="10" max="10" width="14.5703125" style="2" bestFit="1" customWidth="1"/>
    <col min="11" max="11" width="9.140625" style="2"/>
    <col min="12" max="12" width="17.42578125" style="2" bestFit="1" customWidth="1"/>
    <col min="13" max="14" width="12.140625" style="2" bestFit="1" customWidth="1"/>
    <col min="15" max="15" width="17.140625" style="2" bestFit="1" customWidth="1"/>
    <col min="16" max="16" width="9.140625" style="2"/>
    <col min="17" max="17" width="12.140625" style="2" bestFit="1" customWidth="1"/>
    <col min="18" max="19" width="9.140625" style="2"/>
    <col min="20" max="20" width="16.140625" style="2" bestFit="1" customWidth="1"/>
    <col min="21" max="16384" width="9.140625" style="2"/>
  </cols>
  <sheetData>
    <row r="1" spans="1:10" ht="18.75" x14ac:dyDescent="0.3">
      <c r="A1" s="137" t="s">
        <v>167</v>
      </c>
      <c r="B1" s="136"/>
      <c r="C1" s="11"/>
    </row>
    <row r="2" spans="1:10" ht="18.75" x14ac:dyDescent="0.3">
      <c r="A2" s="68"/>
      <c r="B2" s="10"/>
      <c r="C2" s="11"/>
    </row>
    <row r="3" spans="1:10" x14ac:dyDescent="0.25">
      <c r="A3" s="68"/>
      <c r="D3" s="13" t="s">
        <v>20</v>
      </c>
      <c r="E3" s="14"/>
      <c r="F3" s="15"/>
      <c r="H3" s="13" t="s">
        <v>21</v>
      </c>
      <c r="I3" s="15"/>
      <c r="J3" s="15"/>
    </row>
    <row r="4" spans="1:10" x14ac:dyDescent="0.25">
      <c r="A4" s="68"/>
      <c r="D4" s="16" t="s">
        <v>0</v>
      </c>
      <c r="E4" s="16" t="s">
        <v>1</v>
      </c>
      <c r="F4" s="16" t="s">
        <v>2</v>
      </c>
      <c r="H4" s="16" t="s">
        <v>0</v>
      </c>
      <c r="I4" s="16" t="s">
        <v>1</v>
      </c>
      <c r="J4" s="16" t="s">
        <v>2</v>
      </c>
    </row>
    <row r="5" spans="1:10" x14ac:dyDescent="0.25">
      <c r="A5" s="68"/>
      <c r="H5" s="2">
        <f>'E Conversion Factor'!E20</f>
        <v>0.95034799999999997</v>
      </c>
      <c r="I5" s="2">
        <f>'G Conversion Factor'!E20</f>
        <v>0.95344399999999996</v>
      </c>
    </row>
    <row r="6" spans="1:10" x14ac:dyDescent="0.25">
      <c r="A6" s="68">
        <f>ROW()</f>
        <v>6</v>
      </c>
      <c r="B6" s="2" t="s">
        <v>168</v>
      </c>
      <c r="C6" s="18"/>
      <c r="D6" s="213">
        <f>'2023 FINAL Rev Req'!D21</f>
        <v>44476425.825052522</v>
      </c>
      <c r="E6" s="213">
        <f>'2023 FINAL Rev Req'!E21</f>
        <v>20401723.722461723</v>
      </c>
      <c r="F6" s="213">
        <f>SUM(D6:E6)</f>
        <v>64878149.547514245</v>
      </c>
      <c r="G6" s="136"/>
      <c r="H6" s="214">
        <f>'2023 FINAL Rev Req'!H21</f>
        <v>46800146.709471188</v>
      </c>
      <c r="I6" s="214">
        <f>'2023 FINAL Rev Req'!I21</f>
        <v>21397925.544092495</v>
      </c>
      <c r="J6" s="213">
        <f>SUM(H6:I6)</f>
        <v>68198072.253563687</v>
      </c>
    </row>
    <row r="7" spans="1:10" x14ac:dyDescent="0.25">
      <c r="A7" s="68">
        <f>ROW()</f>
        <v>7</v>
      </c>
      <c r="H7" s="154"/>
      <c r="I7" s="154"/>
    </row>
    <row r="8" spans="1:10" x14ac:dyDescent="0.25">
      <c r="A8" s="68">
        <f>ROW()</f>
        <v>8</v>
      </c>
      <c r="B8" s="2" t="s">
        <v>3</v>
      </c>
      <c r="E8" s="26"/>
    </row>
    <row r="9" spans="1:10" x14ac:dyDescent="0.25">
      <c r="A9" s="68">
        <f>ROW()</f>
        <v>9</v>
      </c>
      <c r="B9" s="17" t="s">
        <v>169</v>
      </c>
      <c r="C9" s="26"/>
      <c r="D9" s="3">
        <f>'Summary for Tracker Filing'!B9</f>
        <v>35309737.004852846</v>
      </c>
      <c r="E9" s="3">
        <f>'Summary for Tracker Filing'!B10</f>
        <v>17626062.637631837</v>
      </c>
      <c r="F9" s="3">
        <f>SUM(D9:E9)</f>
        <v>52935799.64248468</v>
      </c>
      <c r="H9" s="4">
        <f>D9/$H$5</f>
        <v>37154533.923207968</v>
      </c>
      <c r="I9" s="4">
        <f>E9/$I$5</f>
        <v>18486730.880504612</v>
      </c>
      <c r="J9" s="3">
        <f>SUM(H9:I9)</f>
        <v>55641264.803712577</v>
      </c>
    </row>
    <row r="10" spans="1:10" x14ac:dyDescent="0.25">
      <c r="A10" s="68">
        <f>ROW()</f>
        <v>10</v>
      </c>
      <c r="B10" s="17" t="s">
        <v>168</v>
      </c>
      <c r="C10" s="18" t="s">
        <v>171</v>
      </c>
      <c r="D10" s="3">
        <f>D6</f>
        <v>44476425.825052522</v>
      </c>
      <c r="E10" s="3">
        <f>E6</f>
        <v>20401723.722461723</v>
      </c>
      <c r="F10" s="3">
        <f>SUM(D10:E10)</f>
        <v>64878149.547514245</v>
      </c>
      <c r="H10" s="4">
        <f>H6</f>
        <v>46800146.709471188</v>
      </c>
      <c r="I10" s="4">
        <f>I6</f>
        <v>21397925.544092495</v>
      </c>
      <c r="J10" s="3">
        <f>SUM(H10:I10)</f>
        <v>68198072.253563687</v>
      </c>
    </row>
    <row r="11" spans="1:10" x14ac:dyDescent="0.25">
      <c r="A11" s="68">
        <f>ROW()</f>
        <v>11</v>
      </c>
      <c r="B11" s="2" t="s">
        <v>183</v>
      </c>
      <c r="D11" s="3">
        <f>'Elec Load Variance'!P35*H5</f>
        <v>-760665.17568123667</v>
      </c>
      <c r="E11" s="135">
        <f>'Gas Load Variance'!O20*'2024 FINAL Rev Req'!I5</f>
        <v>162406.85716641782</v>
      </c>
      <c r="F11" s="3">
        <f>SUM(D11:E11)</f>
        <v>-598258.31851481879</v>
      </c>
      <c r="H11" s="4">
        <f>D11/$H$5</f>
        <v>-800406.98321166215</v>
      </c>
      <c r="I11" s="4">
        <f>E11/$I$5</f>
        <v>170337.06978744199</v>
      </c>
      <c r="J11" s="3">
        <f>SUM(H11:I11)</f>
        <v>-630069.91342422017</v>
      </c>
    </row>
    <row r="12" spans="1:10" x14ac:dyDescent="0.25">
      <c r="A12" s="68">
        <f>ROW()</f>
        <v>12</v>
      </c>
      <c r="B12" s="2" t="s">
        <v>193</v>
      </c>
      <c r="D12" s="3">
        <f>'2023 Actual Payment '!F11</f>
        <v>-7445853.3400000036</v>
      </c>
      <c r="E12" s="135">
        <f>'2023 Actual Payment '!F12</f>
        <v>-4007686.1900000013</v>
      </c>
      <c r="F12" s="3">
        <f t="shared" ref="F12:F13" si="0">SUM(D12:E12)</f>
        <v>-11453539.530000005</v>
      </c>
      <c r="H12" s="4">
        <f>D12/H5</f>
        <v>-7834870.3211876107</v>
      </c>
      <c r="I12" s="4">
        <f>E12/I5</f>
        <v>-4203378.6882082233</v>
      </c>
      <c r="J12" s="3">
        <f t="shared" ref="J12:J13" si="1">SUM(H12:I12)</f>
        <v>-12038249.009395834</v>
      </c>
    </row>
    <row r="13" spans="1:10" x14ac:dyDescent="0.25">
      <c r="A13" s="68">
        <f>ROW()</f>
        <v>13</v>
      </c>
      <c r="B13" s="17" t="s">
        <v>170</v>
      </c>
      <c r="D13" s="3">
        <f>'141Z residual transfer'!F7</f>
        <v>1060751.3807328399</v>
      </c>
      <c r="E13" s="135">
        <f>'141Z residual transfer'!F10</f>
        <v>44938.569595496061</v>
      </c>
      <c r="F13" s="3">
        <f t="shared" si="0"/>
        <v>1105689.9503283361</v>
      </c>
      <c r="H13" s="4">
        <f>D13/H5</f>
        <v>1116171.5295163877</v>
      </c>
      <c r="I13" s="215">
        <f>E13/I5</f>
        <v>47132.888345299842</v>
      </c>
      <c r="J13" s="3">
        <f t="shared" si="1"/>
        <v>1163304.4178616875</v>
      </c>
    </row>
    <row r="14" spans="1:10" x14ac:dyDescent="0.25">
      <c r="A14" s="68">
        <f>ROW()</f>
        <v>14</v>
      </c>
      <c r="D14" s="5"/>
      <c r="E14" s="5"/>
      <c r="F14" s="5"/>
      <c r="H14" s="19">
        <f>'Elec Load Variance'!P35-'2024 FINAL Rev Req'!H11</f>
        <v>0</v>
      </c>
      <c r="I14" s="19">
        <f>'Gas Load Variance'!O20-'2024 FINAL Rev Req'!I11</f>
        <v>0</v>
      </c>
      <c r="J14" s="20" t="s">
        <v>114</v>
      </c>
    </row>
    <row r="15" spans="1:10" x14ac:dyDescent="0.25">
      <c r="A15" s="68">
        <f>ROW()</f>
        <v>15</v>
      </c>
      <c r="B15" s="2" t="s">
        <v>115</v>
      </c>
      <c r="C15" s="18" t="s">
        <v>195</v>
      </c>
      <c r="D15" s="3">
        <f>D9-D10+D11+D12+D13</f>
        <v>-16312455.955148077</v>
      </c>
      <c r="E15" s="3">
        <f>E9-E10+E11+E12+E13</f>
        <v>-6576001.8480679728</v>
      </c>
      <c r="F15" s="3">
        <f>SUM(D15:E15)</f>
        <v>-22888457.803216048</v>
      </c>
      <c r="H15" s="3">
        <f>H9-H10+H11+H12+H13</f>
        <v>-17164718.561146107</v>
      </c>
      <c r="I15" s="3">
        <f>I9-I10+I11+I12+I13</f>
        <v>-6897103.3936633645</v>
      </c>
      <c r="J15" s="3">
        <f>SUM(H15:I15)</f>
        <v>-24061821.954809472</v>
      </c>
    </row>
    <row r="16" spans="1:10" x14ac:dyDescent="0.25">
      <c r="A16" s="68">
        <f>ROW()</f>
        <v>16</v>
      </c>
      <c r="D16" s="5"/>
      <c r="E16" s="5"/>
      <c r="F16" s="5"/>
      <c r="H16" s="5"/>
      <c r="I16" s="5"/>
      <c r="J16" s="5"/>
    </row>
    <row r="17" spans="1:20" ht="15.75" thickBot="1" x14ac:dyDescent="0.3">
      <c r="A17" s="68">
        <f>ROW()</f>
        <v>17</v>
      </c>
      <c r="B17" s="2" t="s">
        <v>186</v>
      </c>
      <c r="C17" s="18" t="s">
        <v>196</v>
      </c>
      <c r="D17" s="6">
        <f>D6+D15</f>
        <v>28163969.869904444</v>
      </c>
      <c r="E17" s="6">
        <f>E6+E15</f>
        <v>13825721.87439375</v>
      </c>
      <c r="F17" s="6">
        <f>SUM(D17:E17)</f>
        <v>41989691.74429819</v>
      </c>
      <c r="H17" s="6">
        <f>H6+H15</f>
        <v>29635428.148325082</v>
      </c>
      <c r="I17" s="6">
        <f>I6+I15</f>
        <v>14500822.15042913</v>
      </c>
      <c r="J17" s="6">
        <f>SUM(H17:I17)</f>
        <v>44136250.298754215</v>
      </c>
    </row>
    <row r="18" spans="1:20" ht="15.75" thickTop="1" x14ac:dyDescent="0.25">
      <c r="A18" s="68">
        <f>ROW()</f>
        <v>18</v>
      </c>
    </row>
    <row r="19" spans="1:20" x14ac:dyDescent="0.25">
      <c r="A19" s="68">
        <f>ROW()</f>
        <v>19</v>
      </c>
    </row>
    <row r="20" spans="1:20" x14ac:dyDescent="0.25">
      <c r="A20" s="68">
        <f>ROW()</f>
        <v>20</v>
      </c>
      <c r="B20" s="2" t="s">
        <v>4</v>
      </c>
      <c r="C20" s="18" t="s">
        <v>197</v>
      </c>
      <c r="D20" s="4">
        <f>D17-D21</f>
        <v>38407473.018959478</v>
      </c>
      <c r="E20" s="4">
        <f>E17-E21</f>
        <v>15846707.810724655</v>
      </c>
      <c r="F20" s="4">
        <f>SUM(D20:E20)</f>
        <v>54254180.829684131</v>
      </c>
      <c r="H20" s="4">
        <f>D20/H5</f>
        <v>40414114.639015898</v>
      </c>
      <c r="I20" s="4">
        <f>E20/I5</f>
        <v>16620491.408750441</v>
      </c>
      <c r="J20" s="4">
        <f>SUM(H20:I20)</f>
        <v>57034606.047766343</v>
      </c>
      <c r="O20" s="155"/>
    </row>
    <row r="21" spans="1:20" x14ac:dyDescent="0.25">
      <c r="A21" s="68">
        <f>ROW()</f>
        <v>21</v>
      </c>
      <c r="B21" s="2" t="s">
        <v>187</v>
      </c>
      <c r="C21" s="26"/>
      <c r="D21" s="3">
        <f>'Electric summary'!G20+D30</f>
        <v>-10243503.149055036</v>
      </c>
      <c r="E21" s="3">
        <f>'Gas summary'!G20+E30</f>
        <v>-2020985.9363309052</v>
      </c>
      <c r="F21" s="3">
        <f>SUM(D21:E21)</f>
        <v>-12264489.085385941</v>
      </c>
      <c r="H21" s="1">
        <f>D21/$H$5</f>
        <v>-10778686.490690816</v>
      </c>
      <c r="I21" s="1">
        <f>E21/$I$5</f>
        <v>-2119669.2583213123</v>
      </c>
      <c r="J21" s="3">
        <f>SUM(H21:I21)</f>
        <v>-12898355.749012128</v>
      </c>
    </row>
    <row r="22" spans="1:20" x14ac:dyDescent="0.25">
      <c r="A22" s="68">
        <f>ROW()</f>
        <v>22</v>
      </c>
      <c r="D22" s="5"/>
      <c r="E22" s="5"/>
      <c r="F22" s="5"/>
      <c r="H22" s="5"/>
      <c r="I22" s="5"/>
      <c r="J22" s="5"/>
    </row>
    <row r="23" spans="1:20" ht="15.75" thickBot="1" x14ac:dyDescent="0.3">
      <c r="A23" s="68">
        <f>ROW()</f>
        <v>23</v>
      </c>
      <c r="B23" s="2" t="s">
        <v>19</v>
      </c>
      <c r="C23" s="18" t="s">
        <v>198</v>
      </c>
      <c r="D23" s="6">
        <f>SUM(D20:D21)</f>
        <v>28163969.869904444</v>
      </c>
      <c r="E23" s="6">
        <f>SUM(E20:E22)</f>
        <v>13825721.87439375</v>
      </c>
      <c r="F23" s="6">
        <f>SUM(D23:E23)</f>
        <v>41989691.74429819</v>
      </c>
      <c r="H23" s="6">
        <f>SUM(H20:H21)</f>
        <v>29635428.148325082</v>
      </c>
      <c r="I23" s="6">
        <f>SUM(I20:I21)</f>
        <v>14500822.15042913</v>
      </c>
      <c r="J23" s="6">
        <f>SUM(H23:I23)</f>
        <v>44136250.298754215</v>
      </c>
    </row>
    <row r="24" spans="1:20" ht="15.75" thickTop="1" x14ac:dyDescent="0.25">
      <c r="A24" s="68">
        <f>ROW()</f>
        <v>24</v>
      </c>
    </row>
    <row r="25" spans="1:20" x14ac:dyDescent="0.25">
      <c r="A25" s="68">
        <f>ROW()</f>
        <v>25</v>
      </c>
      <c r="D25" s="4"/>
      <c r="E25" s="4"/>
      <c r="F25" s="4"/>
    </row>
    <row r="26" spans="1:20" x14ac:dyDescent="0.25">
      <c r="A26" s="68">
        <f>ROW()</f>
        <v>26</v>
      </c>
      <c r="B26" s="2" t="s">
        <v>188</v>
      </c>
    </row>
    <row r="27" spans="1:20" x14ac:dyDescent="0.25">
      <c r="A27" s="68">
        <f>ROW()</f>
        <v>27</v>
      </c>
      <c r="B27" s="17" t="s">
        <v>6</v>
      </c>
      <c r="D27" s="3">
        <f>-'2023 FINAL Rev Req'!D9+'2024 FINAL Rev Req'!D9</f>
        <v>-14040822.995147154</v>
      </c>
      <c r="E27" s="3">
        <f>-'2023 FINAL Rev Req'!E9+'2024 FINAL Rev Req'!E9</f>
        <v>-3297258.3623681627</v>
      </c>
      <c r="F27" s="3">
        <f>SUM(D27:E27)</f>
        <v>-17338081.357515316</v>
      </c>
      <c r="H27" s="1">
        <f>-'2023 FINAL Rev Req'!H9+'2024 FINAL Rev Req'!H9</f>
        <v>-14774401.582522564</v>
      </c>
      <c r="I27" s="1">
        <f>-'2023 FINAL Rev Req'!I9+'2024 FINAL Rev Req'!I9</f>
        <v>-3458261.1693693213</v>
      </c>
      <c r="J27" s="3">
        <f>SUM(H27:I27)</f>
        <v>-18232662.751891885</v>
      </c>
      <c r="N27" s="4"/>
    </row>
    <row r="28" spans="1:20" x14ac:dyDescent="0.25">
      <c r="A28" s="68">
        <f>ROW()</f>
        <v>28</v>
      </c>
      <c r="B28" s="17" t="s">
        <v>7</v>
      </c>
      <c r="D28" s="3">
        <f>-'2023 FINAL Rev Req'!D11+'2024 FINAL Rev Req'!D11</f>
        <v>2971738.9992662389</v>
      </c>
      <c r="E28" s="3">
        <f>-'2023 FINAL Rev Req'!E11+'2024 FINAL Rev Req'!E11</f>
        <v>752356.13470469019</v>
      </c>
      <c r="F28" s="3">
        <f>SUM(D28:E28)</f>
        <v>3724095.1339709293</v>
      </c>
      <c r="H28" s="3">
        <f>-'2023 FINAL Rev Req'!H11+'2024 FINAL Rev Req'!H11</f>
        <v>3127000.8452337869</v>
      </c>
      <c r="I28" s="3">
        <f>-'2023 FINAL Rev Req'!I11+'2024 FINAL Rev Req'!I11</f>
        <v>789093.15565957758</v>
      </c>
      <c r="J28" s="3">
        <f>SUM(H28:I28)</f>
        <v>3916094.0008933647</v>
      </c>
      <c r="O28" s="155"/>
    </row>
    <row r="29" spans="1:20" x14ac:dyDescent="0.25">
      <c r="A29" s="68">
        <f>ROW()</f>
        <v>29</v>
      </c>
      <c r="B29" s="17" t="s">
        <v>194</v>
      </c>
      <c r="D29" s="3">
        <f>D12</f>
        <v>-7445853.3400000036</v>
      </c>
      <c r="E29" s="3">
        <f>E12</f>
        <v>-4007686.1900000013</v>
      </c>
      <c r="F29" s="3">
        <f>SUM(D29:E29)</f>
        <v>-11453539.530000005</v>
      </c>
      <c r="H29" s="3">
        <f>H12</f>
        <v>-7834870.3211876107</v>
      </c>
      <c r="I29" s="3">
        <f>I12</f>
        <v>-4203378.6882082233</v>
      </c>
      <c r="J29" s="3">
        <f>SUM(H29:I29)</f>
        <v>-12038249.009395834</v>
      </c>
      <c r="O29" s="155"/>
    </row>
    <row r="30" spans="1:20" x14ac:dyDescent="0.25">
      <c r="A30" s="68">
        <f>ROW()</f>
        <v>30</v>
      </c>
      <c r="B30" s="17" t="s">
        <v>170</v>
      </c>
      <c r="D30" s="3">
        <f>D13</f>
        <v>1060751.3807328399</v>
      </c>
      <c r="E30" s="3">
        <f>E13</f>
        <v>44938.569595496061</v>
      </c>
      <c r="F30" s="3">
        <f>SUM(D30:E30)</f>
        <v>1105689.9503283361</v>
      </c>
      <c r="H30" s="1">
        <f>D30/H5</f>
        <v>1116171.5295163877</v>
      </c>
      <c r="I30" s="1">
        <f>E30/I5</f>
        <v>47132.888345299842</v>
      </c>
      <c r="J30" s="3">
        <f>SUM(H30:I30)</f>
        <v>1163304.4178616875</v>
      </c>
    </row>
    <row r="31" spans="1:20" x14ac:dyDescent="0.25">
      <c r="A31" s="68">
        <f>ROW()</f>
        <v>31</v>
      </c>
      <c r="B31" s="17" t="s">
        <v>182</v>
      </c>
      <c r="D31" s="3">
        <f>-'2023 FINAL Rev Req'!D27</f>
        <v>1141730</v>
      </c>
      <c r="E31" s="3">
        <f>-'2023 FINAL Rev Req'!E27</f>
        <v>-68352</v>
      </c>
      <c r="F31" s="3">
        <f>SUM(D31:E31)</f>
        <v>1073378</v>
      </c>
      <c r="H31" s="1">
        <f>D31/H5</f>
        <v>1201380.9678138955</v>
      </c>
      <c r="I31" s="1">
        <f>E31/I5</f>
        <v>-71689.580090702759</v>
      </c>
      <c r="J31" s="3">
        <f>SUM(H31:I31)</f>
        <v>1129691.3877231928</v>
      </c>
    </row>
    <row r="32" spans="1:20" ht="15.75" thickBot="1" x14ac:dyDescent="0.3">
      <c r="A32" s="68">
        <f>ROW()</f>
        <v>32</v>
      </c>
      <c r="B32" s="2" t="s">
        <v>185</v>
      </c>
      <c r="D32" s="21">
        <f>SUM(D27:D31)</f>
        <v>-16312455.955148079</v>
      </c>
      <c r="E32" s="21">
        <f>SUM(E27:E31)</f>
        <v>-6576001.8480679775</v>
      </c>
      <c r="F32" s="21">
        <f>SUM(F27:F31)</f>
        <v>-22888457.803216055</v>
      </c>
      <c r="H32" s="21">
        <f>SUM(H27:H31)</f>
        <v>-17164718.561146107</v>
      </c>
      <c r="I32" s="21">
        <f>SUM(I27:I31)</f>
        <v>-6897103.3936633691</v>
      </c>
      <c r="J32" s="21">
        <f>SUM(J27:J31)</f>
        <v>-24061821.954809472</v>
      </c>
      <c r="O32" s="4"/>
      <c r="Q32" s="4"/>
      <c r="T32" s="155"/>
    </row>
    <row r="33" spans="1:20" ht="15.75" thickTop="1" x14ac:dyDescent="0.25">
      <c r="A33" s="68">
        <f>ROW()</f>
        <v>33</v>
      </c>
      <c r="D33" s="7">
        <f>D32-D15</f>
        <v>0</v>
      </c>
      <c r="E33" s="7">
        <f>E32-E15</f>
        <v>0</v>
      </c>
      <c r="F33" s="7">
        <f>F32-F15</f>
        <v>0</v>
      </c>
      <c r="G33" s="22"/>
      <c r="H33" s="7">
        <f>H32-H15</f>
        <v>0</v>
      </c>
      <c r="I33" s="7">
        <f>I32-I15</f>
        <v>0</v>
      </c>
      <c r="J33" s="7">
        <f>J32-J15</f>
        <v>0</v>
      </c>
    </row>
    <row r="34" spans="1:20" x14ac:dyDescent="0.25">
      <c r="A34" s="68">
        <f>ROW()</f>
        <v>34</v>
      </c>
      <c r="D34" s="1"/>
      <c r="E34" s="1"/>
      <c r="H34" s="4"/>
      <c r="I34" s="4"/>
      <c r="J34" s="4"/>
      <c r="T34" s="156"/>
    </row>
    <row r="35" spans="1:20" x14ac:dyDescent="0.25">
      <c r="A35" s="68">
        <f>ROW()</f>
        <v>35</v>
      </c>
      <c r="B35" s="23" t="s">
        <v>67</v>
      </c>
      <c r="C35" s="18"/>
      <c r="H35" s="52">
        <f>H32/H6</f>
        <v>-0.36676634087714072</v>
      </c>
      <c r="I35" s="52">
        <f>I32/I6</f>
        <v>-0.32232579646336373</v>
      </c>
    </row>
    <row r="36" spans="1:20" x14ac:dyDescent="0.25">
      <c r="A36" s="68">
        <f>ROW()</f>
        <v>36</v>
      </c>
      <c r="B36" s="23" t="s">
        <v>68</v>
      </c>
      <c r="H36" s="8" t="str">
        <f>IF(ABS(H35)&gt;1%,"yes","no")</f>
        <v>yes</v>
      </c>
      <c r="I36" s="8" t="str">
        <f>IF(ABS(I35)&gt;1%,"yes","no")</f>
        <v>yes</v>
      </c>
    </row>
    <row r="37" spans="1:20" x14ac:dyDescent="0.25">
      <c r="A37" s="68">
        <f>ROW()</f>
        <v>37</v>
      </c>
      <c r="B37" s="24" t="s">
        <v>25</v>
      </c>
    </row>
    <row r="38" spans="1:20" x14ac:dyDescent="0.25">
      <c r="A38" s="68">
        <f>ROW()</f>
        <v>38</v>
      </c>
      <c r="B38" s="24" t="s">
        <v>26</v>
      </c>
    </row>
    <row r="40" spans="1:20" x14ac:dyDescent="0.25">
      <c r="B40" s="25"/>
    </row>
    <row r="41" spans="1:20" x14ac:dyDescent="0.25">
      <c r="B41" s="25"/>
    </row>
  </sheetData>
  <pageMargins left="0.7" right="0.7" top="0.75" bottom="0.75" header="0.3" footer="0.3"/>
  <pageSetup scale="86" orientation="landscape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1"/>
  <sheetViews>
    <sheetView zoomScale="90" zoomScaleNormal="90" workbookViewId="0">
      <selection activeCell="K34" sqref="K34"/>
    </sheetView>
  </sheetViews>
  <sheetFormatPr defaultColWidth="9.140625" defaultRowHeight="14.1" customHeight="1" x14ac:dyDescent="0.25"/>
  <cols>
    <col min="1" max="1" width="9.85546875" style="9" bestFit="1" customWidth="1"/>
    <col min="2" max="2" width="38" style="9" bestFit="1" customWidth="1"/>
    <col min="3" max="6" width="14.140625" style="9" customWidth="1"/>
    <col min="7" max="7" width="13.42578125" style="9" customWidth="1"/>
    <col min="8" max="8" width="3" style="9" customWidth="1"/>
    <col min="9" max="9" width="15.42578125" style="9" customWidth="1"/>
    <col min="10" max="10" width="15.85546875" style="9" customWidth="1"/>
    <col min="11" max="13" width="14.140625" style="9" customWidth="1"/>
    <col min="14" max="14" width="2.85546875" style="9" customWidth="1"/>
    <col min="15" max="15" width="14.140625" style="9" customWidth="1"/>
    <col min="16" max="16" width="9.140625" style="9"/>
    <col min="17" max="17" width="10.85546875" style="9" bestFit="1" customWidth="1"/>
    <col min="18" max="16384" width="9.140625" style="9"/>
  </cols>
  <sheetData>
    <row r="1" spans="1:15" ht="15" x14ac:dyDescent="0.25">
      <c r="A1" s="408" t="s">
        <v>37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</row>
    <row r="2" spans="1:15" ht="15" x14ac:dyDescent="0.25">
      <c r="A2" s="408" t="s">
        <v>139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</row>
    <row r="3" spans="1:15" ht="15" x14ac:dyDescent="0.25">
      <c r="A3" s="408" t="s">
        <v>140</v>
      </c>
      <c r="B3" s="408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</row>
    <row r="4" spans="1:15" ht="15" x14ac:dyDescent="0.25">
      <c r="A4" s="409" t="s">
        <v>224</v>
      </c>
      <c r="B4" s="408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</row>
    <row r="5" spans="1:15" ht="15" x14ac:dyDescent="0.25">
      <c r="C5" s="27"/>
      <c r="D5" s="27"/>
      <c r="E5" s="27"/>
    </row>
    <row r="6" spans="1:15" ht="60" x14ac:dyDescent="0.25">
      <c r="A6" s="28" t="s">
        <v>38</v>
      </c>
      <c r="B6" s="29" t="s">
        <v>8</v>
      </c>
      <c r="C6" s="30" t="s">
        <v>225</v>
      </c>
      <c r="D6" s="30" t="s">
        <v>226</v>
      </c>
      <c r="E6" s="31" t="s">
        <v>39</v>
      </c>
      <c r="F6" s="30" t="s">
        <v>145</v>
      </c>
      <c r="G6" s="31" t="s">
        <v>227</v>
      </c>
      <c r="I6" s="30" t="s">
        <v>228</v>
      </c>
      <c r="J6" s="30" t="s">
        <v>229</v>
      </c>
      <c r="K6" s="31" t="s">
        <v>39</v>
      </c>
      <c r="L6" s="30" t="s">
        <v>184</v>
      </c>
      <c r="M6" s="31" t="s">
        <v>230</v>
      </c>
      <c r="O6" s="30" t="s">
        <v>116</v>
      </c>
    </row>
    <row r="7" spans="1:15" ht="15" x14ac:dyDescent="0.25">
      <c r="A7" s="32" t="s">
        <v>141</v>
      </c>
      <c r="B7" s="9" t="s">
        <v>42</v>
      </c>
      <c r="C7" s="33">
        <v>294080406</v>
      </c>
      <c r="D7" s="33">
        <v>312876072.14352697</v>
      </c>
      <c r="E7" s="34">
        <f t="shared" ref="E7:E19" si="0">C7-D7</f>
        <v>-18795666.143526971</v>
      </c>
      <c r="F7" s="35">
        <v>2.3620000000000002E-2</v>
      </c>
      <c r="G7" s="36">
        <f t="shared" ref="G7:G19" si="1">E7*F7</f>
        <v>-443953.6343101071</v>
      </c>
      <c r="I7" s="33">
        <v>296971274</v>
      </c>
      <c r="J7" s="33">
        <v>274758167.36185884</v>
      </c>
      <c r="K7" s="34">
        <f t="shared" ref="K7:K19" si="2">I7-J7</f>
        <v>22213106.638141155</v>
      </c>
      <c r="L7" s="35">
        <v>2.2849999999999999E-2</v>
      </c>
      <c r="M7" s="36">
        <f t="shared" ref="M7:M19" si="3">K7*L7</f>
        <v>507569.48668152536</v>
      </c>
      <c r="O7" s="36">
        <f t="shared" ref="O7:O19" si="4">G7+M7</f>
        <v>63615.852371418267</v>
      </c>
    </row>
    <row r="8" spans="1:15" ht="15" x14ac:dyDescent="0.25">
      <c r="A8" s="32">
        <v>53</v>
      </c>
      <c r="B8" s="9" t="s">
        <v>117</v>
      </c>
      <c r="C8" s="33">
        <v>0</v>
      </c>
      <c r="D8" s="33">
        <v>0</v>
      </c>
      <c r="E8" s="34">
        <f t="shared" si="0"/>
        <v>0</v>
      </c>
      <c r="F8" s="35">
        <v>2.3620000000000002E-2</v>
      </c>
      <c r="G8" s="36">
        <f t="shared" si="1"/>
        <v>0</v>
      </c>
      <c r="I8" s="33">
        <v>0</v>
      </c>
      <c r="J8" s="33">
        <v>0</v>
      </c>
      <c r="K8" s="34">
        <f t="shared" si="2"/>
        <v>0</v>
      </c>
      <c r="L8" s="35">
        <v>2.2849999999999999E-2</v>
      </c>
      <c r="M8" s="36">
        <f t="shared" si="3"/>
        <v>0</v>
      </c>
      <c r="O8" s="36">
        <f t="shared" si="4"/>
        <v>0</v>
      </c>
    </row>
    <row r="9" spans="1:15" ht="15" x14ac:dyDescent="0.25">
      <c r="A9" s="32">
        <v>31</v>
      </c>
      <c r="B9" s="9" t="s">
        <v>118</v>
      </c>
      <c r="C9" s="33">
        <v>102360621</v>
      </c>
      <c r="D9" s="33">
        <v>120210477.17208973</v>
      </c>
      <c r="E9" s="34">
        <f t="shared" si="0"/>
        <v>-17849856.172089726</v>
      </c>
      <c r="F9" s="35">
        <v>2.5350000000000001E-2</v>
      </c>
      <c r="G9" s="36">
        <f t="shared" si="1"/>
        <v>-452493.85396247456</v>
      </c>
      <c r="I9" s="33">
        <v>137041477</v>
      </c>
      <c r="J9" s="33">
        <v>118017650.37267306</v>
      </c>
      <c r="K9" s="34">
        <f t="shared" si="2"/>
        <v>19023826.627326936</v>
      </c>
      <c r="L9" s="35">
        <v>2.513E-2</v>
      </c>
      <c r="M9" s="36">
        <f t="shared" si="3"/>
        <v>478068.76314472588</v>
      </c>
      <c r="O9" s="36">
        <f t="shared" si="4"/>
        <v>25574.909182251315</v>
      </c>
    </row>
    <row r="10" spans="1:15" ht="15" x14ac:dyDescent="0.25">
      <c r="A10" s="32" t="s">
        <v>119</v>
      </c>
      <c r="B10" s="9" t="s">
        <v>120</v>
      </c>
      <c r="C10" s="33">
        <v>14179</v>
      </c>
      <c r="D10" s="33">
        <v>588.30999999999995</v>
      </c>
      <c r="E10" s="34">
        <f t="shared" si="0"/>
        <v>13590.69</v>
      </c>
      <c r="F10" s="35">
        <v>2.5350000000000001E-2</v>
      </c>
      <c r="G10" s="36">
        <f t="shared" si="1"/>
        <v>344.52399150000002</v>
      </c>
      <c r="I10" s="33">
        <v>21083</v>
      </c>
      <c r="J10" s="33">
        <v>0</v>
      </c>
      <c r="K10" s="34">
        <f t="shared" si="2"/>
        <v>21083</v>
      </c>
      <c r="L10" s="35">
        <v>2.513E-2</v>
      </c>
      <c r="M10" s="36">
        <f t="shared" si="3"/>
        <v>529.81578999999999</v>
      </c>
      <c r="O10" s="36">
        <f t="shared" si="4"/>
        <v>874.33978150000007</v>
      </c>
    </row>
    <row r="11" spans="1:15" ht="15" x14ac:dyDescent="0.25">
      <c r="A11" s="32">
        <v>41</v>
      </c>
      <c r="B11" s="9" t="s">
        <v>121</v>
      </c>
      <c r="C11" s="33">
        <v>26134919</v>
      </c>
      <c r="D11" s="33">
        <v>31940971.041288387</v>
      </c>
      <c r="E11" s="34">
        <f t="shared" si="0"/>
        <v>-5806052.041288387</v>
      </c>
      <c r="F11" s="35">
        <v>8.709999999999999E-3</v>
      </c>
      <c r="G11" s="36">
        <f t="shared" si="1"/>
        <v>-50570.713279621843</v>
      </c>
      <c r="I11" s="33">
        <v>39017870</v>
      </c>
      <c r="J11" s="33">
        <v>37196189.821787916</v>
      </c>
      <c r="K11" s="34">
        <f t="shared" si="2"/>
        <v>1821680.1782120839</v>
      </c>
      <c r="L11" s="35">
        <v>1.004E-2</v>
      </c>
      <c r="M11" s="36">
        <f t="shared" si="3"/>
        <v>18289.668989249323</v>
      </c>
      <c r="O11" s="36">
        <f t="shared" si="4"/>
        <v>-32281.04429037252</v>
      </c>
    </row>
    <row r="12" spans="1:15" ht="15" x14ac:dyDescent="0.25">
      <c r="A12" s="32" t="s">
        <v>122</v>
      </c>
      <c r="B12" s="9" t="s">
        <v>123</v>
      </c>
      <c r="C12" s="33">
        <v>8322558</v>
      </c>
      <c r="D12" s="33">
        <v>9189682.6500000004</v>
      </c>
      <c r="E12" s="34">
        <f t="shared" si="0"/>
        <v>-867124.65000000037</v>
      </c>
      <c r="F12" s="35">
        <v>8.709999999999999E-3</v>
      </c>
      <c r="G12" s="36">
        <f t="shared" si="1"/>
        <v>-7552.6557015000026</v>
      </c>
      <c r="I12" s="33">
        <v>15367986</v>
      </c>
      <c r="J12" s="33">
        <v>11773550.5</v>
      </c>
      <c r="K12" s="34">
        <f t="shared" si="2"/>
        <v>3594435.5</v>
      </c>
      <c r="L12" s="35">
        <v>1.004E-2</v>
      </c>
      <c r="M12" s="36">
        <f t="shared" si="3"/>
        <v>36088.132420000002</v>
      </c>
      <c r="O12" s="36">
        <f t="shared" si="4"/>
        <v>28535.476718499998</v>
      </c>
    </row>
    <row r="13" spans="1:15" ht="15" x14ac:dyDescent="0.25">
      <c r="A13" s="32">
        <v>85</v>
      </c>
      <c r="B13" s="9" t="s">
        <v>124</v>
      </c>
      <c r="C13" s="33">
        <v>4852688</v>
      </c>
      <c r="D13" s="33">
        <v>10112210.937669199</v>
      </c>
      <c r="E13" s="34">
        <f t="shared" si="0"/>
        <v>-5259522.937669199</v>
      </c>
      <c r="F13" s="35">
        <v>4.6800000000000001E-3</v>
      </c>
      <c r="G13" s="36">
        <f t="shared" si="1"/>
        <v>-24614.56734829185</v>
      </c>
      <c r="I13" s="33">
        <v>7902769</v>
      </c>
      <c r="J13" s="33">
        <v>12684379.958371105</v>
      </c>
      <c r="K13" s="34">
        <f t="shared" si="2"/>
        <v>-4781610.9583711047</v>
      </c>
      <c r="L13" s="35">
        <v>5.2900000000000004E-3</v>
      </c>
      <c r="M13" s="36">
        <f t="shared" si="3"/>
        <v>-25294.721969783146</v>
      </c>
      <c r="O13" s="36">
        <f t="shared" si="4"/>
        <v>-49909.289318074996</v>
      </c>
    </row>
    <row r="14" spans="1:15" ht="15" x14ac:dyDescent="0.25">
      <c r="A14" s="32" t="s">
        <v>125</v>
      </c>
      <c r="B14" s="9" t="s">
        <v>126</v>
      </c>
      <c r="C14" s="33">
        <v>24378607</v>
      </c>
      <c r="D14" s="33">
        <v>23452921.75</v>
      </c>
      <c r="E14" s="34">
        <f t="shared" si="0"/>
        <v>925685.25</v>
      </c>
      <c r="F14" s="35">
        <v>4.6800000000000001E-3</v>
      </c>
      <c r="G14" s="36">
        <f t="shared" si="1"/>
        <v>4332.2069700000002</v>
      </c>
      <c r="I14" s="33">
        <v>49102263</v>
      </c>
      <c r="J14" s="33">
        <v>34564956.859999999</v>
      </c>
      <c r="K14" s="34">
        <f t="shared" si="2"/>
        <v>14537306.140000001</v>
      </c>
      <c r="L14" s="35">
        <v>5.2900000000000004E-3</v>
      </c>
      <c r="M14" s="36">
        <f t="shared" si="3"/>
        <v>76902.349480600009</v>
      </c>
      <c r="O14" s="36">
        <f t="shared" si="4"/>
        <v>81234.556450600008</v>
      </c>
    </row>
    <row r="15" spans="1:15" ht="15" x14ac:dyDescent="0.25">
      <c r="A15" s="32">
        <v>86</v>
      </c>
      <c r="B15" s="9" t="s">
        <v>127</v>
      </c>
      <c r="C15" s="33">
        <v>2525689</v>
      </c>
      <c r="D15" s="33">
        <v>3051131.817340401</v>
      </c>
      <c r="E15" s="34">
        <f t="shared" si="0"/>
        <v>-525442.817340401</v>
      </c>
      <c r="F15" s="35">
        <v>7.6500000000000005E-3</v>
      </c>
      <c r="G15" s="36">
        <f t="shared" si="1"/>
        <v>-4019.6375526540678</v>
      </c>
      <c r="I15" s="33">
        <v>2867682</v>
      </c>
      <c r="J15" s="33">
        <v>2703096.5302795069</v>
      </c>
      <c r="K15" s="34">
        <f t="shared" si="2"/>
        <v>164585.46972049307</v>
      </c>
      <c r="L15" s="35">
        <v>6.7299999999999999E-3</v>
      </c>
      <c r="M15" s="36">
        <f t="shared" si="3"/>
        <v>1107.6602112189184</v>
      </c>
      <c r="O15" s="36">
        <f t="shared" si="4"/>
        <v>-2911.9773414351494</v>
      </c>
    </row>
    <row r="16" spans="1:15" ht="15" x14ac:dyDescent="0.25">
      <c r="A16" s="32" t="s">
        <v>128</v>
      </c>
      <c r="B16" s="9" t="s">
        <v>129</v>
      </c>
      <c r="C16" s="33">
        <v>425084</v>
      </c>
      <c r="D16" s="33">
        <v>955619.75999999989</v>
      </c>
      <c r="E16" s="34">
        <f t="shared" si="0"/>
        <v>-530535.75999999989</v>
      </c>
      <c r="F16" s="35">
        <v>7.6500000000000005E-3</v>
      </c>
      <c r="G16" s="36">
        <f t="shared" si="1"/>
        <v>-4058.5985639999994</v>
      </c>
      <c r="I16" s="33">
        <v>888778</v>
      </c>
      <c r="J16" s="33">
        <v>853285.4800000001</v>
      </c>
      <c r="K16" s="34">
        <f t="shared" si="2"/>
        <v>35492.519999999902</v>
      </c>
      <c r="L16" s="35">
        <v>6.7299999999999999E-3</v>
      </c>
      <c r="M16" s="36">
        <f t="shared" si="3"/>
        <v>238.86465959999933</v>
      </c>
      <c r="O16" s="36">
        <f t="shared" si="4"/>
        <v>-3819.7339044</v>
      </c>
    </row>
    <row r="17" spans="1:15" ht="15" x14ac:dyDescent="0.25">
      <c r="A17" s="32">
        <v>87</v>
      </c>
      <c r="B17" s="9" t="s">
        <v>130</v>
      </c>
      <c r="C17" s="33">
        <v>5471569</v>
      </c>
      <c r="D17" s="33">
        <v>11848002.173</v>
      </c>
      <c r="E17" s="34">
        <f t="shared" si="0"/>
        <v>-6376433.1730000004</v>
      </c>
      <c r="F17" s="35">
        <v>2.4000000000000002E-3</v>
      </c>
      <c r="G17" s="36">
        <f t="shared" si="1"/>
        <v>-15303.439615200003</v>
      </c>
      <c r="I17" s="33">
        <v>9992434</v>
      </c>
      <c r="J17" s="33">
        <v>8876734.8485000003</v>
      </c>
      <c r="K17" s="34">
        <f t="shared" si="2"/>
        <v>1115699.1514999997</v>
      </c>
      <c r="L17" s="35">
        <v>3.7699999999999999E-3</v>
      </c>
      <c r="M17" s="36">
        <f t="shared" si="3"/>
        <v>4206.1858011549984</v>
      </c>
      <c r="O17" s="36">
        <f t="shared" si="4"/>
        <v>-11097.253814045005</v>
      </c>
    </row>
    <row r="18" spans="1:15" ht="15" x14ac:dyDescent="0.25">
      <c r="A18" s="32" t="s">
        <v>131</v>
      </c>
      <c r="B18" s="9" t="s">
        <v>132</v>
      </c>
      <c r="C18" s="33">
        <v>33633783</v>
      </c>
      <c r="D18" s="33">
        <v>33628148.870000005</v>
      </c>
      <c r="E18" s="34">
        <f t="shared" si="0"/>
        <v>5634.1299999952316</v>
      </c>
      <c r="F18" s="35">
        <v>2.4000000000000002E-3</v>
      </c>
      <c r="G18" s="36">
        <f t="shared" si="1"/>
        <v>13.521911999988557</v>
      </c>
      <c r="I18" s="33">
        <v>70363450</v>
      </c>
      <c r="J18" s="33">
        <v>55660300.00999999</v>
      </c>
      <c r="K18" s="34">
        <f t="shared" si="2"/>
        <v>14703149.99000001</v>
      </c>
      <c r="L18" s="35">
        <v>3.7699999999999999E-3</v>
      </c>
      <c r="M18" s="36">
        <f t="shared" si="3"/>
        <v>55430.875462300035</v>
      </c>
      <c r="O18" s="36">
        <f t="shared" si="4"/>
        <v>55444.397374300024</v>
      </c>
    </row>
    <row r="19" spans="1:15" ht="15" x14ac:dyDescent="0.25">
      <c r="A19" s="37">
        <v>99</v>
      </c>
      <c r="B19" s="29" t="s">
        <v>40</v>
      </c>
      <c r="C19" s="33">
        <v>14860820</v>
      </c>
      <c r="D19" s="33">
        <v>11142173.77999997</v>
      </c>
      <c r="E19" s="34">
        <f t="shared" si="0"/>
        <v>3718646.2200000305</v>
      </c>
      <c r="F19" s="38">
        <v>1.1800000000000001E-3</v>
      </c>
      <c r="G19" s="36">
        <f t="shared" si="1"/>
        <v>4388.0025396000365</v>
      </c>
      <c r="I19" s="33">
        <v>22192741</v>
      </c>
      <c r="J19" s="33">
        <v>10821640.960000034</v>
      </c>
      <c r="K19" s="34">
        <f t="shared" si="2"/>
        <v>11371100.039999966</v>
      </c>
      <c r="L19" s="38">
        <v>9.3999999999999997E-4</v>
      </c>
      <c r="M19" s="36">
        <f t="shared" si="3"/>
        <v>10688.834037599967</v>
      </c>
      <c r="O19" s="39">
        <f t="shared" si="4"/>
        <v>15076.836577200003</v>
      </c>
    </row>
    <row r="20" spans="1:15" ht="15" x14ac:dyDescent="0.25">
      <c r="A20" s="9" t="s">
        <v>41</v>
      </c>
      <c r="C20" s="40">
        <f>SUM(C7:C19)</f>
        <v>517060923</v>
      </c>
      <c r="D20" s="40">
        <f>SUM(D7:D19)</f>
        <v>568408000.40491462</v>
      </c>
      <c r="E20" s="40">
        <f>SUM(E7:E19)</f>
        <v>-51347077.404914662</v>
      </c>
      <c r="G20" s="41">
        <f>SUM(G7:G19)</f>
        <v>-993488.84492074931</v>
      </c>
      <c r="I20" s="40">
        <f>SUM(I7:I19)</f>
        <v>651729807</v>
      </c>
      <c r="J20" s="40">
        <f>SUM(J7:J19)</f>
        <v>567909952.70347047</v>
      </c>
      <c r="K20" s="40">
        <f>SUM(K7:K19)</f>
        <v>83819854.296529531</v>
      </c>
      <c r="M20" s="41">
        <f>SUM(M7:M19)</f>
        <v>1163825.9147081913</v>
      </c>
      <c r="O20" s="36">
        <f>SUM(O7:O19)</f>
        <v>170337.06978744196</v>
      </c>
    </row>
    <row r="21" spans="1:15" ht="15" x14ac:dyDescent="0.25">
      <c r="A21" s="42"/>
      <c r="C21" s="43"/>
      <c r="D21" s="216"/>
      <c r="E21" s="34"/>
      <c r="I21" s="44"/>
      <c r="J21" s="44"/>
    </row>
  </sheetData>
  <mergeCells count="4">
    <mergeCell ref="A1:O1"/>
    <mergeCell ref="A2:O2"/>
    <mergeCell ref="A3:O3"/>
    <mergeCell ref="A4:O4"/>
  </mergeCells>
  <pageMargins left="0.5" right="0.5" top="0.72" bottom="0.51" header="0.5" footer="0.25"/>
  <pageSetup scale="60" fitToHeight="4" pageOrder="overThenDown" orientation="landscape" blackAndWhite="1" r:id="rId1"/>
  <headerFooter alignWithMargins="0">
    <oddFooter xml:space="preserve">&amp;L&amp;F 
&amp;A&amp;C&amp;P&amp;R&amp;D </oddFooter>
  </headerFooter>
  <customProperties>
    <customPr name="_pios_id" r:id="rId2"/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workbookViewId="0">
      <selection activeCell="I26" sqref="I26"/>
    </sheetView>
  </sheetViews>
  <sheetFormatPr defaultRowHeight="15" x14ac:dyDescent="0.25"/>
  <cols>
    <col min="3" max="3" width="11.140625" bestFit="1" customWidth="1"/>
    <col min="4" max="4" width="19.28515625" customWidth="1"/>
    <col min="5" max="5" width="25.140625" bestFit="1" customWidth="1"/>
    <col min="6" max="6" width="13.7109375" customWidth="1"/>
    <col min="7" max="7" width="13.28515625" customWidth="1"/>
  </cols>
  <sheetData>
    <row r="2" spans="2:7" x14ac:dyDescent="0.25">
      <c r="C2" s="227" t="s">
        <v>213</v>
      </c>
      <c r="D2" s="227"/>
      <c r="E2" s="227"/>
    </row>
    <row r="6" spans="2:7" x14ac:dyDescent="0.25">
      <c r="C6" s="226" t="s">
        <v>212</v>
      </c>
      <c r="D6" s="226" t="s">
        <v>211</v>
      </c>
    </row>
    <row r="7" spans="2:7" x14ac:dyDescent="0.25">
      <c r="B7" t="s">
        <v>207</v>
      </c>
      <c r="C7" s="2">
        <v>18238041</v>
      </c>
      <c r="E7" t="s">
        <v>210</v>
      </c>
      <c r="F7" s="220">
        <f>-F22</f>
        <v>1060751.3807328399</v>
      </c>
      <c r="G7" s="220"/>
    </row>
    <row r="8" spans="2:7" x14ac:dyDescent="0.25">
      <c r="B8" t="s">
        <v>209</v>
      </c>
      <c r="C8" s="2">
        <v>63400400</v>
      </c>
      <c r="D8" s="2">
        <v>40810009</v>
      </c>
      <c r="E8" t="s">
        <v>208</v>
      </c>
      <c r="F8" s="220"/>
      <c r="G8" s="220">
        <f>F7</f>
        <v>1060751.3807328399</v>
      </c>
    </row>
    <row r="9" spans="2:7" x14ac:dyDescent="0.25">
      <c r="C9" s="2"/>
      <c r="D9" s="2"/>
      <c r="F9" s="220"/>
      <c r="G9" s="220"/>
    </row>
    <row r="10" spans="2:7" x14ac:dyDescent="0.25">
      <c r="B10" t="s">
        <v>207</v>
      </c>
      <c r="C10" s="2">
        <v>18238042</v>
      </c>
      <c r="D10" s="2"/>
      <c r="E10" t="s">
        <v>206</v>
      </c>
      <c r="F10" s="220">
        <f>-F32</f>
        <v>44938.569595496061</v>
      </c>
      <c r="G10" s="220"/>
    </row>
    <row r="11" spans="2:7" x14ac:dyDescent="0.25">
      <c r="B11" t="s">
        <v>205</v>
      </c>
      <c r="C11" s="2">
        <v>63400400</v>
      </c>
      <c r="D11" s="2">
        <v>40810307</v>
      </c>
      <c r="E11" t="s">
        <v>204</v>
      </c>
      <c r="G11" s="220">
        <f>F10</f>
        <v>44938.569595496061</v>
      </c>
    </row>
    <row r="12" spans="2:7" x14ac:dyDescent="0.25">
      <c r="C12" s="2"/>
      <c r="D12" s="2"/>
      <c r="G12" s="219"/>
    </row>
    <row r="15" spans="2:7" x14ac:dyDescent="0.25">
      <c r="D15" s="225" t="s">
        <v>0</v>
      </c>
    </row>
    <row r="16" spans="2:7" x14ac:dyDescent="0.25">
      <c r="D16" t="s">
        <v>202</v>
      </c>
      <c r="E16" s="229" t="s">
        <v>215</v>
      </c>
      <c r="F16" s="220">
        <v>-1937707.87</v>
      </c>
      <c r="G16" t="s">
        <v>216</v>
      </c>
    </row>
    <row r="17" spans="4:8" x14ac:dyDescent="0.25">
      <c r="E17" s="229" t="s">
        <v>200</v>
      </c>
      <c r="F17" s="228">
        <v>0.95111500000000004</v>
      </c>
    </row>
    <row r="18" spans="4:8" x14ac:dyDescent="0.25">
      <c r="E18" s="229"/>
      <c r="F18" s="224">
        <f>F16*F17</f>
        <v>-1842983.0207750502</v>
      </c>
      <c r="H18" s="219"/>
    </row>
    <row r="19" spans="4:8" x14ac:dyDescent="0.25">
      <c r="E19" s="229"/>
      <c r="F19" s="220"/>
    </row>
    <row r="20" spans="4:8" x14ac:dyDescent="0.25">
      <c r="D20" s="223">
        <v>45139</v>
      </c>
      <c r="E20" s="229" t="s">
        <v>203</v>
      </c>
      <c r="F20" s="222">
        <v>782231.64004221023</v>
      </c>
      <c r="G20" t="s">
        <v>218</v>
      </c>
    </row>
    <row r="21" spans="4:8" x14ac:dyDescent="0.25">
      <c r="E21" s="229"/>
    </row>
    <row r="22" spans="4:8" x14ac:dyDescent="0.25">
      <c r="E22" s="229" t="s">
        <v>199</v>
      </c>
      <c r="F22" s="221">
        <f>F18+F20</f>
        <v>-1060751.3807328399</v>
      </c>
      <c r="G22" t="s">
        <v>217</v>
      </c>
    </row>
    <row r="23" spans="4:8" x14ac:dyDescent="0.25">
      <c r="E23" s="229"/>
    </row>
    <row r="24" spans="4:8" x14ac:dyDescent="0.25">
      <c r="E24" s="229"/>
    </row>
    <row r="25" spans="4:8" x14ac:dyDescent="0.25">
      <c r="D25" s="225" t="s">
        <v>1</v>
      </c>
      <c r="E25" s="229"/>
    </row>
    <row r="26" spans="4:8" x14ac:dyDescent="0.25">
      <c r="D26" t="s">
        <v>202</v>
      </c>
      <c r="E26" s="229" t="s">
        <v>214</v>
      </c>
      <c r="F26" s="220">
        <v>-67647.37999999999</v>
      </c>
      <c r="G26" t="s">
        <v>216</v>
      </c>
    </row>
    <row r="27" spans="4:8" x14ac:dyDescent="0.25">
      <c r="E27" s="229" t="s">
        <v>200</v>
      </c>
      <c r="F27">
        <v>0.95455299999999998</v>
      </c>
    </row>
    <row r="28" spans="4:8" x14ac:dyDescent="0.25">
      <c r="E28" s="229"/>
      <c r="F28" s="224">
        <f>F26*F27</f>
        <v>-64573.009521139989</v>
      </c>
    </row>
    <row r="29" spans="4:8" x14ac:dyDescent="0.25">
      <c r="E29" s="229"/>
    </row>
    <row r="30" spans="4:8" x14ac:dyDescent="0.25">
      <c r="D30" s="223">
        <v>45139</v>
      </c>
      <c r="E30" s="229" t="s">
        <v>201</v>
      </c>
      <c r="F30" s="222">
        <v>19634.439925643928</v>
      </c>
      <c r="G30" t="s">
        <v>219</v>
      </c>
    </row>
    <row r="32" spans="4:8" x14ac:dyDescent="0.25">
      <c r="E32" t="s">
        <v>199</v>
      </c>
      <c r="F32" s="221">
        <f>F28+F30</f>
        <v>-44938.569595496061</v>
      </c>
      <c r="G32" t="s">
        <v>217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9"/>
  <sheetViews>
    <sheetView workbookViewId="0">
      <selection activeCell="B5" sqref="B5"/>
    </sheetView>
  </sheetViews>
  <sheetFormatPr defaultRowHeight="15" x14ac:dyDescent="0.25"/>
  <cols>
    <col min="1" max="1" width="11.28515625" bestFit="1" customWidth="1"/>
    <col min="2" max="2" width="15.28515625" bestFit="1" customWidth="1"/>
    <col min="3" max="3" width="3.42578125" customWidth="1"/>
    <col min="4" max="4" width="12.5703125" bestFit="1" customWidth="1"/>
    <col min="5" max="5" width="3.28515625" customWidth="1"/>
    <col min="6" max="6" width="12.28515625" bestFit="1" customWidth="1"/>
    <col min="8" max="8" width="14.28515625" bestFit="1" customWidth="1"/>
  </cols>
  <sheetData>
    <row r="3" spans="1:6" x14ac:dyDescent="0.25">
      <c r="A3" s="226" t="s">
        <v>327</v>
      </c>
      <c r="B3" s="226" t="s">
        <v>330</v>
      </c>
      <c r="D3" s="226" t="s">
        <v>331</v>
      </c>
    </row>
    <row r="4" spans="1:6" x14ac:dyDescent="0.25">
      <c r="A4" s="218">
        <v>23600201</v>
      </c>
      <c r="B4" s="402">
        <v>35526913.729999997</v>
      </c>
      <c r="D4" t="s">
        <v>189</v>
      </c>
    </row>
    <row r="5" spans="1:6" x14ac:dyDescent="0.25">
      <c r="A5" s="218">
        <v>23600211</v>
      </c>
      <c r="B5" s="220">
        <v>5835344.9400000004</v>
      </c>
      <c r="D5" t="s">
        <v>9</v>
      </c>
    </row>
    <row r="6" spans="1:6" x14ac:dyDescent="0.25">
      <c r="A6" s="218">
        <v>23600221</v>
      </c>
      <c r="B6" s="220">
        <v>542447.99</v>
      </c>
      <c r="D6" t="s">
        <v>10</v>
      </c>
    </row>
    <row r="7" spans="1:6" x14ac:dyDescent="0.25">
      <c r="A7" s="218">
        <v>23600232</v>
      </c>
      <c r="B7" s="220">
        <v>16915634.809999999</v>
      </c>
      <c r="D7" t="s">
        <v>190</v>
      </c>
    </row>
    <row r="8" spans="1:6" x14ac:dyDescent="0.25">
      <c r="A8" s="403" t="s">
        <v>191</v>
      </c>
      <c r="B8" s="404">
        <v>58820341.469999999</v>
      </c>
    </row>
    <row r="10" spans="1:6" x14ac:dyDescent="0.25">
      <c r="B10" s="401" t="s">
        <v>328</v>
      </c>
      <c r="C10" s="401"/>
      <c r="D10" s="401" t="s">
        <v>71</v>
      </c>
      <c r="E10" s="401"/>
      <c r="F10" s="401" t="s">
        <v>329</v>
      </c>
    </row>
    <row r="11" spans="1:6" x14ac:dyDescent="0.25">
      <c r="A11" t="s">
        <v>192</v>
      </c>
      <c r="B11" s="400">
        <f>SUM(B4:B6)</f>
        <v>41904706.659999996</v>
      </c>
      <c r="C11" s="400"/>
      <c r="D11" s="400">
        <f>'2023 FINAL Rev Req'!D9</f>
        <v>49350560</v>
      </c>
      <c r="E11" s="400"/>
      <c r="F11" s="400">
        <f>B11-D11</f>
        <v>-7445853.3400000036</v>
      </c>
    </row>
    <row r="12" spans="1:6" x14ac:dyDescent="0.25">
      <c r="A12" t="s">
        <v>1</v>
      </c>
      <c r="B12" s="400">
        <f>B7</f>
        <v>16915634.809999999</v>
      </c>
      <c r="C12" s="400"/>
      <c r="D12" s="400">
        <f>'2023 FINAL Rev Req'!E9</f>
        <v>20923321</v>
      </c>
      <c r="E12" s="400"/>
      <c r="F12" s="400">
        <f>B12-D12</f>
        <v>-4007686.1900000013</v>
      </c>
    </row>
    <row r="19" spans="8:8" x14ac:dyDescent="0.25">
      <c r="H19" s="220"/>
    </row>
  </sheetData>
  <pageMargins left="0.7" right="0.7" top="0.75" bottom="0.75" header="0.3" footer="0.3"/>
  <pageSetup orientation="portrait" horizontalDpi="4294967293" verticalDpi="0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6"/>
  <sheetViews>
    <sheetView workbookViewId="0">
      <selection activeCell="X16" sqref="X16"/>
    </sheetView>
  </sheetViews>
  <sheetFormatPr defaultRowHeight="15" x14ac:dyDescent="0.25"/>
  <cols>
    <col min="24" max="24" width="10.5703125" bestFit="1" customWidth="1"/>
  </cols>
  <sheetData>
    <row r="16" spans="24:24" x14ac:dyDescent="0.25">
      <c r="X16" s="217">
        <f>3618</f>
        <v>3618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topLeftCell="A7" zoomScaleNormal="100" workbookViewId="0">
      <selection activeCell="E20" sqref="E20"/>
    </sheetView>
  </sheetViews>
  <sheetFormatPr defaultColWidth="9.140625" defaultRowHeight="12.75" x14ac:dyDescent="0.2"/>
  <cols>
    <col min="1" max="1" width="5.42578125" style="139" customWidth="1"/>
    <col min="2" max="2" width="63.140625" style="139" customWidth="1"/>
    <col min="3" max="3" width="3.42578125" style="139" customWidth="1"/>
    <col min="4" max="4" width="7.85546875" style="139" customWidth="1"/>
    <col min="5" max="5" width="15.42578125" style="139" customWidth="1"/>
    <col min="6" max="16384" width="9.140625" style="139"/>
  </cols>
  <sheetData>
    <row r="2" spans="1:5" ht="15" x14ac:dyDescent="0.25">
      <c r="A2" s="148" t="s">
        <v>164</v>
      </c>
      <c r="B2" s="148" t="s">
        <v>163</v>
      </c>
      <c r="C2" s="148"/>
      <c r="D2" s="148"/>
      <c r="E2" s="148"/>
    </row>
    <row r="3" spans="1:5" ht="15" x14ac:dyDescent="0.25">
      <c r="A3" s="138"/>
      <c r="B3" s="149"/>
      <c r="C3" s="149"/>
      <c r="D3"/>
      <c r="E3"/>
    </row>
    <row r="4" spans="1:5" x14ac:dyDescent="0.2">
      <c r="A4" s="146"/>
      <c r="B4" s="146" t="s">
        <v>159</v>
      </c>
      <c r="C4" s="146"/>
      <c r="D4" s="150"/>
      <c r="E4" s="150"/>
    </row>
    <row r="5" spans="1:5" x14ac:dyDescent="0.2">
      <c r="A5" s="146"/>
      <c r="B5" s="146" t="s">
        <v>160</v>
      </c>
      <c r="C5" s="146"/>
      <c r="D5" s="150"/>
      <c r="E5" s="150"/>
    </row>
    <row r="6" spans="1:5" x14ac:dyDescent="0.2">
      <c r="A6" s="146"/>
      <c r="B6" s="146" t="s">
        <v>152</v>
      </c>
      <c r="C6" s="146"/>
      <c r="D6" s="150"/>
      <c r="E6" s="150"/>
    </row>
    <row r="7" spans="1:5" x14ac:dyDescent="0.2">
      <c r="A7" s="146"/>
      <c r="B7" s="146" t="s">
        <v>161</v>
      </c>
      <c r="C7" s="146"/>
      <c r="D7" s="150"/>
      <c r="E7" s="150"/>
    </row>
    <row r="8" spans="1:5" x14ac:dyDescent="0.2">
      <c r="A8" s="146"/>
      <c r="B8" s="146" t="s">
        <v>162</v>
      </c>
      <c r="C8" s="146"/>
      <c r="D8" s="150"/>
      <c r="E8" s="150"/>
    </row>
    <row r="9" spans="1:5" x14ac:dyDescent="0.2">
      <c r="A9" s="147"/>
      <c r="B9" s="147" t="s">
        <v>12</v>
      </c>
      <c r="C9" s="147"/>
      <c r="D9" s="147"/>
      <c r="E9" s="147"/>
    </row>
    <row r="10" spans="1:5" x14ac:dyDescent="0.2">
      <c r="A10" s="138"/>
      <c r="B10" s="138"/>
      <c r="C10" s="138"/>
      <c r="D10" s="138"/>
      <c r="E10" s="138"/>
    </row>
    <row r="11" spans="1:5" x14ac:dyDescent="0.2">
      <c r="A11" s="45" t="s">
        <v>13</v>
      </c>
      <c r="B11" s="45"/>
      <c r="C11" s="45"/>
      <c r="D11" s="45"/>
      <c r="E11" s="45"/>
    </row>
    <row r="12" spans="1:5" x14ac:dyDescent="0.2">
      <c r="A12" s="46" t="s">
        <v>14</v>
      </c>
      <c r="B12" s="140" t="s">
        <v>15</v>
      </c>
      <c r="C12" s="46"/>
      <c r="D12" s="46" t="s">
        <v>153</v>
      </c>
      <c r="E12" s="46" t="s">
        <v>154</v>
      </c>
    </row>
    <row r="13" spans="1:5" x14ac:dyDescent="0.2">
      <c r="A13" s="48"/>
      <c r="B13" s="48"/>
      <c r="C13" s="48"/>
      <c r="D13" s="48"/>
      <c r="E13" s="141"/>
    </row>
    <row r="14" spans="1:5" x14ac:dyDescent="0.2">
      <c r="A14" s="141">
        <v>1</v>
      </c>
      <c r="B14" s="47" t="s">
        <v>16</v>
      </c>
      <c r="C14" s="48"/>
      <c r="D14" s="48"/>
      <c r="E14" s="49">
        <v>7.1970000000000003E-3</v>
      </c>
    </row>
    <row r="15" spans="1:5" ht="15" x14ac:dyDescent="0.25">
      <c r="A15" s="148">
        <v>2</v>
      </c>
      <c r="B15" s="151" t="s">
        <v>17</v>
      </c>
      <c r="C15" s="148"/>
      <c r="D15" s="148"/>
      <c r="E15" s="152">
        <v>4.0000000000000001E-3</v>
      </c>
    </row>
    <row r="16" spans="1:5" x14ac:dyDescent="0.2">
      <c r="A16" s="141">
        <v>3</v>
      </c>
      <c r="B16" s="47" t="str">
        <f>"STATE UTILITY TAX - NET OF BAD DEBTS ( "&amp;D16*100&amp;"% - ( LINE 1 * "&amp;D16*100&amp;"%) )"</f>
        <v>STATE UTILITY TAX - NET OF BAD DEBTS ( 3.8734% - ( LINE 1 * 3.8734%) )</v>
      </c>
      <c r="C16" s="48"/>
      <c r="D16" s="142">
        <v>3.8733999999999998E-2</v>
      </c>
      <c r="E16" s="50">
        <f>ROUND(D16-(D16*E14),6)</f>
        <v>3.8455000000000003E-2</v>
      </c>
    </row>
    <row r="17" spans="1:5" x14ac:dyDescent="0.2">
      <c r="A17" s="141">
        <v>4</v>
      </c>
      <c r="B17" s="47"/>
      <c r="C17" s="48"/>
      <c r="D17" s="141"/>
      <c r="E17" s="51"/>
    </row>
    <row r="18" spans="1:5" x14ac:dyDescent="0.2">
      <c r="A18" s="141">
        <v>5</v>
      </c>
      <c r="B18" s="47" t="s">
        <v>18</v>
      </c>
      <c r="C18" s="48"/>
      <c r="D18" s="141"/>
      <c r="E18" s="49">
        <f>ROUND(SUM(E14:E16),6)</f>
        <v>4.9652000000000002E-2</v>
      </c>
    </row>
    <row r="19" spans="1:5" x14ac:dyDescent="0.2">
      <c r="A19" s="141">
        <v>6</v>
      </c>
      <c r="B19" s="48"/>
      <c r="C19" s="48"/>
      <c r="D19" s="141"/>
      <c r="E19" s="49"/>
    </row>
    <row r="20" spans="1:5" x14ac:dyDescent="0.2">
      <c r="A20" s="141">
        <v>7</v>
      </c>
      <c r="B20" s="48" t="s">
        <v>155</v>
      </c>
      <c r="C20" s="48"/>
      <c r="D20" s="141"/>
      <c r="E20" s="49">
        <f>ROUND(1-E18,6)</f>
        <v>0.95034799999999997</v>
      </c>
    </row>
    <row r="21" spans="1:5" x14ac:dyDescent="0.2">
      <c r="A21" s="141">
        <v>8</v>
      </c>
      <c r="B21" s="47" t="s">
        <v>156</v>
      </c>
      <c r="C21" s="48"/>
      <c r="D21" s="143">
        <v>0.21</v>
      </c>
      <c r="E21" s="49">
        <f>ROUND((E20)*D21,6)</f>
        <v>0.199573</v>
      </c>
    </row>
    <row r="22" spans="1:5" x14ac:dyDescent="0.2">
      <c r="A22" s="141">
        <v>9</v>
      </c>
      <c r="B22" s="47" t="s">
        <v>157</v>
      </c>
      <c r="C22" s="48"/>
      <c r="D22" s="48"/>
      <c r="E22" s="144">
        <f>ROUND(1-E21-E18,6)</f>
        <v>0.75077499999999997</v>
      </c>
    </row>
    <row r="23" spans="1:5" x14ac:dyDescent="0.2">
      <c r="A23" s="48"/>
      <c r="B23" s="48"/>
      <c r="C23" s="48"/>
      <c r="D23" s="48"/>
      <c r="E23" s="141"/>
    </row>
    <row r="26" spans="1:5" x14ac:dyDescent="0.2">
      <c r="E26" s="145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zoomScale="110" zoomScaleNormal="110" workbookViewId="0">
      <selection activeCell="E20" sqref="E20"/>
    </sheetView>
  </sheetViews>
  <sheetFormatPr defaultColWidth="9.140625" defaultRowHeight="12.75" x14ac:dyDescent="0.2"/>
  <cols>
    <col min="1" max="1" width="5.42578125" style="139" customWidth="1"/>
    <col min="2" max="2" width="63.140625" style="139" bestFit="1" customWidth="1"/>
    <col min="3" max="3" width="3.42578125" style="139" customWidth="1"/>
    <col min="4" max="4" width="10" style="139" bestFit="1" customWidth="1"/>
    <col min="5" max="5" width="18.140625" style="139" customWidth="1"/>
    <col min="6" max="16384" width="9.140625" style="139"/>
  </cols>
  <sheetData>
    <row r="2" spans="1:5" ht="15" x14ac:dyDescent="0.25">
      <c r="A2" s="148" t="s">
        <v>164</v>
      </c>
      <c r="B2" s="148" t="s">
        <v>163</v>
      </c>
      <c r="C2" s="148"/>
      <c r="D2" s="148"/>
      <c r="E2" s="148"/>
    </row>
    <row r="3" spans="1:5" ht="15" x14ac:dyDescent="0.25">
      <c r="A3" s="138"/>
      <c r="B3" s="149"/>
      <c r="C3" s="149"/>
      <c r="D3"/>
      <c r="E3"/>
    </row>
    <row r="4" spans="1:5" x14ac:dyDescent="0.2">
      <c r="A4" s="146"/>
      <c r="B4" s="146" t="s">
        <v>159</v>
      </c>
      <c r="C4" s="146"/>
      <c r="D4" s="150"/>
      <c r="E4" s="150"/>
    </row>
    <row r="5" spans="1:5" x14ac:dyDescent="0.2">
      <c r="A5" s="146"/>
      <c r="B5" s="146" t="s">
        <v>160</v>
      </c>
      <c r="C5" s="146"/>
      <c r="D5" s="150"/>
      <c r="E5" s="150"/>
    </row>
    <row r="6" spans="1:5" x14ac:dyDescent="0.2">
      <c r="A6" s="146"/>
      <c r="B6" s="146" t="s">
        <v>152</v>
      </c>
      <c r="C6" s="146"/>
      <c r="D6" s="150"/>
      <c r="E6" s="150"/>
    </row>
    <row r="7" spans="1:5" x14ac:dyDescent="0.2">
      <c r="A7" s="146"/>
      <c r="B7" s="146" t="s">
        <v>161</v>
      </c>
      <c r="C7" s="146"/>
      <c r="D7" s="150"/>
      <c r="E7" s="150"/>
    </row>
    <row r="8" spans="1:5" x14ac:dyDescent="0.2">
      <c r="A8" s="146"/>
      <c r="B8" s="146" t="s">
        <v>162</v>
      </c>
      <c r="C8" s="146"/>
      <c r="D8" s="150"/>
      <c r="E8" s="150"/>
    </row>
    <row r="9" spans="1:5" x14ac:dyDescent="0.2">
      <c r="A9" s="147"/>
      <c r="B9" s="147" t="s">
        <v>12</v>
      </c>
      <c r="C9" s="147"/>
      <c r="D9" s="147"/>
      <c r="E9" s="147"/>
    </row>
    <row r="10" spans="1:5" x14ac:dyDescent="0.2">
      <c r="A10" s="147"/>
      <c r="B10" s="147"/>
      <c r="C10" s="147"/>
      <c r="D10" s="147"/>
      <c r="E10" s="147"/>
    </row>
    <row r="11" spans="1:5" x14ac:dyDescent="0.2">
      <c r="A11" s="45" t="s">
        <v>13</v>
      </c>
      <c r="B11" s="45"/>
      <c r="C11" s="45"/>
      <c r="D11" s="45"/>
      <c r="E11" s="45"/>
    </row>
    <row r="12" spans="1:5" x14ac:dyDescent="0.2">
      <c r="A12" s="46" t="s">
        <v>14</v>
      </c>
      <c r="B12" s="140" t="s">
        <v>15</v>
      </c>
      <c r="C12" s="46"/>
      <c r="D12" s="46" t="s">
        <v>153</v>
      </c>
      <c r="E12" s="46" t="s">
        <v>154</v>
      </c>
    </row>
    <row r="13" spans="1:5" x14ac:dyDescent="0.2">
      <c r="A13" s="48"/>
      <c r="B13" s="48"/>
      <c r="C13" s="48"/>
      <c r="D13" s="48"/>
      <c r="E13" s="141"/>
    </row>
    <row r="14" spans="1:5" x14ac:dyDescent="0.2">
      <c r="A14" s="141">
        <v>1</v>
      </c>
      <c r="B14" s="47" t="s">
        <v>16</v>
      </c>
      <c r="C14" s="48"/>
      <c r="D14" s="48"/>
      <c r="E14" s="49">
        <v>4.1980000000000003E-3</v>
      </c>
    </row>
    <row r="15" spans="1:5" ht="15" x14ac:dyDescent="0.25">
      <c r="A15" s="148">
        <v>2</v>
      </c>
      <c r="B15" s="151" t="s">
        <v>17</v>
      </c>
      <c r="C15" s="148"/>
      <c r="D15" s="148"/>
      <c r="E15" s="152">
        <v>4.0000000000000001E-3</v>
      </c>
    </row>
    <row r="16" spans="1:5" x14ac:dyDescent="0.2">
      <c r="A16" s="141">
        <v>3</v>
      </c>
      <c r="B16" s="47" t="str">
        <f>"STATE UTILITY TAX - NET OF BAD DEBTS ( "&amp;D16*100&amp;"% - ( LINE 1 * "&amp;D16*100&amp;"%) )"</f>
        <v>STATE UTILITY TAX - NET OF BAD DEBTS ( 3.852% - ( LINE 1 * 3.852%) )</v>
      </c>
      <c r="C16" s="48"/>
      <c r="D16" s="142">
        <v>3.8519999999999999E-2</v>
      </c>
      <c r="E16" s="50">
        <f>ROUND(D16-(D16*E14),6)</f>
        <v>3.8358000000000003E-2</v>
      </c>
    </row>
    <row r="17" spans="1:5" x14ac:dyDescent="0.2">
      <c r="A17" s="141">
        <v>4</v>
      </c>
      <c r="B17" s="47"/>
      <c r="C17" s="48"/>
      <c r="D17" s="141"/>
      <c r="E17" s="51"/>
    </row>
    <row r="18" spans="1:5" x14ac:dyDescent="0.2">
      <c r="A18" s="141">
        <v>5</v>
      </c>
      <c r="B18" s="47" t="s">
        <v>18</v>
      </c>
      <c r="C18" s="48"/>
      <c r="D18" s="141"/>
      <c r="E18" s="49">
        <f>ROUND(SUM(E14:E16),6)</f>
        <v>4.6556E-2</v>
      </c>
    </row>
    <row r="19" spans="1:5" x14ac:dyDescent="0.2">
      <c r="A19" s="141">
        <v>6</v>
      </c>
      <c r="B19" s="48"/>
      <c r="C19" s="48"/>
      <c r="D19" s="141"/>
      <c r="E19" s="49"/>
    </row>
    <row r="20" spans="1:5" x14ac:dyDescent="0.2">
      <c r="A20" s="141">
        <v>7</v>
      </c>
      <c r="B20" s="48" t="s">
        <v>155</v>
      </c>
      <c r="C20" s="48"/>
      <c r="D20" s="141"/>
      <c r="E20" s="49">
        <f>ROUND(1-E18,6)</f>
        <v>0.95344399999999996</v>
      </c>
    </row>
    <row r="21" spans="1:5" x14ac:dyDescent="0.2">
      <c r="A21" s="141">
        <v>8</v>
      </c>
      <c r="B21" s="47" t="s">
        <v>158</v>
      </c>
      <c r="C21" s="48"/>
      <c r="D21" s="143">
        <v>0.21</v>
      </c>
      <c r="E21" s="49">
        <f>ROUND((E20)*D21,6)</f>
        <v>0.20022300000000001</v>
      </c>
    </row>
    <row r="22" spans="1:5" x14ac:dyDescent="0.2">
      <c r="A22" s="141">
        <v>9</v>
      </c>
      <c r="B22" s="47" t="s">
        <v>157</v>
      </c>
      <c r="C22" s="48"/>
      <c r="D22" s="48"/>
      <c r="E22" s="144">
        <f>ROUND(1-E21-E18,6)</f>
        <v>0.75322100000000003</v>
      </c>
    </row>
    <row r="23" spans="1:5" x14ac:dyDescent="0.2">
      <c r="A23" s="48"/>
      <c r="B23" s="48"/>
      <c r="C23" s="48"/>
      <c r="D23" s="48"/>
      <c r="E23" s="141"/>
    </row>
    <row r="26" spans="1:5" x14ac:dyDescent="0.2">
      <c r="E26" s="145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8" sqref="F38"/>
    </sheetView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7"/>
  <sheetViews>
    <sheetView zoomScaleNormal="100" workbookViewId="0">
      <pane xSplit="2" ySplit="4" topLeftCell="C5" activePane="bottomRight" state="frozen"/>
      <selection activeCell="B31" sqref="B31"/>
      <selection pane="topRight" activeCell="B31" sqref="B31"/>
      <selection pane="bottomLeft" activeCell="B31" sqref="B31"/>
      <selection pane="bottomRight" activeCell="D9" sqref="D9"/>
    </sheetView>
  </sheetViews>
  <sheetFormatPr defaultColWidth="9.140625" defaultRowHeight="15" x14ac:dyDescent="0.25"/>
  <cols>
    <col min="1" max="1" width="5.140625" style="68" customWidth="1"/>
    <col min="2" max="2" width="59.5703125" style="2" customWidth="1"/>
    <col min="3" max="3" width="8.85546875" style="12" bestFit="1" customWidth="1"/>
    <col min="4" max="4" width="14" style="2" bestFit="1" customWidth="1"/>
    <col min="5" max="6" width="13.140625" style="2" bestFit="1" customWidth="1"/>
    <col min="7" max="7" width="3.85546875" style="2" customWidth="1"/>
    <col min="8" max="9" width="16.140625" style="2" bestFit="1" customWidth="1"/>
    <col min="10" max="10" width="14.5703125" style="2" bestFit="1" customWidth="1"/>
    <col min="11" max="13" width="9.140625" style="2"/>
    <col min="14" max="14" width="13.85546875" style="2" bestFit="1" customWidth="1"/>
    <col min="15" max="15" width="17.140625" style="2" bestFit="1" customWidth="1"/>
    <col min="16" max="16" width="9.140625" style="2"/>
    <col min="17" max="17" width="12.140625" style="2" bestFit="1" customWidth="1"/>
    <col min="18" max="19" width="9.140625" style="2"/>
    <col min="20" max="20" width="16.140625" style="2" bestFit="1" customWidth="1"/>
    <col min="21" max="16384" width="9.140625" style="2"/>
  </cols>
  <sheetData>
    <row r="1" spans="1:10" ht="18.75" x14ac:dyDescent="0.3">
      <c r="A1" s="137" t="s">
        <v>148</v>
      </c>
      <c r="B1" s="136"/>
      <c r="C1" s="11"/>
    </row>
    <row r="2" spans="1:10" ht="18.75" x14ac:dyDescent="0.3">
      <c r="B2" s="10"/>
      <c r="C2" s="11"/>
    </row>
    <row r="3" spans="1:10" x14ac:dyDescent="0.25">
      <c r="D3" s="13" t="s">
        <v>20</v>
      </c>
      <c r="E3" s="14"/>
      <c r="F3" s="15"/>
      <c r="H3" s="13" t="s">
        <v>21</v>
      </c>
      <c r="I3" s="15"/>
      <c r="J3" s="15"/>
    </row>
    <row r="4" spans="1:10" x14ac:dyDescent="0.25">
      <c r="D4" s="16" t="s">
        <v>0</v>
      </c>
      <c r="E4" s="16" t="s">
        <v>1</v>
      </c>
      <c r="F4" s="16" t="s">
        <v>2</v>
      </c>
      <c r="H4" s="16" t="s">
        <v>0</v>
      </c>
      <c r="I4" s="16" t="s">
        <v>1</v>
      </c>
      <c r="J4" s="16" t="s">
        <v>2</v>
      </c>
    </row>
    <row r="5" spans="1:10" x14ac:dyDescent="0.25">
      <c r="H5" s="2">
        <v>0.95034799999999997</v>
      </c>
      <c r="I5" s="2">
        <v>0.95344399999999996</v>
      </c>
    </row>
    <row r="6" spans="1:10" x14ac:dyDescent="0.25">
      <c r="A6" s="68">
        <v>1</v>
      </c>
      <c r="B6" s="2" t="s">
        <v>143</v>
      </c>
      <c r="C6" s="18"/>
      <c r="D6" s="4">
        <v>48394031.682091251</v>
      </c>
      <c r="E6" s="4">
        <v>20641601.57342061</v>
      </c>
      <c r="F6" s="4">
        <f>SUM(D6:E6)</f>
        <v>69035633.255511865</v>
      </c>
      <c r="H6" s="153">
        <v>50881367.323710859</v>
      </c>
      <c r="I6" s="153">
        <v>21624364.046229605</v>
      </c>
      <c r="J6" s="4">
        <f>SUM(H6:I6)</f>
        <v>72505731.36994046</v>
      </c>
    </row>
    <row r="7" spans="1:10" x14ac:dyDescent="0.25">
      <c r="H7" s="154"/>
      <c r="I7" s="154"/>
    </row>
    <row r="8" spans="1:10" x14ac:dyDescent="0.25">
      <c r="A8" s="68">
        <v>2</v>
      </c>
      <c r="B8" s="2" t="s">
        <v>3</v>
      </c>
      <c r="E8" s="26"/>
    </row>
    <row r="9" spans="1:10" x14ac:dyDescent="0.25">
      <c r="A9" s="68">
        <v>3</v>
      </c>
      <c r="B9" s="17" t="s">
        <v>144</v>
      </c>
      <c r="C9" s="26"/>
      <c r="D9" s="3">
        <v>49350560</v>
      </c>
      <c r="E9" s="3">
        <v>20923321</v>
      </c>
      <c r="F9" s="3">
        <f>SUM(D9:E9)</f>
        <v>70273881</v>
      </c>
      <c r="H9" s="4">
        <f>D9/$H$5</f>
        <v>51928935.505730532</v>
      </c>
      <c r="I9" s="4">
        <f>E9/$I$5</f>
        <v>21944992.049873933</v>
      </c>
      <c r="J9" s="3">
        <f>SUM(H9:I9)</f>
        <v>73873927.555604458</v>
      </c>
    </row>
    <row r="10" spans="1:10" x14ac:dyDescent="0.25">
      <c r="A10" s="68">
        <v>4</v>
      </c>
      <c r="B10" s="17" t="s">
        <v>143</v>
      </c>
      <c r="C10" s="18" t="s">
        <v>22</v>
      </c>
      <c r="D10" s="3">
        <f>D6</f>
        <v>48394031.682091251</v>
      </c>
      <c r="E10" s="3">
        <f>E6</f>
        <v>20641601.57342061</v>
      </c>
      <c r="F10" s="3">
        <f>SUM(D10:E10)</f>
        <v>69035633.255511865</v>
      </c>
      <c r="H10" s="4">
        <f>H6</f>
        <v>50881367.323710859</v>
      </c>
      <c r="I10" s="4">
        <f>I6</f>
        <v>21624364.046229605</v>
      </c>
      <c r="J10" s="3">
        <f>SUM(H10:I10)</f>
        <v>72505731.36994046</v>
      </c>
    </row>
    <row r="11" spans="1:10" x14ac:dyDescent="0.25">
      <c r="A11" s="68">
        <v>5</v>
      </c>
      <c r="B11" s="2" t="s">
        <v>181</v>
      </c>
      <c r="D11" s="3">
        <v>-3732404.1749474755</v>
      </c>
      <c r="E11" s="135">
        <v>-589949.27753827244</v>
      </c>
      <c r="F11" s="3">
        <f>SUM(D11:E11)</f>
        <v>-4322353.4524857476</v>
      </c>
      <c r="H11" s="4">
        <f>D11/$H$5</f>
        <v>-3927407.828445449</v>
      </c>
      <c r="I11" s="4">
        <f>E11/$I$5</f>
        <v>-618756.08587213559</v>
      </c>
      <c r="J11" s="3">
        <f>SUM(H11:I11)</f>
        <v>-4546163.9143175846</v>
      </c>
    </row>
    <row r="12" spans="1:10" x14ac:dyDescent="0.25">
      <c r="D12" s="5"/>
      <c r="E12" s="5"/>
      <c r="F12" s="5"/>
      <c r="H12" s="19">
        <v>0</v>
      </c>
      <c r="I12" s="19">
        <v>0</v>
      </c>
      <c r="J12" s="20" t="s">
        <v>114</v>
      </c>
    </row>
    <row r="13" spans="1:10" x14ac:dyDescent="0.25">
      <c r="A13" s="68">
        <v>6</v>
      </c>
      <c r="B13" s="2" t="s">
        <v>115</v>
      </c>
      <c r="C13" s="18" t="s">
        <v>24</v>
      </c>
      <c r="D13" s="3">
        <f>D9-D10+D11</f>
        <v>-2775875.8570387266</v>
      </c>
      <c r="E13" s="3">
        <f>E9-E10+E11</f>
        <v>-308229.85095888271</v>
      </c>
      <c r="F13" s="3">
        <f>SUM(D13:E13)</f>
        <v>-3084105.7079976094</v>
      </c>
      <c r="H13" s="3">
        <f>H9-H10+H11</f>
        <v>-2879839.6464257757</v>
      </c>
      <c r="I13" s="3">
        <f>I9-I10+I11</f>
        <v>-298128.08222780703</v>
      </c>
      <c r="J13" s="3">
        <f>SUM(H13:I13)</f>
        <v>-3177967.7286535827</v>
      </c>
    </row>
    <row r="14" spans="1:10" x14ac:dyDescent="0.25">
      <c r="D14" s="5"/>
      <c r="E14" s="5"/>
      <c r="F14" s="5"/>
      <c r="H14" s="5"/>
      <c r="I14" s="5"/>
      <c r="J14" s="5"/>
    </row>
    <row r="15" spans="1:10" ht="15.75" thickBot="1" x14ac:dyDescent="0.3">
      <c r="A15" s="68">
        <v>7</v>
      </c>
      <c r="B15" s="2" t="s">
        <v>150</v>
      </c>
      <c r="C15" s="18" t="s">
        <v>23</v>
      </c>
      <c r="D15" s="6">
        <f>D6+D13</f>
        <v>45618155.825052522</v>
      </c>
      <c r="E15" s="6">
        <f>E6+E13</f>
        <v>20333371.722461727</v>
      </c>
      <c r="F15" s="6">
        <f>SUM(D15:E15)</f>
        <v>65951527.547514245</v>
      </c>
      <c r="H15" s="6">
        <f>H6+H13</f>
        <v>48001527.677285083</v>
      </c>
      <c r="I15" s="6">
        <f>I6+I13</f>
        <v>21326235.964001797</v>
      </c>
      <c r="J15" s="6">
        <f>SUM(H15:I15)</f>
        <v>69327763.64128688</v>
      </c>
    </row>
    <row r="16" spans="1:10" ht="15.75" thickTop="1" x14ac:dyDescent="0.25"/>
    <row r="18" spans="1:20" x14ac:dyDescent="0.25">
      <c r="A18" s="68">
        <v>8</v>
      </c>
      <c r="B18" s="2" t="s">
        <v>4</v>
      </c>
      <c r="C18" s="18" t="s">
        <v>134</v>
      </c>
      <c r="D18" s="4">
        <v>41187638.920130678</v>
      </c>
      <c r="E18" s="4">
        <v>16985416.009793624</v>
      </c>
      <c r="F18" s="4">
        <f>SUM(D18:E18)</f>
        <v>58173054.929924302</v>
      </c>
      <c r="H18" s="4">
        <f>D18/H5</f>
        <v>43339533.434205867</v>
      </c>
      <c r="I18" s="4">
        <f>E18/I5</f>
        <v>17814801.928370859</v>
      </c>
      <c r="J18" s="4">
        <f>SUM(H18:I18)</f>
        <v>61154335.362576723</v>
      </c>
      <c r="O18" s="155"/>
    </row>
    <row r="19" spans="1:20" x14ac:dyDescent="0.25">
      <c r="A19" s="68">
        <v>9</v>
      </c>
      <c r="B19" s="2" t="s">
        <v>165</v>
      </c>
      <c r="C19" s="26"/>
      <c r="D19" s="3">
        <v>3288786.9049218465</v>
      </c>
      <c r="E19" s="3">
        <v>3416307.7126681004</v>
      </c>
      <c r="F19" s="3">
        <f>SUM(D19:E19)</f>
        <v>6705094.6175899468</v>
      </c>
      <c r="H19" s="1">
        <f>D19/$H$5</f>
        <v>3460613.2752653202</v>
      </c>
      <c r="I19" s="1">
        <f>E19/$I$5</f>
        <v>3583123.6157216369</v>
      </c>
      <c r="J19" s="3">
        <f>SUM(H19:I19)</f>
        <v>7043736.8909869567</v>
      </c>
    </row>
    <row r="20" spans="1:20" x14ac:dyDescent="0.25">
      <c r="D20" s="5"/>
      <c r="E20" s="5"/>
      <c r="F20" s="5"/>
      <c r="H20" s="5"/>
      <c r="I20" s="5"/>
      <c r="J20" s="5"/>
    </row>
    <row r="21" spans="1:20" ht="15.75" thickBot="1" x14ac:dyDescent="0.3">
      <c r="A21" s="68">
        <v>10</v>
      </c>
      <c r="B21" s="2" t="s">
        <v>19</v>
      </c>
      <c r="C21" s="18" t="s">
        <v>166</v>
      </c>
      <c r="D21" s="6">
        <f>SUM(D18:D19)</f>
        <v>44476425.825052522</v>
      </c>
      <c r="E21" s="6">
        <f>SUM(E18:E20)</f>
        <v>20401723.722461723</v>
      </c>
      <c r="F21" s="6">
        <f>SUM(D21:E21)</f>
        <v>64878149.547514245</v>
      </c>
      <c r="H21" s="6">
        <f>SUM(H18:H19)</f>
        <v>46800146.709471188</v>
      </c>
      <c r="I21" s="6">
        <f>SUM(I18:I19)</f>
        <v>21397925.544092495</v>
      </c>
      <c r="J21" s="6">
        <f>SUM(H21:I21)</f>
        <v>68198072.253563687</v>
      </c>
    </row>
    <row r="22" spans="1:20" ht="15.75" thickTop="1" x14ac:dyDescent="0.25"/>
    <row r="23" spans="1:20" x14ac:dyDescent="0.25">
      <c r="D23" s="4"/>
      <c r="E23" s="4"/>
      <c r="F23" s="4"/>
    </row>
    <row r="24" spans="1:20" x14ac:dyDescent="0.25">
      <c r="A24" s="68">
        <v>11</v>
      </c>
      <c r="B24" s="2" t="s">
        <v>5</v>
      </c>
    </row>
    <row r="25" spans="1:20" x14ac:dyDescent="0.25">
      <c r="A25" s="68">
        <v>12</v>
      </c>
      <c r="B25" s="17" t="s">
        <v>6</v>
      </c>
      <c r="D25" s="3">
        <v>-843533</v>
      </c>
      <c r="E25" s="3">
        <v>419171</v>
      </c>
      <c r="F25" s="3">
        <f>SUM(D25:E25)</f>
        <v>-424362</v>
      </c>
      <c r="H25" s="1">
        <v>-845011.91387698054</v>
      </c>
      <c r="I25" s="1">
        <v>464623.75183286145</v>
      </c>
      <c r="J25" s="3">
        <f>SUM(H25:I25)</f>
        <v>-380388.16204411909</v>
      </c>
      <c r="N25" s="4"/>
    </row>
    <row r="26" spans="1:20" x14ac:dyDescent="0.25">
      <c r="A26" s="68">
        <v>13</v>
      </c>
      <c r="B26" s="17" t="s">
        <v>7</v>
      </c>
      <c r="D26" s="3">
        <v>-1932342.8570387298</v>
      </c>
      <c r="E26" s="3">
        <v>-727400.85095888213</v>
      </c>
      <c r="F26" s="3">
        <f>SUM(D26:E26)</f>
        <v>-2659743.7079976117</v>
      </c>
      <c r="H26" s="3">
        <v>-2034827.7325487954</v>
      </c>
      <c r="I26" s="3">
        <v>-762751.83406066953</v>
      </c>
      <c r="J26" s="3">
        <f>SUM(H26:I26)</f>
        <v>-2797579.5666094651</v>
      </c>
      <c r="O26" s="155"/>
    </row>
    <row r="27" spans="1:20" x14ac:dyDescent="0.25">
      <c r="A27" s="68">
        <v>14</v>
      </c>
      <c r="B27" s="17" t="s">
        <v>149</v>
      </c>
      <c r="D27" s="3">
        <v>-1141730</v>
      </c>
      <c r="E27" s="3">
        <v>68352</v>
      </c>
      <c r="F27" s="3">
        <f>SUM(D27:E27)</f>
        <v>-1073378</v>
      </c>
      <c r="H27" s="1">
        <f>D27/H5</f>
        <v>-1201380.9678138955</v>
      </c>
      <c r="I27" s="1">
        <f>E27/I5</f>
        <v>71689.580090702759</v>
      </c>
      <c r="J27" s="3">
        <f>SUM(H27:I27)</f>
        <v>-1129691.3877231928</v>
      </c>
    </row>
    <row r="28" spans="1:20" ht="15.75" thickBot="1" x14ac:dyDescent="0.3">
      <c r="A28" s="68">
        <v>16</v>
      </c>
      <c r="B28" s="2" t="s">
        <v>151</v>
      </c>
      <c r="D28" s="21">
        <f>SUM(D25:D27)</f>
        <v>-3917605.8570387298</v>
      </c>
      <c r="E28" s="21">
        <f>SUM(E25:E27)</f>
        <v>-239877.85095888213</v>
      </c>
      <c r="F28" s="21">
        <f>SUM(F25:F27)</f>
        <v>-4157483.7079976117</v>
      </c>
      <c r="H28" s="21">
        <f>SUM(H25:H27)</f>
        <v>-4081220.6142396717</v>
      </c>
      <c r="I28" s="21">
        <f>SUM(I25:I27)</f>
        <v>-226438.50213710533</v>
      </c>
      <c r="J28" s="21">
        <f>SUM(J25:J27)</f>
        <v>-4307659.1163767772</v>
      </c>
      <c r="O28" s="4"/>
      <c r="Q28" s="4"/>
      <c r="T28" s="155"/>
    </row>
    <row r="29" spans="1:20" ht="15.75" thickTop="1" x14ac:dyDescent="0.25">
      <c r="D29" s="7">
        <f>D28-D13-D27</f>
        <v>-3.2596290111541748E-9</v>
      </c>
      <c r="E29" s="7">
        <f>E28-E13-E27</f>
        <v>5.8207660913467407E-10</v>
      </c>
      <c r="F29" s="7">
        <f>F28-F13-F27</f>
        <v>-2.3283064365386963E-9</v>
      </c>
      <c r="G29" s="22"/>
      <c r="H29" s="7">
        <f>H28-H13-H27</f>
        <v>0</v>
      </c>
      <c r="I29" s="7">
        <f>I28-I13-I27</f>
        <v>-1.0622898116707802E-9</v>
      </c>
      <c r="J29" s="7">
        <f>J28-J13-J27</f>
        <v>0</v>
      </c>
    </row>
    <row r="30" spans="1:20" x14ac:dyDescent="0.25">
      <c r="D30" s="1"/>
      <c r="E30" s="1"/>
      <c r="H30" s="4"/>
      <c r="I30" s="4"/>
      <c r="J30" s="4"/>
      <c r="T30" s="156"/>
    </row>
    <row r="31" spans="1:20" x14ac:dyDescent="0.25">
      <c r="A31" s="68">
        <f>+A28+1</f>
        <v>17</v>
      </c>
      <c r="B31" s="23" t="s">
        <v>67</v>
      </c>
      <c r="C31" s="18"/>
      <c r="H31" s="52">
        <f>H28/H6</f>
        <v>-8.0210513767734609E-2</v>
      </c>
      <c r="I31" s="52">
        <f>I28/I6</f>
        <v>-1.0471452554767124E-2</v>
      </c>
    </row>
    <row r="32" spans="1:20" x14ac:dyDescent="0.25">
      <c r="A32" s="68">
        <f>+A31+1</f>
        <v>18</v>
      </c>
      <c r="B32" s="23" t="s">
        <v>68</v>
      </c>
      <c r="H32" s="68" t="str">
        <f>IF(ABS(H31)&gt;1%,"yes","no")</f>
        <v>yes</v>
      </c>
      <c r="I32" s="68" t="str">
        <f>IF(ABS(I31)&gt;1%,"yes","no")</f>
        <v>yes</v>
      </c>
    </row>
    <row r="33" spans="1:2" x14ac:dyDescent="0.25">
      <c r="A33" s="68">
        <f t="shared" ref="A33:A34" si="0">+A32+1</f>
        <v>19</v>
      </c>
      <c r="B33" s="24" t="s">
        <v>25</v>
      </c>
    </row>
    <row r="34" spans="1:2" x14ac:dyDescent="0.25">
      <c r="A34" s="68">
        <f t="shared" si="0"/>
        <v>20</v>
      </c>
      <c r="B34" s="24" t="s">
        <v>26</v>
      </c>
    </row>
    <row r="36" spans="1:2" x14ac:dyDescent="0.25">
      <c r="B36" s="25"/>
    </row>
    <row r="37" spans="1:2" x14ac:dyDescent="0.25">
      <c r="B37" s="25"/>
    </row>
  </sheetData>
  <pageMargins left="0.7" right="0.7" top="0.75" bottom="0.75" header="0.3" footer="0.3"/>
  <pageSetup scale="86" orientation="landscape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B16" sqref="B16"/>
    </sheetView>
  </sheetViews>
  <sheetFormatPr defaultRowHeight="15" x14ac:dyDescent="0.25"/>
  <cols>
    <col min="1" max="1" width="15.7109375" bestFit="1" customWidth="1"/>
    <col min="2" max="2" width="14.28515625" bestFit="1" customWidth="1"/>
    <col min="3" max="3" width="11.42578125" bestFit="1" customWidth="1"/>
    <col min="8" max="8" width="32.85546875" bestFit="1" customWidth="1"/>
  </cols>
  <sheetData>
    <row r="1" spans="1:8" x14ac:dyDescent="0.25">
      <c r="A1" t="s">
        <v>220</v>
      </c>
      <c r="B1" s="230">
        <f>+'Electric- Tracker 3-11-24'!N37</f>
        <v>28931944.074852843</v>
      </c>
      <c r="C1" s="231" t="s">
        <v>221</v>
      </c>
      <c r="D1">
        <v>0</v>
      </c>
    </row>
    <row r="2" spans="1:8" x14ac:dyDescent="0.25">
      <c r="A2" t="s">
        <v>222</v>
      </c>
      <c r="B2" s="230">
        <f>+'Gas-Tracker filing 3-11-24'!M30</f>
        <v>17626062.637631837</v>
      </c>
      <c r="C2" s="231" t="s">
        <v>221</v>
      </c>
    </row>
    <row r="3" spans="1:8" x14ac:dyDescent="0.25">
      <c r="A3" t="s">
        <v>9</v>
      </c>
      <c r="B3" s="230">
        <v>5835344.9400000004</v>
      </c>
      <c r="C3" s="231" t="s">
        <v>223</v>
      </c>
    </row>
    <row r="4" spans="1:8" x14ac:dyDescent="0.25">
      <c r="A4" t="s">
        <v>10</v>
      </c>
      <c r="B4" s="230">
        <v>542447.99</v>
      </c>
      <c r="C4" s="231" t="s">
        <v>223</v>
      </c>
      <c r="H4" s="230"/>
    </row>
    <row r="5" spans="1:8" x14ac:dyDescent="0.25">
      <c r="H5" s="230"/>
    </row>
    <row r="6" spans="1:8" ht="15.75" thickBot="1" x14ac:dyDescent="0.3">
      <c r="A6" t="s">
        <v>2</v>
      </c>
      <c r="B6" s="232">
        <f>SUM(B1:B5)</f>
        <v>52935799.64248468</v>
      </c>
      <c r="H6" s="230"/>
    </row>
    <row r="7" spans="1:8" ht="15.75" thickTop="1" x14ac:dyDescent="0.25">
      <c r="H7" s="230"/>
    </row>
    <row r="8" spans="1:8" x14ac:dyDescent="0.25">
      <c r="H8" s="230"/>
    </row>
    <row r="9" spans="1:8" x14ac:dyDescent="0.25">
      <c r="B9" s="233">
        <f>SUM(B1,B3:B4)</f>
        <v>35309737.004852846</v>
      </c>
      <c r="C9" t="s">
        <v>0</v>
      </c>
    </row>
    <row r="10" spans="1:8" x14ac:dyDescent="0.25">
      <c r="B10" s="233">
        <f>B2</f>
        <v>17626062.637631837</v>
      </c>
      <c r="C10" t="s">
        <v>1</v>
      </c>
    </row>
    <row r="11" spans="1:8" ht="15.75" thickBot="1" x14ac:dyDescent="0.3">
      <c r="B11" s="232">
        <f>SUM(B9:B10)</f>
        <v>52935799.64248468</v>
      </c>
    </row>
    <row r="12" spans="1:8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7"/>
  <sheetViews>
    <sheetView zoomScaleNormal="100" workbookViewId="0">
      <pane ySplit="11" topLeftCell="A12" activePane="bottomLeft" state="frozen"/>
      <selection activeCell="E24" sqref="E24"/>
      <selection pane="bottomLeft" activeCell="A12" sqref="A12"/>
    </sheetView>
  </sheetViews>
  <sheetFormatPr defaultColWidth="9.140625" defaultRowHeight="12.75" x14ac:dyDescent="0.2"/>
  <cols>
    <col min="1" max="1" width="5.7109375" style="238" customWidth="1"/>
    <col min="2" max="2" width="14.28515625" style="238" customWidth="1"/>
    <col min="3" max="3" width="8.28515625" style="238" customWidth="1"/>
    <col min="4" max="4" width="13.7109375" style="238" bestFit="1" customWidth="1"/>
    <col min="5" max="5" width="15.140625" style="238" bestFit="1" customWidth="1"/>
    <col min="6" max="6" width="15.42578125" style="238" bestFit="1" customWidth="1"/>
    <col min="7" max="7" width="14.7109375" style="238" bestFit="1" customWidth="1"/>
    <col min="8" max="8" width="17.42578125" style="238" bestFit="1" customWidth="1"/>
    <col min="9" max="9" width="16.28515625" style="238" customWidth="1"/>
    <col min="10" max="10" width="19.42578125" style="238" customWidth="1"/>
    <col min="11" max="11" width="14.42578125" style="238" customWidth="1"/>
    <col min="12" max="12" width="15.7109375" style="238" customWidth="1"/>
    <col min="13" max="13" width="9.5703125" style="238" bestFit="1" customWidth="1"/>
    <col min="14" max="14" width="18.28515625" style="238" bestFit="1" customWidth="1"/>
    <col min="15" max="15" width="14" style="238" bestFit="1" customWidth="1"/>
    <col min="16" max="16" width="9.140625" style="238"/>
    <col min="17" max="17" width="9.7109375" style="238" bestFit="1" customWidth="1"/>
    <col min="18" max="16384" width="9.140625" style="238"/>
  </cols>
  <sheetData>
    <row r="1" spans="1:15" x14ac:dyDescent="0.2">
      <c r="A1" s="322" t="s">
        <v>302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</row>
    <row r="2" spans="1:15" x14ac:dyDescent="0.2">
      <c r="A2" s="322" t="s">
        <v>301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</row>
    <row r="3" spans="1:15" x14ac:dyDescent="0.2">
      <c r="A3" s="322" t="s">
        <v>300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</row>
    <row r="4" spans="1:15" x14ac:dyDescent="0.2">
      <c r="A4" s="261" t="s">
        <v>299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</row>
    <row r="5" spans="1:15" x14ac:dyDescent="0.2">
      <c r="A5" s="321" t="s">
        <v>298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</row>
    <row r="6" spans="1:15" x14ac:dyDescent="0.2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</row>
    <row r="7" spans="1:15" ht="13.5" thickBot="1" x14ac:dyDescent="0.25">
      <c r="A7" s="298"/>
      <c r="B7" s="320"/>
      <c r="C7" s="298"/>
      <c r="D7" s="319" t="s">
        <v>297</v>
      </c>
      <c r="E7" s="319" t="s">
        <v>296</v>
      </c>
      <c r="F7" s="319" t="s">
        <v>295</v>
      </c>
      <c r="G7" s="319" t="s">
        <v>294</v>
      </c>
      <c r="H7" s="319" t="s">
        <v>294</v>
      </c>
      <c r="I7" s="319" t="s">
        <v>294</v>
      </c>
      <c r="J7" s="319" t="s">
        <v>293</v>
      </c>
      <c r="K7" s="319" t="s">
        <v>292</v>
      </c>
      <c r="L7" s="319" t="s">
        <v>291</v>
      </c>
      <c r="M7" s="312"/>
    </row>
    <row r="8" spans="1:15" ht="15.75" thickTop="1" x14ac:dyDescent="0.2">
      <c r="A8" s="318"/>
      <c r="B8" s="240"/>
      <c r="C8" s="318"/>
      <c r="D8" s="240"/>
      <c r="E8" s="240"/>
      <c r="F8" s="317" t="s">
        <v>290</v>
      </c>
      <c r="G8" s="317" t="s">
        <v>289</v>
      </c>
      <c r="H8" s="317"/>
      <c r="I8" s="316"/>
      <c r="J8" s="315"/>
      <c r="K8" s="305" t="s">
        <v>288</v>
      </c>
      <c r="L8" s="314" t="s">
        <v>34</v>
      </c>
      <c r="M8" s="314"/>
      <c r="N8" s="313" t="s">
        <v>287</v>
      </c>
    </row>
    <row r="9" spans="1:15" ht="15" x14ac:dyDescent="0.2">
      <c r="A9" s="309" t="s">
        <v>286</v>
      </c>
      <c r="B9" s="312" t="s">
        <v>285</v>
      </c>
      <c r="C9" s="253" t="s">
        <v>284</v>
      </c>
      <c r="D9" s="311" t="s">
        <v>283</v>
      </c>
      <c r="E9" s="310"/>
      <c r="F9" s="307" t="s">
        <v>282</v>
      </c>
      <c r="G9" s="307" t="s">
        <v>281</v>
      </c>
      <c r="H9" s="307" t="s">
        <v>280</v>
      </c>
      <c r="I9" s="307" t="s">
        <v>279</v>
      </c>
      <c r="J9" s="304" t="s">
        <v>278</v>
      </c>
      <c r="K9" s="305" t="s">
        <v>277</v>
      </c>
      <c r="L9" s="253" t="s">
        <v>276</v>
      </c>
      <c r="M9" s="309"/>
      <c r="N9" s="308" t="s">
        <v>275</v>
      </c>
    </row>
    <row r="10" spans="1:15" x14ac:dyDescent="0.2">
      <c r="A10" s="253"/>
      <c r="B10" s="240"/>
      <c r="C10" s="253" t="s">
        <v>274</v>
      </c>
      <c r="D10" s="271" t="s">
        <v>273</v>
      </c>
      <c r="E10" s="271" t="s">
        <v>272</v>
      </c>
      <c r="F10" s="307" t="s">
        <v>271</v>
      </c>
      <c r="G10" s="307" t="s">
        <v>271</v>
      </c>
      <c r="H10" s="307"/>
      <c r="I10" s="307"/>
      <c r="J10" s="306" t="s">
        <v>270</v>
      </c>
      <c r="K10" s="305" t="s">
        <v>269</v>
      </c>
      <c r="L10" s="253"/>
      <c r="M10" s="304"/>
      <c r="N10" s="304" t="s">
        <v>268</v>
      </c>
    </row>
    <row r="11" spans="1:15" ht="15.75" thickBot="1" x14ac:dyDescent="0.25">
      <c r="A11" s="302"/>
      <c r="B11" s="303"/>
      <c r="C11" s="302"/>
      <c r="D11" s="301"/>
      <c r="E11" s="301"/>
      <c r="F11" s="299" t="s">
        <v>267</v>
      </c>
      <c r="G11" s="299"/>
      <c r="H11" s="299"/>
      <c r="I11" s="300" t="s">
        <v>266</v>
      </c>
      <c r="J11" s="299" t="s">
        <v>265</v>
      </c>
      <c r="K11" s="298"/>
      <c r="L11" s="297" t="s">
        <v>264</v>
      </c>
      <c r="M11" s="297"/>
      <c r="N11" s="296"/>
    </row>
    <row r="12" spans="1:15" ht="15.75" thickTop="1" x14ac:dyDescent="0.2">
      <c r="A12" s="285">
        <v>1</v>
      </c>
      <c r="B12" s="287" t="s">
        <v>263</v>
      </c>
      <c r="C12" s="293" t="s">
        <v>238</v>
      </c>
      <c r="D12" s="295">
        <v>0</v>
      </c>
      <c r="E12" s="295">
        <v>0</v>
      </c>
      <c r="F12" s="251">
        <f t="shared" ref="F12:F35" si="0">+D12+E12</f>
        <v>0</v>
      </c>
      <c r="G12" s="294">
        <v>0</v>
      </c>
      <c r="H12" s="294">
        <v>0</v>
      </c>
      <c r="I12" s="294">
        <v>0</v>
      </c>
      <c r="J12" s="251">
        <f t="shared" ref="J12:J35" si="1">SUM(F12:I12)</f>
        <v>0</v>
      </c>
      <c r="K12" s="282">
        <v>0</v>
      </c>
      <c r="L12" s="249">
        <f t="shared" ref="L12:L35" si="2">+J12-K12</f>
        <v>0</v>
      </c>
      <c r="M12" s="280"/>
      <c r="N12" s="272">
        <f t="shared" ref="N12:N27" si="3">IF(C12="A",J12,K12*($M$40))</f>
        <v>0</v>
      </c>
      <c r="O12" s="241"/>
    </row>
    <row r="13" spans="1:15" ht="15" x14ac:dyDescent="0.2">
      <c r="A13" s="285">
        <v>3</v>
      </c>
      <c r="B13" s="287" t="s">
        <v>262</v>
      </c>
      <c r="C13" s="293" t="s">
        <v>238</v>
      </c>
      <c r="D13" s="284">
        <v>963.33</v>
      </c>
      <c r="E13" s="284">
        <v>0</v>
      </c>
      <c r="F13" s="265">
        <f t="shared" si="0"/>
        <v>963.33</v>
      </c>
      <c r="G13" s="284">
        <v>0</v>
      </c>
      <c r="H13" s="283">
        <v>0</v>
      </c>
      <c r="I13" s="290">
        <v>0</v>
      </c>
      <c r="J13" s="265">
        <f t="shared" si="1"/>
        <v>963.33</v>
      </c>
      <c r="K13" s="282">
        <v>1422.54</v>
      </c>
      <c r="L13" s="281">
        <f t="shared" si="2"/>
        <v>-459.20999999999992</v>
      </c>
      <c r="M13" s="280"/>
      <c r="N13" s="272">
        <f t="shared" si="3"/>
        <v>963.33</v>
      </c>
      <c r="O13" s="241"/>
    </row>
    <row r="14" spans="1:15" ht="15" x14ac:dyDescent="0.2">
      <c r="A14" s="279">
        <v>4</v>
      </c>
      <c r="B14" s="270" t="s">
        <v>261</v>
      </c>
      <c r="C14" s="253" t="s">
        <v>240</v>
      </c>
      <c r="D14" s="284">
        <v>0</v>
      </c>
      <c r="E14" s="284">
        <v>0</v>
      </c>
      <c r="F14" s="265">
        <f t="shared" si="0"/>
        <v>0</v>
      </c>
      <c r="G14" s="283">
        <v>0</v>
      </c>
      <c r="H14" s="283">
        <v>0</v>
      </c>
      <c r="I14" s="290">
        <v>0</v>
      </c>
      <c r="J14" s="265">
        <f t="shared" si="1"/>
        <v>0</v>
      </c>
      <c r="K14" s="282">
        <v>2253.8100000000004</v>
      </c>
      <c r="L14" s="249">
        <f t="shared" si="2"/>
        <v>-2253.8100000000004</v>
      </c>
      <c r="M14" s="280"/>
      <c r="N14" s="272">
        <f t="shared" si="3"/>
        <v>2001.354821004059</v>
      </c>
      <c r="O14" s="241"/>
    </row>
    <row r="15" spans="1:15" ht="15" x14ac:dyDescent="0.2">
      <c r="A15" s="279">
        <v>7</v>
      </c>
      <c r="B15" s="270" t="s">
        <v>260</v>
      </c>
      <c r="C15" s="286" t="s">
        <v>238</v>
      </c>
      <c r="D15" s="284">
        <v>542189.68999999994</v>
      </c>
      <c r="E15" s="284">
        <v>0</v>
      </c>
      <c r="F15" s="265">
        <f t="shared" si="0"/>
        <v>542189.68999999994</v>
      </c>
      <c r="G15" s="283">
        <v>0</v>
      </c>
      <c r="H15" s="283">
        <v>0</v>
      </c>
      <c r="I15" s="290">
        <v>0</v>
      </c>
      <c r="J15" s="265">
        <f t="shared" si="1"/>
        <v>542189.68999999994</v>
      </c>
      <c r="K15" s="282">
        <v>709353.88</v>
      </c>
      <c r="L15" s="281">
        <f t="shared" si="2"/>
        <v>-167164.19000000006</v>
      </c>
      <c r="M15" s="280"/>
      <c r="N15" s="272">
        <f t="shared" si="3"/>
        <v>542189.68999999994</v>
      </c>
      <c r="O15" s="241"/>
    </row>
    <row r="16" spans="1:15" ht="15" x14ac:dyDescent="0.2">
      <c r="A16" s="279">
        <v>8</v>
      </c>
      <c r="B16" s="287" t="s">
        <v>259</v>
      </c>
      <c r="C16" s="253" t="s">
        <v>238</v>
      </c>
      <c r="D16" s="284">
        <v>0</v>
      </c>
      <c r="E16" s="284">
        <v>552607.6</v>
      </c>
      <c r="F16" s="265">
        <f t="shared" si="0"/>
        <v>552607.6</v>
      </c>
      <c r="G16" s="283">
        <v>0</v>
      </c>
      <c r="H16" s="283">
        <v>0</v>
      </c>
      <c r="I16" s="290">
        <v>0</v>
      </c>
      <c r="J16" s="265">
        <f t="shared" si="1"/>
        <v>552607.6</v>
      </c>
      <c r="K16" s="282">
        <v>733240.85000000009</v>
      </c>
      <c r="L16" s="249">
        <f t="shared" si="2"/>
        <v>-180633.25000000012</v>
      </c>
      <c r="M16" s="280"/>
      <c r="N16" s="272">
        <f t="shared" si="3"/>
        <v>552607.6</v>
      </c>
      <c r="O16" s="241"/>
    </row>
    <row r="17" spans="1:15" ht="15" x14ac:dyDescent="0.2">
      <c r="A17" s="279">
        <v>9</v>
      </c>
      <c r="B17" s="291" t="s">
        <v>258</v>
      </c>
      <c r="C17" s="253" t="s">
        <v>238</v>
      </c>
      <c r="D17" s="284">
        <v>0</v>
      </c>
      <c r="E17" s="284">
        <v>2022.1799999999998</v>
      </c>
      <c r="F17" s="265">
        <f t="shared" si="0"/>
        <v>2022.1799999999998</v>
      </c>
      <c r="G17" s="283">
        <v>0</v>
      </c>
      <c r="H17" s="283">
        <v>0</v>
      </c>
      <c r="I17" s="290">
        <v>0</v>
      </c>
      <c r="J17" s="265">
        <f t="shared" si="1"/>
        <v>2022.1799999999998</v>
      </c>
      <c r="K17" s="282">
        <v>3210.96</v>
      </c>
      <c r="L17" s="281">
        <f t="shared" si="2"/>
        <v>-1188.7800000000002</v>
      </c>
      <c r="M17" s="280"/>
      <c r="N17" s="272">
        <f t="shared" si="3"/>
        <v>2022.1799999999998</v>
      </c>
      <c r="O17" s="241"/>
    </row>
    <row r="18" spans="1:15" ht="15" x14ac:dyDescent="0.2">
      <c r="A18" s="279">
        <v>11</v>
      </c>
      <c r="B18" s="287" t="s">
        <v>257</v>
      </c>
      <c r="C18" s="253" t="s">
        <v>238</v>
      </c>
      <c r="D18" s="284">
        <v>249.54</v>
      </c>
      <c r="E18" s="284">
        <v>0</v>
      </c>
      <c r="F18" s="265">
        <f t="shared" si="0"/>
        <v>249.54</v>
      </c>
      <c r="G18" s="290">
        <v>0</v>
      </c>
      <c r="H18" s="290">
        <v>0</v>
      </c>
      <c r="I18" s="290">
        <v>0</v>
      </c>
      <c r="J18" s="265">
        <f t="shared" si="1"/>
        <v>249.54</v>
      </c>
      <c r="K18" s="282">
        <v>385.64</v>
      </c>
      <c r="L18" s="249">
        <f t="shared" si="2"/>
        <v>-136.1</v>
      </c>
      <c r="M18" s="280"/>
      <c r="N18" s="272">
        <f t="shared" si="3"/>
        <v>249.54</v>
      </c>
      <c r="O18" s="241"/>
    </row>
    <row r="19" spans="1:15" ht="15" x14ac:dyDescent="0.2">
      <c r="A19" s="279">
        <v>12</v>
      </c>
      <c r="B19" s="287" t="s">
        <v>256</v>
      </c>
      <c r="C19" s="253" t="s">
        <v>238</v>
      </c>
      <c r="D19" s="284">
        <v>1970120.38</v>
      </c>
      <c r="E19" s="284">
        <v>0</v>
      </c>
      <c r="F19" s="265">
        <f t="shared" si="0"/>
        <v>1970120.38</v>
      </c>
      <c r="G19" s="290">
        <v>0</v>
      </c>
      <c r="H19" s="290">
        <v>0</v>
      </c>
      <c r="I19" s="290">
        <v>0</v>
      </c>
      <c r="J19" s="265">
        <f t="shared" si="1"/>
        <v>1970120.38</v>
      </c>
      <c r="K19" s="292">
        <v>2496957.9499999997</v>
      </c>
      <c r="L19" s="281">
        <f t="shared" si="2"/>
        <v>-526837.56999999983</v>
      </c>
      <c r="M19" s="280"/>
      <c r="N19" s="272">
        <f t="shared" si="3"/>
        <v>1970120.38</v>
      </c>
      <c r="O19" s="241"/>
    </row>
    <row r="20" spans="1:15" ht="15" x14ac:dyDescent="0.2">
      <c r="A20" s="279">
        <v>13</v>
      </c>
      <c r="B20" s="278" t="s">
        <v>255</v>
      </c>
      <c r="C20" s="253" t="s">
        <v>240</v>
      </c>
      <c r="D20" s="284">
        <v>0</v>
      </c>
      <c r="E20" s="284">
        <v>0</v>
      </c>
      <c r="F20" s="265">
        <f t="shared" si="0"/>
        <v>0</v>
      </c>
      <c r="G20" s="283">
        <v>0</v>
      </c>
      <c r="H20" s="283">
        <v>0</v>
      </c>
      <c r="I20" s="290">
        <v>0</v>
      </c>
      <c r="J20" s="265">
        <f t="shared" si="1"/>
        <v>0</v>
      </c>
      <c r="K20" s="282">
        <v>14036.18</v>
      </c>
      <c r="L20" s="281">
        <f t="shared" si="2"/>
        <v>-14036.18</v>
      </c>
      <c r="M20" s="280"/>
      <c r="N20" s="272">
        <f t="shared" si="3"/>
        <v>12463.950604301494</v>
      </c>
      <c r="O20" s="241"/>
    </row>
    <row r="21" spans="1:15" ht="15" x14ac:dyDescent="0.2">
      <c r="A21" s="285">
        <v>15</v>
      </c>
      <c r="B21" s="270" t="s">
        <v>254</v>
      </c>
      <c r="C21" s="253" t="s">
        <v>240</v>
      </c>
      <c r="D21" s="284">
        <v>55381.580000000009</v>
      </c>
      <c r="E21" s="284">
        <v>102243.97</v>
      </c>
      <c r="F21" s="265">
        <f t="shared" si="0"/>
        <v>157625.55000000002</v>
      </c>
      <c r="G21" s="283">
        <v>0</v>
      </c>
      <c r="H21" s="283">
        <v>47</v>
      </c>
      <c r="I21" s="290">
        <v>0</v>
      </c>
      <c r="J21" s="265">
        <f t="shared" si="1"/>
        <v>157672.55000000002</v>
      </c>
      <c r="K21" s="282">
        <v>468875.71</v>
      </c>
      <c r="L21" s="281">
        <f t="shared" si="2"/>
        <v>-311203.16000000003</v>
      </c>
      <c r="M21" s="280"/>
      <c r="N21" s="272">
        <f t="shared" si="3"/>
        <v>416355.70995789394</v>
      </c>
      <c r="O21" s="241"/>
    </row>
    <row r="22" spans="1:15" ht="15" x14ac:dyDescent="0.2">
      <c r="A22" s="285">
        <v>16</v>
      </c>
      <c r="B22" s="270" t="s">
        <v>253</v>
      </c>
      <c r="C22" s="253" t="s">
        <v>238</v>
      </c>
      <c r="D22" s="284">
        <v>3735.34</v>
      </c>
      <c r="E22" s="284">
        <v>1677.83</v>
      </c>
      <c r="F22" s="265">
        <f t="shared" si="0"/>
        <v>5413.17</v>
      </c>
      <c r="G22" s="283">
        <v>0</v>
      </c>
      <c r="H22" s="283">
        <v>0</v>
      </c>
      <c r="I22" s="290">
        <v>0</v>
      </c>
      <c r="J22" s="265">
        <f t="shared" si="1"/>
        <v>5413.17</v>
      </c>
      <c r="K22" s="282">
        <v>5504</v>
      </c>
      <c r="L22" s="249">
        <f t="shared" si="2"/>
        <v>-90.829999999999927</v>
      </c>
      <c r="M22" s="280"/>
      <c r="N22" s="272">
        <f t="shared" si="3"/>
        <v>5413.17</v>
      </c>
      <c r="O22" s="241"/>
    </row>
    <row r="23" spans="1:15" ht="15" x14ac:dyDescent="0.2">
      <c r="A23" s="285">
        <v>17</v>
      </c>
      <c r="B23" s="291" t="s">
        <v>252</v>
      </c>
      <c r="C23" s="286" t="s">
        <v>238</v>
      </c>
      <c r="D23" s="284">
        <v>5828265.2399999974</v>
      </c>
      <c r="E23" s="284">
        <v>7662796.54</v>
      </c>
      <c r="F23" s="265">
        <f t="shared" si="0"/>
        <v>13491061.779999997</v>
      </c>
      <c r="G23" s="283">
        <v>242342.49999999994</v>
      </c>
      <c r="H23" s="283">
        <v>385661.49000000022</v>
      </c>
      <c r="I23" s="290">
        <v>0</v>
      </c>
      <c r="J23" s="265">
        <f t="shared" si="1"/>
        <v>14119065.769999998</v>
      </c>
      <c r="K23" s="288">
        <v>14795145.270000003</v>
      </c>
      <c r="L23" s="281">
        <f t="shared" si="2"/>
        <v>-676079.50000000559</v>
      </c>
      <c r="M23" s="280"/>
      <c r="N23" s="272">
        <f t="shared" si="3"/>
        <v>14119065.769999998</v>
      </c>
      <c r="O23" s="241"/>
    </row>
    <row r="24" spans="1:15" ht="15" x14ac:dyDescent="0.2">
      <c r="A24" s="285">
        <v>18</v>
      </c>
      <c r="B24" s="270" t="s">
        <v>251</v>
      </c>
      <c r="C24" s="253" t="s">
        <v>240</v>
      </c>
      <c r="D24" s="284">
        <v>0</v>
      </c>
      <c r="E24" s="284">
        <v>0</v>
      </c>
      <c r="F24" s="265">
        <f t="shared" si="0"/>
        <v>0</v>
      </c>
      <c r="G24" s="283">
        <v>0</v>
      </c>
      <c r="H24" s="283">
        <v>0</v>
      </c>
      <c r="I24" s="283">
        <v>0</v>
      </c>
      <c r="J24" s="265">
        <f t="shared" si="1"/>
        <v>0</v>
      </c>
      <c r="K24" s="282">
        <v>1758847.64</v>
      </c>
      <c r="L24" s="281">
        <f t="shared" si="2"/>
        <v>-1758847.64</v>
      </c>
      <c r="M24" s="280"/>
      <c r="N24" s="272">
        <f t="shared" si="3"/>
        <v>1561834.4952438807</v>
      </c>
      <c r="O24" s="241"/>
    </row>
    <row r="25" spans="1:15" ht="15" x14ac:dyDescent="0.2">
      <c r="A25" s="285">
        <v>19</v>
      </c>
      <c r="B25" s="278" t="s">
        <v>250</v>
      </c>
      <c r="C25" s="286" t="s">
        <v>240</v>
      </c>
      <c r="D25" s="284">
        <v>0</v>
      </c>
      <c r="E25" s="284">
        <v>1660007.9000000001</v>
      </c>
      <c r="F25" s="265">
        <f t="shared" si="0"/>
        <v>1660007.9000000001</v>
      </c>
      <c r="G25" s="283">
        <v>0</v>
      </c>
      <c r="H25" s="283">
        <v>1447.3300000000002</v>
      </c>
      <c r="I25" s="283">
        <v>0</v>
      </c>
      <c r="J25" s="265">
        <f t="shared" si="1"/>
        <v>1661455.2300000002</v>
      </c>
      <c r="K25" s="282">
        <v>1661455.2300000002</v>
      </c>
      <c r="L25" s="281">
        <f t="shared" si="2"/>
        <v>0</v>
      </c>
      <c r="M25" s="280"/>
      <c r="N25" s="272">
        <f t="shared" si="3"/>
        <v>1475351.2649437652</v>
      </c>
      <c r="O25" s="241"/>
    </row>
    <row r="26" spans="1:15" ht="15" x14ac:dyDescent="0.2">
      <c r="A26" s="289">
        <v>20</v>
      </c>
      <c r="B26" s="278" t="s">
        <v>249</v>
      </c>
      <c r="C26" s="286" t="s">
        <v>238</v>
      </c>
      <c r="D26" s="284">
        <v>303193.13</v>
      </c>
      <c r="E26" s="284">
        <v>590338.31000000006</v>
      </c>
      <c r="F26" s="265">
        <f t="shared" si="0"/>
        <v>893531.44000000006</v>
      </c>
      <c r="G26" s="283">
        <v>4741.1399999999994</v>
      </c>
      <c r="H26" s="283">
        <v>0</v>
      </c>
      <c r="I26" s="283">
        <v>0</v>
      </c>
      <c r="J26" s="265">
        <f t="shared" si="1"/>
        <v>898272.58000000007</v>
      </c>
      <c r="K26" s="288">
        <v>1118165.03</v>
      </c>
      <c r="L26" s="281">
        <f t="shared" si="2"/>
        <v>-219892.44999999995</v>
      </c>
      <c r="M26" s="280"/>
      <c r="N26" s="272">
        <f t="shared" si="3"/>
        <v>898272.58000000007</v>
      </c>
      <c r="O26" s="241"/>
    </row>
    <row r="27" spans="1:15" ht="15" x14ac:dyDescent="0.2">
      <c r="A27" s="285">
        <v>21</v>
      </c>
      <c r="B27" s="270" t="s">
        <v>248</v>
      </c>
      <c r="C27" s="253" t="s">
        <v>240</v>
      </c>
      <c r="D27" s="284">
        <v>0</v>
      </c>
      <c r="E27" s="284">
        <v>0</v>
      </c>
      <c r="F27" s="265">
        <f t="shared" si="0"/>
        <v>0</v>
      </c>
      <c r="G27" s="283">
        <v>0</v>
      </c>
      <c r="H27" s="283">
        <v>0</v>
      </c>
      <c r="I27" s="283">
        <v>0</v>
      </c>
      <c r="J27" s="265">
        <f t="shared" si="1"/>
        <v>0</v>
      </c>
      <c r="K27" s="282">
        <v>51765.16</v>
      </c>
      <c r="L27" s="281">
        <f t="shared" si="2"/>
        <v>-51765.16</v>
      </c>
      <c r="M27" s="280"/>
      <c r="N27" s="272">
        <f t="shared" si="3"/>
        <v>45966.808438176449</v>
      </c>
      <c r="O27" s="241"/>
    </row>
    <row r="28" spans="1:15" ht="15" x14ac:dyDescent="0.2">
      <c r="A28" s="285">
        <v>27</v>
      </c>
      <c r="B28" s="270" t="s">
        <v>247</v>
      </c>
      <c r="C28" s="253" t="s">
        <v>240</v>
      </c>
      <c r="D28" s="284">
        <v>0</v>
      </c>
      <c r="E28" s="284">
        <v>0</v>
      </c>
      <c r="F28" s="265">
        <f t="shared" si="0"/>
        <v>0</v>
      </c>
      <c r="G28" s="283">
        <v>0</v>
      </c>
      <c r="H28" s="283">
        <v>0</v>
      </c>
      <c r="I28" s="283">
        <v>0</v>
      </c>
      <c r="J28" s="265">
        <f t="shared" si="1"/>
        <v>0</v>
      </c>
      <c r="K28" s="282">
        <v>2835700.15</v>
      </c>
      <c r="L28" s="281">
        <f t="shared" si="2"/>
        <v>-2835700.15</v>
      </c>
      <c r="M28" s="280"/>
      <c r="N28" s="272"/>
      <c r="O28" s="241"/>
    </row>
    <row r="29" spans="1:15" ht="15" x14ac:dyDescent="0.2">
      <c r="A29" s="285">
        <v>29</v>
      </c>
      <c r="B29" s="287" t="s">
        <v>246</v>
      </c>
      <c r="C29" s="286" t="s">
        <v>238</v>
      </c>
      <c r="D29" s="284">
        <v>704351.39</v>
      </c>
      <c r="E29" s="284">
        <v>1537553.0299999991</v>
      </c>
      <c r="F29" s="265">
        <f t="shared" si="0"/>
        <v>2241904.419999999</v>
      </c>
      <c r="G29" s="283">
        <v>185.4</v>
      </c>
      <c r="H29" s="283">
        <v>23346.37</v>
      </c>
      <c r="I29" s="283">
        <v>0</v>
      </c>
      <c r="J29" s="265">
        <f t="shared" si="1"/>
        <v>2265436.189999999</v>
      </c>
      <c r="K29" s="282">
        <v>2821595.03</v>
      </c>
      <c r="L29" s="281">
        <f t="shared" si="2"/>
        <v>-556158.84000000078</v>
      </c>
      <c r="M29" s="280"/>
      <c r="N29" s="272">
        <f t="shared" ref="N29:N35" si="4">IF(C29="A",J29,K29*($M$40))</f>
        <v>2265436.189999999</v>
      </c>
      <c r="O29" s="241"/>
    </row>
    <row r="30" spans="1:15" ht="15" x14ac:dyDescent="0.2">
      <c r="A30" s="285">
        <v>31</v>
      </c>
      <c r="B30" s="270" t="s">
        <v>245</v>
      </c>
      <c r="C30" s="253" t="s">
        <v>238</v>
      </c>
      <c r="D30" s="284">
        <v>22032.45</v>
      </c>
      <c r="E30" s="284">
        <v>127016.73999999999</v>
      </c>
      <c r="F30" s="265">
        <f t="shared" si="0"/>
        <v>149049.19</v>
      </c>
      <c r="G30" s="283">
        <v>0</v>
      </c>
      <c r="H30" s="283">
        <v>4785.8</v>
      </c>
      <c r="I30" s="283">
        <v>0</v>
      </c>
      <c r="J30" s="265">
        <f t="shared" si="1"/>
        <v>153834.99</v>
      </c>
      <c r="K30" s="282">
        <v>174816.3</v>
      </c>
      <c r="L30" s="281">
        <f t="shared" si="2"/>
        <v>-20981.309999999998</v>
      </c>
      <c r="M30" s="280"/>
      <c r="N30" s="272">
        <f t="shared" si="4"/>
        <v>153834.99</v>
      </c>
      <c r="O30" s="241"/>
    </row>
    <row r="31" spans="1:15" ht="15" x14ac:dyDescent="0.2">
      <c r="A31" s="285">
        <v>32</v>
      </c>
      <c r="B31" s="270" t="s">
        <v>244</v>
      </c>
      <c r="C31" s="253" t="s">
        <v>238</v>
      </c>
      <c r="D31" s="284">
        <v>0</v>
      </c>
      <c r="E31" s="284">
        <v>0</v>
      </c>
      <c r="F31" s="265">
        <f t="shared" si="0"/>
        <v>0</v>
      </c>
      <c r="G31" s="283">
        <v>0</v>
      </c>
      <c r="H31" s="283">
        <v>0</v>
      </c>
      <c r="I31" s="283">
        <v>0</v>
      </c>
      <c r="J31" s="265">
        <f t="shared" si="1"/>
        <v>0</v>
      </c>
      <c r="K31" s="282">
        <v>0</v>
      </c>
      <c r="L31" s="281">
        <f t="shared" si="2"/>
        <v>0</v>
      </c>
      <c r="M31" s="280"/>
      <c r="N31" s="272">
        <f t="shared" si="4"/>
        <v>0</v>
      </c>
      <c r="O31" s="241"/>
    </row>
    <row r="32" spans="1:15" ht="15" x14ac:dyDescent="0.2">
      <c r="A32" s="285">
        <v>34</v>
      </c>
      <c r="B32" s="270" t="s">
        <v>243</v>
      </c>
      <c r="C32" s="253" t="s">
        <v>238</v>
      </c>
      <c r="D32" s="284">
        <v>256247.80000000002</v>
      </c>
      <c r="E32" s="284">
        <v>1312141.1399999997</v>
      </c>
      <c r="F32" s="265">
        <f t="shared" si="0"/>
        <v>1568388.9399999997</v>
      </c>
      <c r="G32" s="283">
        <v>0</v>
      </c>
      <c r="H32" s="283">
        <v>22839.19</v>
      </c>
      <c r="I32" s="283">
        <v>0</v>
      </c>
      <c r="J32" s="265">
        <f t="shared" si="1"/>
        <v>1591228.1299999997</v>
      </c>
      <c r="K32" s="282">
        <v>2029363.11</v>
      </c>
      <c r="L32" s="281">
        <f t="shared" si="2"/>
        <v>-438134.98000000045</v>
      </c>
      <c r="M32" s="280"/>
      <c r="N32" s="272">
        <f t="shared" si="4"/>
        <v>1591228.1299999997</v>
      </c>
      <c r="O32" s="241"/>
    </row>
    <row r="33" spans="1:17" ht="15" x14ac:dyDescent="0.2">
      <c r="A33" s="285">
        <v>36</v>
      </c>
      <c r="B33" s="270" t="s">
        <v>242</v>
      </c>
      <c r="C33" s="253" t="s">
        <v>240</v>
      </c>
      <c r="D33" s="284">
        <v>0</v>
      </c>
      <c r="E33" s="284">
        <v>0</v>
      </c>
      <c r="F33" s="265">
        <f t="shared" si="0"/>
        <v>0</v>
      </c>
      <c r="G33" s="283">
        <v>0</v>
      </c>
      <c r="H33" s="283">
        <v>0</v>
      </c>
      <c r="I33" s="283">
        <v>0</v>
      </c>
      <c r="J33" s="265">
        <f t="shared" si="1"/>
        <v>0</v>
      </c>
      <c r="K33" s="282">
        <v>0</v>
      </c>
      <c r="L33" s="281">
        <f t="shared" si="2"/>
        <v>0</v>
      </c>
      <c r="M33" s="280"/>
      <c r="N33" s="272">
        <f t="shared" si="4"/>
        <v>0</v>
      </c>
      <c r="O33" s="241"/>
    </row>
    <row r="34" spans="1:17" ht="15" x14ac:dyDescent="0.2">
      <c r="A34" s="285">
        <v>37</v>
      </c>
      <c r="B34" s="270" t="s">
        <v>241</v>
      </c>
      <c r="C34" s="253" t="s">
        <v>240</v>
      </c>
      <c r="D34" s="284">
        <v>583834.10999999987</v>
      </c>
      <c r="E34" s="284">
        <v>3125321.939999999</v>
      </c>
      <c r="F34" s="265">
        <f t="shared" si="0"/>
        <v>3709156.0499999989</v>
      </c>
      <c r="G34" s="283">
        <v>0</v>
      </c>
      <c r="H34" s="283">
        <v>25150.52</v>
      </c>
      <c r="I34" s="283">
        <v>0</v>
      </c>
      <c r="J34" s="265">
        <f t="shared" si="1"/>
        <v>3734306.5699999989</v>
      </c>
      <c r="K34" s="282">
        <v>3734306.5699999989</v>
      </c>
      <c r="L34" s="281">
        <f t="shared" si="2"/>
        <v>0</v>
      </c>
      <c r="M34" s="280"/>
      <c r="N34" s="272">
        <f t="shared" si="4"/>
        <v>3316017.0808438282</v>
      </c>
      <c r="O34" s="241"/>
    </row>
    <row r="35" spans="1:17" s="262" customFormat="1" ht="15" x14ac:dyDescent="0.2">
      <c r="A35" s="279">
        <v>38</v>
      </c>
      <c r="B35" s="278" t="s">
        <v>239</v>
      </c>
      <c r="C35" s="253" t="s">
        <v>238</v>
      </c>
      <c r="D35" s="277">
        <v>0</v>
      </c>
      <c r="E35" s="277">
        <v>549.86</v>
      </c>
      <c r="F35" s="265">
        <f t="shared" si="0"/>
        <v>549.86</v>
      </c>
      <c r="G35" s="276">
        <v>0</v>
      </c>
      <c r="H35" s="276">
        <v>0</v>
      </c>
      <c r="I35" s="276">
        <v>0</v>
      </c>
      <c r="J35" s="276">
        <f t="shared" si="1"/>
        <v>549.86</v>
      </c>
      <c r="K35" s="275">
        <v>780.54</v>
      </c>
      <c r="L35" s="274">
        <f t="shared" si="2"/>
        <v>-230.67999999999995</v>
      </c>
      <c r="M35" s="273"/>
      <c r="N35" s="272">
        <f t="shared" si="4"/>
        <v>549.86</v>
      </c>
      <c r="O35" s="241"/>
      <c r="P35" s="238"/>
      <c r="Q35" s="238"/>
    </row>
    <row r="36" spans="1:17" s="262" customFormat="1" x14ac:dyDescent="0.2">
      <c r="A36" s="271"/>
      <c r="B36" s="270"/>
      <c r="C36" s="269"/>
      <c r="D36" s="268"/>
      <c r="E36" s="267"/>
      <c r="F36" s="266"/>
      <c r="G36" s="266"/>
      <c r="H36" s="265"/>
      <c r="I36" s="265"/>
      <c r="J36" s="265"/>
      <c r="K36" s="264"/>
      <c r="L36" s="249"/>
      <c r="M36" s="248"/>
      <c r="N36" s="263"/>
    </row>
    <row r="37" spans="1:17" ht="15.75" thickBot="1" x14ac:dyDescent="0.25">
      <c r="B37" s="261" t="s">
        <v>237</v>
      </c>
      <c r="C37" s="260"/>
      <c r="D37" s="259">
        <f t="shared" ref="D37:I37" si="5">SUM(D12:D35)</f>
        <v>10270563.979999999</v>
      </c>
      <c r="E37" s="258">
        <f t="shared" si="5"/>
        <v>16674277.039999997</v>
      </c>
      <c r="F37" s="257">
        <f t="shared" si="5"/>
        <v>26944841.019999996</v>
      </c>
      <c r="G37" s="257">
        <f t="shared" si="5"/>
        <v>247269.03999999995</v>
      </c>
      <c r="H37" s="257">
        <f t="shared" si="5"/>
        <v>463277.70000000024</v>
      </c>
      <c r="I37" s="257">
        <f t="shared" si="5"/>
        <v>0</v>
      </c>
      <c r="J37" s="257">
        <f>SUM(J12:J36)</f>
        <v>27655387.75999999</v>
      </c>
      <c r="K37" s="256">
        <f>SUM(K12:K36)</f>
        <v>35417181.550000004</v>
      </c>
      <c r="L37" s="255">
        <f>SUM(L12:L36)</f>
        <v>-7761793.7900000066</v>
      </c>
      <c r="M37" s="248"/>
      <c r="N37" s="254">
        <f>SUM(N12:N35)</f>
        <v>28931944.074852843</v>
      </c>
    </row>
    <row r="38" spans="1:17" ht="13.5" thickTop="1" x14ac:dyDescent="0.2">
      <c r="C38" s="253"/>
      <c r="D38" s="252"/>
      <c r="E38" s="252"/>
      <c r="F38" s="251"/>
      <c r="G38" s="251"/>
      <c r="H38" s="251"/>
      <c r="I38" s="251"/>
      <c r="J38" s="251"/>
      <c r="K38" s="250"/>
      <c r="L38" s="249"/>
      <c r="M38" s="248"/>
    </row>
    <row r="39" spans="1:17" x14ac:dyDescent="0.2">
      <c r="A39" s="247" t="s">
        <v>236</v>
      </c>
      <c r="E39" s="246"/>
      <c r="F39" s="245"/>
      <c r="G39" s="245"/>
      <c r="H39" s="245"/>
      <c r="I39" s="245"/>
      <c r="J39" s="245"/>
      <c r="K39" s="244"/>
      <c r="L39" s="243"/>
      <c r="M39" s="243"/>
    </row>
    <row r="40" spans="1:17" x14ac:dyDescent="0.2">
      <c r="A40" s="242" t="s">
        <v>235</v>
      </c>
      <c r="J40" s="241">
        <f>+SUMIF(C12:C35,"a",J12:J35)</f>
        <v>22101953.409999989</v>
      </c>
      <c r="K40" s="241">
        <f>+SUMIF(C12:C35,"a",K12:K35)</f>
        <v>24889941.100000005</v>
      </c>
      <c r="L40" s="240" t="s">
        <v>234</v>
      </c>
      <c r="M40" s="239">
        <f>J40/K40</f>
        <v>0.8879873729391824</v>
      </c>
    </row>
    <row r="46" spans="1:17" x14ac:dyDescent="0.2">
      <c r="A46" s="238" t="s">
        <v>233</v>
      </c>
    </row>
    <row r="47" spans="1:17" x14ac:dyDescent="0.2">
      <c r="A47" s="238" t="s">
        <v>232</v>
      </c>
      <c r="B47" s="238" t="s">
        <v>231</v>
      </c>
    </row>
  </sheetData>
  <printOptions horizontalCentered="1" verticalCentered="1"/>
  <pageMargins left="0" right="0" top="0" bottom="0.25" header="0" footer="0"/>
  <pageSetup scale="8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zoomScaleNormal="100" workbookViewId="0">
      <pane ySplit="10" topLeftCell="A11" activePane="bottomLeft" state="frozen"/>
      <selection activeCell="E24" sqref="E24"/>
      <selection pane="bottomLeft" activeCell="A11" sqref="A11"/>
    </sheetView>
  </sheetViews>
  <sheetFormatPr defaultColWidth="9.140625" defaultRowHeight="15" x14ac:dyDescent="0.2"/>
  <cols>
    <col min="1" max="1" width="4.85546875" style="323" bestFit="1" customWidth="1"/>
    <col min="2" max="2" width="22.85546875" style="323" customWidth="1"/>
    <col min="3" max="3" width="5.28515625" style="323" customWidth="1"/>
    <col min="4" max="4" width="17.42578125" style="323" customWidth="1"/>
    <col min="5" max="5" width="18.42578125" style="323" customWidth="1"/>
    <col min="6" max="6" width="19.140625" style="323" customWidth="1"/>
    <col min="7" max="7" width="16.85546875" style="323" customWidth="1"/>
    <col min="8" max="8" width="17.42578125" style="323" customWidth="1"/>
    <col min="9" max="9" width="18.7109375" style="323" customWidth="1"/>
    <col min="10" max="10" width="18.5703125" style="323" bestFit="1" customWidth="1"/>
    <col min="11" max="11" width="16.7109375" style="323" bestFit="1" customWidth="1"/>
    <col min="12" max="12" width="18.28515625" style="323" bestFit="1" customWidth="1"/>
    <col min="13" max="13" width="20.140625" style="323" bestFit="1" customWidth="1"/>
    <col min="14" max="14" width="17.42578125" style="323" customWidth="1"/>
    <col min="15" max="15" width="17.28515625" style="323" bestFit="1" customWidth="1"/>
    <col min="16" max="16" width="16.7109375" style="323" bestFit="1" customWidth="1"/>
    <col min="17" max="17" width="22.7109375" style="323" customWidth="1"/>
    <col min="18" max="20" width="9.140625" style="323"/>
    <col min="21" max="21" width="10" style="323" bestFit="1" customWidth="1"/>
    <col min="22" max="16384" width="9.140625" style="323"/>
  </cols>
  <sheetData>
    <row r="1" spans="1:16" x14ac:dyDescent="0.2">
      <c r="A1" s="398" t="s">
        <v>326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1:16" x14ac:dyDescent="0.2">
      <c r="A2" s="398" t="s">
        <v>300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1:16" x14ac:dyDescent="0.2">
      <c r="A3" s="398" t="s">
        <v>325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1:16" x14ac:dyDescent="0.2">
      <c r="A4" s="398"/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1:16" x14ac:dyDescent="0.2">
      <c r="A5" s="399" t="s">
        <v>299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1:16" ht="15.75" x14ac:dyDescent="0.25">
      <c r="A6" s="396" t="s">
        <v>298</v>
      </c>
      <c r="B6" s="397"/>
      <c r="C6" s="397"/>
      <c r="D6" s="396"/>
      <c r="E6" s="396"/>
      <c r="F6" s="396"/>
      <c r="G6" s="397"/>
      <c r="H6" s="397"/>
      <c r="I6" s="397"/>
      <c r="J6" s="396"/>
      <c r="K6" s="396"/>
      <c r="L6" s="396"/>
    </row>
    <row r="7" spans="1:16" ht="15.75" thickBot="1" x14ac:dyDescent="0.25">
      <c r="A7" s="394"/>
      <c r="B7" s="395"/>
      <c r="C7" s="395"/>
      <c r="D7" s="394"/>
      <c r="E7" s="394"/>
      <c r="F7" s="394"/>
      <c r="G7" s="394"/>
      <c r="H7" s="394"/>
      <c r="I7" s="394"/>
      <c r="J7" s="394"/>
      <c r="K7" s="394"/>
      <c r="L7" s="394"/>
    </row>
    <row r="8" spans="1:16" ht="15.75" thickTop="1" x14ac:dyDescent="0.2">
      <c r="B8" s="390"/>
      <c r="C8" s="390"/>
      <c r="D8" s="390"/>
      <c r="E8" s="393"/>
      <c r="F8" s="392" t="s">
        <v>324</v>
      </c>
      <c r="G8" s="373" t="s">
        <v>323</v>
      </c>
      <c r="H8" s="373"/>
      <c r="I8" s="373"/>
      <c r="J8" s="372"/>
      <c r="K8" s="387" t="s">
        <v>288</v>
      </c>
      <c r="L8" s="391" t="s">
        <v>34</v>
      </c>
      <c r="M8" s="391" t="s">
        <v>287</v>
      </c>
    </row>
    <row r="9" spans="1:16" x14ac:dyDescent="0.2">
      <c r="B9" s="390"/>
      <c r="C9" s="390" t="s">
        <v>284</v>
      </c>
      <c r="D9" s="389" t="s">
        <v>322</v>
      </c>
      <c r="E9" s="388"/>
      <c r="F9" s="373" t="s">
        <v>321</v>
      </c>
      <c r="G9" s="373" t="s">
        <v>321</v>
      </c>
      <c r="H9" s="373" t="s">
        <v>280</v>
      </c>
      <c r="I9" s="373" t="s">
        <v>320</v>
      </c>
      <c r="J9" s="386" t="s">
        <v>278</v>
      </c>
      <c r="K9" s="387" t="s">
        <v>277</v>
      </c>
      <c r="L9" s="372" t="s">
        <v>276</v>
      </c>
      <c r="M9" s="386" t="s">
        <v>275</v>
      </c>
    </row>
    <row r="10" spans="1:16" ht="16.5" thickBot="1" x14ac:dyDescent="0.3">
      <c r="A10" s="385" t="s">
        <v>319</v>
      </c>
      <c r="B10" s="384" t="s">
        <v>285</v>
      </c>
      <c r="C10" s="384" t="s">
        <v>274</v>
      </c>
      <c r="D10" s="383" t="s">
        <v>318</v>
      </c>
      <c r="E10" s="382" t="s">
        <v>317</v>
      </c>
      <c r="F10" s="381" t="s">
        <v>316</v>
      </c>
      <c r="G10" s="381" t="s">
        <v>316</v>
      </c>
      <c r="H10" s="381"/>
      <c r="I10" s="380" t="s">
        <v>266</v>
      </c>
      <c r="J10" s="379" t="s">
        <v>315</v>
      </c>
      <c r="K10" s="378" t="s">
        <v>314</v>
      </c>
      <c r="L10" s="377"/>
      <c r="M10" s="376" t="s">
        <v>268</v>
      </c>
    </row>
    <row r="11" spans="1:16" ht="15.75" thickTop="1" x14ac:dyDescent="0.2">
      <c r="B11" s="368"/>
      <c r="C11" s="368"/>
      <c r="D11" s="375"/>
      <c r="E11" s="374"/>
      <c r="F11" s="373"/>
      <c r="G11" s="373"/>
      <c r="H11" s="373"/>
      <c r="I11" s="373"/>
      <c r="J11" s="373"/>
      <c r="K11" s="357"/>
      <c r="L11" s="372"/>
      <c r="M11" s="370"/>
      <c r="N11" s="370"/>
    </row>
    <row r="12" spans="1:16" x14ac:dyDescent="0.2">
      <c r="A12" s="323">
        <v>3</v>
      </c>
      <c r="B12" s="368" t="s">
        <v>313</v>
      </c>
      <c r="C12" s="368" t="s">
        <v>238</v>
      </c>
      <c r="D12" s="366">
        <v>0</v>
      </c>
      <c r="E12" s="371">
        <v>62.94</v>
      </c>
      <c r="F12" s="350">
        <f t="shared" ref="F12:F28" si="0">D12+E12</f>
        <v>62.94</v>
      </c>
      <c r="G12" s="366">
        <v>0</v>
      </c>
      <c r="H12" s="366">
        <v>0</v>
      </c>
      <c r="I12" s="366">
        <v>0</v>
      </c>
      <c r="J12" s="350">
        <f t="shared" ref="J12:J18" si="1">SUM(F12:I12)</f>
        <v>62.94</v>
      </c>
      <c r="K12" s="332">
        <v>41.61</v>
      </c>
      <c r="L12" s="365">
        <f t="shared" ref="L12:L28" si="2">+J12-K12</f>
        <v>21.33</v>
      </c>
      <c r="M12" s="348">
        <f t="shared" ref="M12:M28" si="3">IF(C12="A",J12,K12*$M$32)</f>
        <v>62.94</v>
      </c>
      <c r="N12" s="370"/>
    </row>
    <row r="13" spans="1:16" ht="15.75" x14ac:dyDescent="0.25">
      <c r="A13" s="323">
        <v>7</v>
      </c>
      <c r="B13" s="368" t="s">
        <v>312</v>
      </c>
      <c r="C13" s="368" t="s">
        <v>238</v>
      </c>
      <c r="D13" s="366">
        <v>185.82</v>
      </c>
      <c r="E13" s="366">
        <v>0</v>
      </c>
      <c r="F13" s="350">
        <f t="shared" si="0"/>
        <v>185.82</v>
      </c>
      <c r="G13" s="366">
        <v>0</v>
      </c>
      <c r="H13" s="366">
        <v>0</v>
      </c>
      <c r="I13" s="366">
        <v>0</v>
      </c>
      <c r="J13" s="350">
        <f t="shared" si="1"/>
        <v>185.82</v>
      </c>
      <c r="K13" s="369">
        <v>111.13</v>
      </c>
      <c r="L13" s="365">
        <f t="shared" si="2"/>
        <v>74.69</v>
      </c>
      <c r="M13" s="348">
        <f t="shared" si="3"/>
        <v>185.82</v>
      </c>
      <c r="N13" s="347"/>
    </row>
    <row r="14" spans="1:16" ht="15.75" x14ac:dyDescent="0.25">
      <c r="A14" s="323">
        <v>8</v>
      </c>
      <c r="B14" s="368" t="s">
        <v>311</v>
      </c>
      <c r="C14" s="368" t="s">
        <v>238</v>
      </c>
      <c r="D14" s="366">
        <v>0</v>
      </c>
      <c r="E14" s="367">
        <v>0</v>
      </c>
      <c r="F14" s="350">
        <f t="shared" si="0"/>
        <v>0</v>
      </c>
      <c r="G14" s="366">
        <v>0</v>
      </c>
      <c r="H14" s="366">
        <v>0</v>
      </c>
      <c r="I14" s="366">
        <v>0</v>
      </c>
      <c r="J14" s="350">
        <f t="shared" si="1"/>
        <v>0</v>
      </c>
      <c r="K14" s="366">
        <v>0</v>
      </c>
      <c r="L14" s="365">
        <f t="shared" si="2"/>
        <v>0</v>
      </c>
      <c r="M14" s="348">
        <f t="shared" si="3"/>
        <v>0</v>
      </c>
      <c r="N14" s="347"/>
    </row>
    <row r="15" spans="1:16" ht="15.75" x14ac:dyDescent="0.25">
      <c r="A15" s="354">
        <v>17</v>
      </c>
      <c r="B15" s="353" t="s">
        <v>252</v>
      </c>
      <c r="C15" s="353" t="s">
        <v>238</v>
      </c>
      <c r="D15" s="363">
        <v>774448.2699999999</v>
      </c>
      <c r="E15" s="362">
        <v>8583434.5599999987</v>
      </c>
      <c r="F15" s="360">
        <f t="shared" si="0"/>
        <v>9357882.8299999982</v>
      </c>
      <c r="G15" s="361">
        <v>2987.11</v>
      </c>
      <c r="H15" s="361">
        <v>101345.70999999999</v>
      </c>
      <c r="I15" s="361">
        <v>0</v>
      </c>
      <c r="J15" s="360">
        <f t="shared" si="1"/>
        <v>9462215.6499999985</v>
      </c>
      <c r="K15" s="358">
        <v>8951372.0200000014</v>
      </c>
      <c r="L15" s="349">
        <f t="shared" si="2"/>
        <v>510843.62999999709</v>
      </c>
      <c r="M15" s="348">
        <f t="shared" si="3"/>
        <v>9462215.6499999985</v>
      </c>
      <c r="N15" s="347"/>
      <c r="P15" s="357"/>
    </row>
    <row r="16" spans="1:16" ht="15.75" x14ac:dyDescent="0.25">
      <c r="A16" s="354">
        <v>15</v>
      </c>
      <c r="B16" s="353" t="s">
        <v>254</v>
      </c>
      <c r="C16" s="353" t="s">
        <v>240</v>
      </c>
      <c r="D16" s="351">
        <v>0</v>
      </c>
      <c r="E16" s="352">
        <v>0</v>
      </c>
      <c r="F16" s="350">
        <f t="shared" si="0"/>
        <v>0</v>
      </c>
      <c r="G16" s="351">
        <v>0</v>
      </c>
      <c r="H16" s="351">
        <v>0</v>
      </c>
      <c r="I16" s="351">
        <v>0</v>
      </c>
      <c r="J16" s="350">
        <f t="shared" si="1"/>
        <v>0</v>
      </c>
      <c r="K16" s="336">
        <v>1521.71</v>
      </c>
      <c r="L16" s="349">
        <f t="shared" si="2"/>
        <v>-1521.71</v>
      </c>
      <c r="M16" s="348">
        <f t="shared" si="3"/>
        <v>1585.1303355181724</v>
      </c>
      <c r="N16" s="347"/>
      <c r="P16" s="357"/>
    </row>
    <row r="17" spans="1:16" ht="15.75" x14ac:dyDescent="0.25">
      <c r="A17" s="354">
        <v>16</v>
      </c>
      <c r="B17" s="353" t="s">
        <v>310</v>
      </c>
      <c r="C17" s="353" t="s">
        <v>238</v>
      </c>
      <c r="D17" s="351">
        <v>1040.83</v>
      </c>
      <c r="E17" s="351">
        <v>0</v>
      </c>
      <c r="F17" s="350">
        <f t="shared" si="0"/>
        <v>1040.83</v>
      </c>
      <c r="G17" s="351">
        <v>0</v>
      </c>
      <c r="H17" s="351">
        <v>0</v>
      </c>
      <c r="I17" s="351">
        <v>0</v>
      </c>
      <c r="J17" s="350">
        <f t="shared" si="1"/>
        <v>1040.83</v>
      </c>
      <c r="K17" s="336">
        <v>796.98</v>
      </c>
      <c r="L17" s="349">
        <f t="shared" si="2"/>
        <v>243.84999999999991</v>
      </c>
      <c r="M17" s="348">
        <f t="shared" si="3"/>
        <v>1040.83</v>
      </c>
      <c r="N17" s="347"/>
      <c r="P17" s="357"/>
    </row>
    <row r="18" spans="1:16" ht="15.75" x14ac:dyDescent="0.25">
      <c r="A18" s="354">
        <v>12</v>
      </c>
      <c r="B18" s="353" t="s">
        <v>309</v>
      </c>
      <c r="C18" s="353" t="s">
        <v>238</v>
      </c>
      <c r="D18" s="351">
        <v>431.41</v>
      </c>
      <c r="E18" s="352">
        <v>0</v>
      </c>
      <c r="F18" s="350">
        <f t="shared" si="0"/>
        <v>431.41</v>
      </c>
      <c r="G18" s="351">
        <v>0</v>
      </c>
      <c r="H18" s="351">
        <v>0</v>
      </c>
      <c r="I18" s="351">
        <v>0</v>
      </c>
      <c r="J18" s="350">
        <f t="shared" si="1"/>
        <v>431.41</v>
      </c>
      <c r="K18" s="336">
        <v>255.93</v>
      </c>
      <c r="L18" s="349">
        <f t="shared" si="2"/>
        <v>175.48000000000002</v>
      </c>
      <c r="M18" s="348">
        <f t="shared" si="3"/>
        <v>431.41</v>
      </c>
      <c r="N18" s="347"/>
      <c r="P18" s="357"/>
    </row>
    <row r="19" spans="1:16" ht="15.75" x14ac:dyDescent="0.25">
      <c r="A19" s="354">
        <v>18</v>
      </c>
      <c r="B19" s="353" t="s">
        <v>308</v>
      </c>
      <c r="C19" s="353" t="s">
        <v>240</v>
      </c>
      <c r="D19" s="351">
        <v>0</v>
      </c>
      <c r="E19" s="352">
        <v>0</v>
      </c>
      <c r="F19" s="350">
        <f t="shared" si="0"/>
        <v>0</v>
      </c>
      <c r="G19" s="351">
        <v>0</v>
      </c>
      <c r="H19" s="351">
        <v>0</v>
      </c>
      <c r="I19" s="351">
        <v>0</v>
      </c>
      <c r="J19" s="351">
        <v>0</v>
      </c>
      <c r="K19" s="351">
        <v>3814.2000000000003</v>
      </c>
      <c r="L19" s="349">
        <f t="shared" si="2"/>
        <v>-3814.2000000000003</v>
      </c>
      <c r="M19" s="348">
        <f t="shared" si="3"/>
        <v>3973.1644832020647</v>
      </c>
      <c r="N19" s="347"/>
      <c r="P19" s="357"/>
    </row>
    <row r="20" spans="1:16" ht="15.75" x14ac:dyDescent="0.25">
      <c r="A20" s="354">
        <v>19</v>
      </c>
      <c r="B20" s="353" t="s">
        <v>250</v>
      </c>
      <c r="C20" s="353" t="s">
        <v>240</v>
      </c>
      <c r="D20" s="351">
        <v>0</v>
      </c>
      <c r="E20" s="352">
        <v>375787.0400000001</v>
      </c>
      <c r="F20" s="350">
        <f t="shared" si="0"/>
        <v>375787.0400000001</v>
      </c>
      <c r="G20" s="359">
        <v>0</v>
      </c>
      <c r="H20" s="359">
        <v>0</v>
      </c>
      <c r="I20" s="359">
        <v>0</v>
      </c>
      <c r="J20" s="350">
        <f t="shared" ref="J20:J28" si="4">SUM(F20:I20)</f>
        <v>375787.0400000001</v>
      </c>
      <c r="K20" s="336">
        <v>375787.0400000001</v>
      </c>
      <c r="L20" s="349">
        <f t="shared" si="2"/>
        <v>0</v>
      </c>
      <c r="M20" s="348">
        <f t="shared" si="3"/>
        <v>391448.72334320011</v>
      </c>
      <c r="N20" s="347"/>
      <c r="P20" s="357"/>
    </row>
    <row r="21" spans="1:16" ht="15.75" x14ac:dyDescent="0.25">
      <c r="A21" s="364">
        <v>21</v>
      </c>
      <c r="B21" s="353" t="s">
        <v>248</v>
      </c>
      <c r="C21" s="353" t="s">
        <v>240</v>
      </c>
      <c r="D21" s="363">
        <v>0</v>
      </c>
      <c r="E21" s="362">
        <v>9893.48</v>
      </c>
      <c r="F21" s="350">
        <f t="shared" si="0"/>
        <v>9893.48</v>
      </c>
      <c r="G21" s="361">
        <v>0</v>
      </c>
      <c r="H21" s="361">
        <v>324.39999999999998</v>
      </c>
      <c r="I21" s="361">
        <v>0</v>
      </c>
      <c r="J21" s="360">
        <f t="shared" si="4"/>
        <v>10217.879999999999</v>
      </c>
      <c r="K21" s="358">
        <v>310740.23</v>
      </c>
      <c r="L21" s="349">
        <f t="shared" si="2"/>
        <v>-300522.34999999998</v>
      </c>
      <c r="M21" s="348">
        <f t="shared" si="3"/>
        <v>323690.95625243575</v>
      </c>
      <c r="N21" s="347"/>
      <c r="P21" s="357"/>
    </row>
    <row r="22" spans="1:16" ht="15.75" x14ac:dyDescent="0.25">
      <c r="A22" s="354">
        <v>27</v>
      </c>
      <c r="B22" s="353" t="s">
        <v>307</v>
      </c>
      <c r="C22" s="353" t="s">
        <v>240</v>
      </c>
      <c r="D22" s="351">
        <v>0</v>
      </c>
      <c r="E22" s="352">
        <v>0</v>
      </c>
      <c r="F22" s="350">
        <f t="shared" si="0"/>
        <v>0</v>
      </c>
      <c r="G22" s="359">
        <v>0</v>
      </c>
      <c r="H22" s="359">
        <v>0</v>
      </c>
      <c r="I22" s="359">
        <v>0</v>
      </c>
      <c r="J22" s="350">
        <f t="shared" si="4"/>
        <v>0</v>
      </c>
      <c r="K22" s="336">
        <f>5436520.78-1517817.86</f>
        <v>3918702.92</v>
      </c>
      <c r="L22" s="349">
        <f t="shared" si="2"/>
        <v>-3918702.92</v>
      </c>
      <c r="M22" s="348">
        <f t="shared" si="3"/>
        <v>4082022.7733113682</v>
      </c>
      <c r="N22" s="347"/>
      <c r="P22" s="357"/>
    </row>
    <row r="23" spans="1:16" ht="15.75" x14ac:dyDescent="0.25">
      <c r="A23" s="354">
        <v>29</v>
      </c>
      <c r="B23" s="356" t="s">
        <v>246</v>
      </c>
      <c r="C23" s="356" t="s">
        <v>238</v>
      </c>
      <c r="D23" s="351">
        <v>1608.69</v>
      </c>
      <c r="E23" s="352">
        <v>3288.5299999999997</v>
      </c>
      <c r="F23" s="350">
        <f t="shared" si="0"/>
        <v>4897.2199999999993</v>
      </c>
      <c r="G23" s="359">
        <v>0</v>
      </c>
      <c r="H23" s="359">
        <v>0</v>
      </c>
      <c r="I23" s="359">
        <v>0</v>
      </c>
      <c r="J23" s="350">
        <f t="shared" si="4"/>
        <v>4897.2199999999993</v>
      </c>
      <c r="K23" s="336">
        <v>3407.13</v>
      </c>
      <c r="L23" s="349">
        <f t="shared" si="2"/>
        <v>1490.0899999999992</v>
      </c>
      <c r="M23" s="348">
        <f t="shared" si="3"/>
        <v>4897.2199999999993</v>
      </c>
      <c r="N23" s="347"/>
      <c r="P23" s="357"/>
    </row>
    <row r="24" spans="1:16" ht="15.75" x14ac:dyDescent="0.25">
      <c r="A24" s="354">
        <v>31</v>
      </c>
      <c r="B24" s="353" t="s">
        <v>245</v>
      </c>
      <c r="C24" s="353" t="s">
        <v>240</v>
      </c>
      <c r="D24" s="351">
        <v>2237385.7499999995</v>
      </c>
      <c r="E24" s="352">
        <v>0</v>
      </c>
      <c r="F24" s="350">
        <f t="shared" si="0"/>
        <v>2237385.7499999995</v>
      </c>
      <c r="G24" s="359">
        <v>0</v>
      </c>
      <c r="H24" s="359">
        <v>5978.7099999999991</v>
      </c>
      <c r="I24" s="359">
        <v>0</v>
      </c>
      <c r="J24" s="350">
        <f t="shared" si="4"/>
        <v>2243364.4599999995</v>
      </c>
      <c r="K24" s="358">
        <v>2207160.3400000003</v>
      </c>
      <c r="L24" s="349">
        <f t="shared" si="2"/>
        <v>36204.11999999918</v>
      </c>
      <c r="M24" s="348">
        <f t="shared" si="3"/>
        <v>2299148.20188249</v>
      </c>
      <c r="N24" s="347"/>
      <c r="P24" s="357"/>
    </row>
    <row r="25" spans="1:16" ht="15.75" x14ac:dyDescent="0.25">
      <c r="A25" s="354">
        <v>34</v>
      </c>
      <c r="B25" s="356" t="s">
        <v>243</v>
      </c>
      <c r="C25" s="356" t="s">
        <v>238</v>
      </c>
      <c r="D25" s="351">
        <v>4667.29</v>
      </c>
      <c r="E25" s="352">
        <v>1045247.8699999999</v>
      </c>
      <c r="F25" s="350">
        <f t="shared" si="0"/>
        <v>1049915.1599999999</v>
      </c>
      <c r="G25" s="359">
        <v>0</v>
      </c>
      <c r="H25" s="359">
        <v>1618.37</v>
      </c>
      <c r="I25" s="359">
        <v>0</v>
      </c>
      <c r="J25" s="350">
        <f t="shared" si="4"/>
        <v>1051533.53</v>
      </c>
      <c r="K25" s="358">
        <v>1143467.5400000003</v>
      </c>
      <c r="L25" s="349">
        <f t="shared" si="2"/>
        <v>-91934.010000000242</v>
      </c>
      <c r="M25" s="348">
        <f t="shared" si="3"/>
        <v>1051533.53</v>
      </c>
      <c r="N25" s="347"/>
      <c r="P25" s="357"/>
    </row>
    <row r="26" spans="1:16" ht="15.75" x14ac:dyDescent="0.25">
      <c r="A26" s="354">
        <v>36</v>
      </c>
      <c r="B26" s="353" t="s">
        <v>306</v>
      </c>
      <c r="C26" s="353" t="s">
        <v>240</v>
      </c>
      <c r="D26" s="351">
        <v>0</v>
      </c>
      <c r="E26" s="352">
        <v>0</v>
      </c>
      <c r="F26" s="350">
        <f t="shared" si="0"/>
        <v>0</v>
      </c>
      <c r="G26" s="351">
        <v>0</v>
      </c>
      <c r="H26" s="351">
        <v>0</v>
      </c>
      <c r="I26" s="351">
        <v>0</v>
      </c>
      <c r="J26" s="350">
        <f t="shared" si="4"/>
        <v>0</v>
      </c>
      <c r="K26" s="336">
        <v>0</v>
      </c>
      <c r="L26" s="349">
        <f t="shared" si="2"/>
        <v>0</v>
      </c>
      <c r="M26" s="348">
        <f t="shared" si="3"/>
        <v>0</v>
      </c>
      <c r="N26" s="347"/>
      <c r="P26" s="357"/>
    </row>
    <row r="27" spans="1:16" ht="15.75" x14ac:dyDescent="0.25">
      <c r="A27" s="354">
        <v>37</v>
      </c>
      <c r="B27" s="356" t="s">
        <v>241</v>
      </c>
      <c r="C27" s="356" t="s">
        <v>240</v>
      </c>
      <c r="D27" s="351">
        <v>0</v>
      </c>
      <c r="E27" s="352">
        <v>0</v>
      </c>
      <c r="F27" s="350">
        <f t="shared" si="0"/>
        <v>0</v>
      </c>
      <c r="G27" s="351">
        <v>0</v>
      </c>
      <c r="H27" s="351">
        <v>0</v>
      </c>
      <c r="I27" s="351">
        <v>0</v>
      </c>
      <c r="J27" s="350">
        <f t="shared" si="4"/>
        <v>0</v>
      </c>
      <c r="K27" s="349">
        <v>3673.1999999999994</v>
      </c>
      <c r="L27" s="349">
        <f t="shared" si="2"/>
        <v>-3673.1999999999994</v>
      </c>
      <c r="M27" s="348">
        <f t="shared" si="3"/>
        <v>3826.288023621682</v>
      </c>
      <c r="N27" s="355"/>
    </row>
    <row r="28" spans="1:16" ht="15.75" x14ac:dyDescent="0.25">
      <c r="A28" s="354">
        <v>38</v>
      </c>
      <c r="B28" s="353" t="s">
        <v>239</v>
      </c>
      <c r="C28" s="353" t="s">
        <v>240</v>
      </c>
      <c r="D28" s="351">
        <v>0</v>
      </c>
      <c r="E28" s="352">
        <v>549.86</v>
      </c>
      <c r="F28" s="350">
        <f t="shared" si="0"/>
        <v>549.86</v>
      </c>
      <c r="G28" s="351">
        <v>0</v>
      </c>
      <c r="H28" s="351">
        <v>0</v>
      </c>
      <c r="I28" s="351">
        <v>0</v>
      </c>
      <c r="J28" s="350">
        <f t="shared" si="4"/>
        <v>549.86</v>
      </c>
      <c r="K28" s="349">
        <v>0</v>
      </c>
      <c r="L28" s="349">
        <f t="shared" si="2"/>
        <v>549.86</v>
      </c>
      <c r="M28" s="348">
        <f t="shared" si="3"/>
        <v>0</v>
      </c>
      <c r="N28" s="347"/>
    </row>
    <row r="29" spans="1:16" x14ac:dyDescent="0.2">
      <c r="D29" s="346"/>
      <c r="E29" s="345"/>
      <c r="F29" s="345"/>
      <c r="G29" s="344"/>
      <c r="H29" s="344"/>
      <c r="I29" s="344"/>
      <c r="J29" s="342"/>
      <c r="K29" s="343"/>
      <c r="L29" s="342"/>
      <c r="M29" s="326"/>
      <c r="N29" s="341"/>
    </row>
    <row r="30" spans="1:16" ht="15.75" thickBot="1" x14ac:dyDescent="0.25">
      <c r="B30" s="337" t="s">
        <v>237</v>
      </c>
      <c r="C30" s="337"/>
      <c r="D30" s="340">
        <f t="shared" ref="D30:M30" si="5">SUM(D12:D29)</f>
        <v>3019768.0599999996</v>
      </c>
      <c r="E30" s="340">
        <f t="shared" si="5"/>
        <v>10018264.279999997</v>
      </c>
      <c r="F30" s="340">
        <f t="shared" si="5"/>
        <v>13038032.34</v>
      </c>
      <c r="G30" s="340">
        <f t="shared" si="5"/>
        <v>2987.11</v>
      </c>
      <c r="H30" s="340">
        <f t="shared" si="5"/>
        <v>109267.18999999997</v>
      </c>
      <c r="I30" s="340">
        <f t="shared" si="5"/>
        <v>0</v>
      </c>
      <c r="J30" s="340">
        <f t="shared" si="5"/>
        <v>13150286.639999999</v>
      </c>
      <c r="K30" s="340">
        <f t="shared" si="5"/>
        <v>16920851.980000004</v>
      </c>
      <c r="L30" s="339">
        <f t="shared" si="5"/>
        <v>-3770565.3400000045</v>
      </c>
      <c r="M30" s="338">
        <f t="shared" si="5"/>
        <v>17626062.637631837</v>
      </c>
      <c r="P30" s="332"/>
    </row>
    <row r="31" spans="1:16" ht="15.75" thickTop="1" x14ac:dyDescent="0.2">
      <c r="A31" s="323" t="s">
        <v>235</v>
      </c>
      <c r="B31" s="337"/>
      <c r="C31" s="337"/>
      <c r="D31" s="336"/>
      <c r="E31" s="335"/>
      <c r="F31" s="335"/>
      <c r="G31" s="336"/>
      <c r="H31" s="336"/>
      <c r="I31" s="336"/>
      <c r="J31" s="336"/>
      <c r="K31" s="335"/>
      <c r="L31" s="334"/>
      <c r="M31" s="333"/>
      <c r="P31" s="332"/>
    </row>
    <row r="32" spans="1:16" x14ac:dyDescent="0.2">
      <c r="A32" s="323" t="s">
        <v>305</v>
      </c>
      <c r="B32" s="331"/>
      <c r="D32" s="330"/>
      <c r="E32" s="329"/>
      <c r="F32" s="329"/>
      <c r="G32" s="328"/>
      <c r="H32" s="328"/>
      <c r="I32" s="328"/>
      <c r="J32" s="327">
        <f>+SUMIF(C12:C29,"a",J12:J29)</f>
        <v>10520367.399999999</v>
      </c>
      <c r="K32" s="327">
        <f>SUMIF(C12:C29,"a",K12:K29)</f>
        <v>10099452.340000004</v>
      </c>
      <c r="L32" s="240" t="s">
        <v>234</v>
      </c>
      <c r="M32" s="326">
        <f>+J32/K32</f>
        <v>1.0416770183005779</v>
      </c>
    </row>
    <row r="33" spans="1:14" x14ac:dyDescent="0.2">
      <c r="B33" s="325"/>
      <c r="C33" s="325"/>
      <c r="D33" s="325"/>
      <c r="E33" s="325"/>
      <c r="F33" s="325"/>
      <c r="G33" s="325"/>
      <c r="M33" s="324"/>
      <c r="N33" s="324"/>
    </row>
    <row r="36" spans="1:14" x14ac:dyDescent="0.2">
      <c r="A36" s="323" t="s">
        <v>304</v>
      </c>
    </row>
    <row r="37" spans="1:14" x14ac:dyDescent="0.2">
      <c r="A37" s="323" t="s">
        <v>303</v>
      </c>
    </row>
  </sheetData>
  <printOptions horizontalCentered="1" verticalCentered="1"/>
  <pageMargins left="0.25" right="0.25" top="0.75" bottom="0.75" header="0.3" footer="0.3"/>
  <pageSetup scale="61" fitToHeight="0" orientation="landscape" r:id="rId1"/>
  <headerFooter alignWithMargins="0"/>
  <rowBreaks count="1" manualBreakCount="1">
    <brk id="32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5"/>
  <sheetViews>
    <sheetView topLeftCell="A13" workbookViewId="0">
      <selection activeCell="O17" sqref="O17"/>
    </sheetView>
  </sheetViews>
  <sheetFormatPr defaultColWidth="9.140625" defaultRowHeight="15" x14ac:dyDescent="0.25"/>
  <cols>
    <col min="1" max="1" width="10.85546875" style="69" bestFit="1" customWidth="1"/>
    <col min="2" max="2" width="14.140625" style="69" bestFit="1" customWidth="1"/>
    <col min="3" max="3" width="13.85546875" style="69" bestFit="1" customWidth="1"/>
    <col min="4" max="5" width="13.42578125" style="69" bestFit="1" customWidth="1"/>
    <col min="6" max="6" width="13.85546875" style="69" bestFit="1" customWidth="1"/>
    <col min="7" max="7" width="12.5703125" style="69" bestFit="1" customWidth="1"/>
    <col min="8" max="8" width="13.42578125" style="69" bestFit="1" customWidth="1"/>
    <col min="9" max="11" width="12.5703125" style="69" customWidth="1"/>
    <col min="12" max="12" width="13.140625" style="69" bestFit="1" customWidth="1"/>
    <col min="13" max="13" width="9.140625" style="69"/>
    <col min="14" max="16" width="12.140625" style="69" bestFit="1" customWidth="1"/>
    <col min="17" max="16384" width="9.140625" style="69"/>
  </cols>
  <sheetData>
    <row r="1" spans="1:16" ht="15.75" thickBot="1" x14ac:dyDescent="0.3">
      <c r="A1" s="132" t="s">
        <v>0</v>
      </c>
      <c r="N1" s="131" t="s">
        <v>135</v>
      </c>
      <c r="P1" s="130"/>
    </row>
    <row r="2" spans="1:16" x14ac:dyDescent="0.25">
      <c r="N2" s="129" t="s">
        <v>136</v>
      </c>
      <c r="O2" s="128"/>
      <c r="P2" s="88"/>
    </row>
    <row r="3" spans="1:16" x14ac:dyDescent="0.25">
      <c r="C3" s="127" t="s">
        <v>69</v>
      </c>
      <c r="D3" s="124"/>
      <c r="E3" s="124"/>
      <c r="F3" s="124"/>
      <c r="G3" s="126"/>
      <c r="H3" s="125" t="s">
        <v>70</v>
      </c>
      <c r="I3" s="124"/>
      <c r="J3" s="124"/>
      <c r="K3" s="124"/>
      <c r="L3" s="123"/>
      <c r="N3" s="82"/>
      <c r="O3" s="89"/>
      <c r="P3" s="88"/>
    </row>
    <row r="4" spans="1:16" x14ac:dyDescent="0.25">
      <c r="B4" s="81" t="s">
        <v>71</v>
      </c>
      <c r="C4" s="122" t="s">
        <v>72</v>
      </c>
      <c r="D4" s="121" t="s">
        <v>73</v>
      </c>
      <c r="E4" s="121"/>
      <c r="F4" s="121" t="s">
        <v>72</v>
      </c>
      <c r="G4" s="120"/>
      <c r="H4" s="119"/>
      <c r="I4" s="119"/>
      <c r="J4" s="119"/>
      <c r="K4" s="119"/>
      <c r="L4" s="118"/>
      <c r="N4" s="87" t="s">
        <v>137</v>
      </c>
      <c r="O4" s="89"/>
      <c r="P4" s="88"/>
    </row>
    <row r="5" spans="1:16" x14ac:dyDescent="0.25">
      <c r="B5" s="81" t="s">
        <v>74</v>
      </c>
      <c r="C5" s="117" t="s">
        <v>75</v>
      </c>
      <c r="D5" s="81" t="s">
        <v>76</v>
      </c>
      <c r="E5" s="81"/>
      <c r="F5" s="81" t="s">
        <v>77</v>
      </c>
      <c r="G5" s="53" t="s">
        <v>78</v>
      </c>
      <c r="H5" s="89"/>
      <c r="I5" s="89"/>
      <c r="J5" s="89"/>
      <c r="K5" s="81" t="s">
        <v>79</v>
      </c>
      <c r="L5" s="54" t="s">
        <v>78</v>
      </c>
      <c r="N5" s="87" t="s">
        <v>83</v>
      </c>
      <c r="O5" s="89"/>
      <c r="P5" s="88"/>
    </row>
    <row r="6" spans="1:16" x14ac:dyDescent="0.25">
      <c r="A6" s="115" t="s">
        <v>80</v>
      </c>
      <c r="B6" s="115" t="s">
        <v>81</v>
      </c>
      <c r="C6" s="116" t="s">
        <v>82</v>
      </c>
      <c r="D6" s="115" t="s">
        <v>83</v>
      </c>
      <c r="E6" s="115" t="s">
        <v>84</v>
      </c>
      <c r="F6" s="115" t="s">
        <v>78</v>
      </c>
      <c r="G6" s="114" t="s">
        <v>11</v>
      </c>
      <c r="H6" s="55" t="s">
        <v>85</v>
      </c>
      <c r="I6" s="55" t="s">
        <v>86</v>
      </c>
      <c r="J6" s="55" t="s">
        <v>84</v>
      </c>
      <c r="K6" s="55" t="s">
        <v>65</v>
      </c>
      <c r="L6" s="113" t="s">
        <v>11</v>
      </c>
      <c r="N6" s="87" t="s">
        <v>73</v>
      </c>
      <c r="O6" s="89"/>
      <c r="P6" s="88"/>
    </row>
    <row r="7" spans="1:16" x14ac:dyDescent="0.25">
      <c r="A7" s="79" t="s">
        <v>179</v>
      </c>
      <c r="C7" s="56" t="s">
        <v>87</v>
      </c>
      <c r="D7" s="112"/>
      <c r="E7" s="89"/>
      <c r="F7" s="89"/>
      <c r="G7" s="92"/>
      <c r="H7" s="89"/>
      <c r="I7" s="89"/>
      <c r="J7" s="89"/>
      <c r="K7" s="89"/>
      <c r="L7" s="111"/>
      <c r="N7" s="82"/>
      <c r="O7" s="89"/>
      <c r="P7" s="88"/>
    </row>
    <row r="8" spans="1:16" x14ac:dyDescent="0.25">
      <c r="A8" s="69" t="s">
        <v>88</v>
      </c>
      <c r="C8" s="110"/>
      <c r="D8" s="89"/>
      <c r="E8" s="89"/>
      <c r="F8" s="89"/>
      <c r="G8" s="109">
        <v>4430517</v>
      </c>
      <c r="H8" s="89"/>
      <c r="I8" s="89"/>
      <c r="J8" s="89"/>
      <c r="K8" s="89"/>
      <c r="L8" s="108">
        <v>2910732.92</v>
      </c>
      <c r="N8" s="82"/>
      <c r="O8" s="89">
        <v>2023</v>
      </c>
      <c r="P8" s="88"/>
    </row>
    <row r="9" spans="1:16" x14ac:dyDescent="0.25">
      <c r="A9" s="69" t="s">
        <v>89</v>
      </c>
      <c r="B9" s="75"/>
      <c r="C9" s="107">
        <f>G29</f>
        <v>4838462</v>
      </c>
      <c r="D9" s="57">
        <f>+N9</f>
        <v>-5087384.7833600007</v>
      </c>
      <c r="E9" s="202">
        <v>22088</v>
      </c>
      <c r="F9" s="106">
        <f t="shared" ref="F9:F20" si="0">SUM(C9:E9)</f>
        <v>-226834.7833600007</v>
      </c>
      <c r="G9" s="91">
        <f>F9+G8</f>
        <v>4203682.2166399993</v>
      </c>
      <c r="H9" s="74">
        <v>-727683</v>
      </c>
      <c r="I9" s="106"/>
      <c r="J9" s="106"/>
      <c r="K9" s="106">
        <f>SUM(H9:J9)</f>
        <v>-727683</v>
      </c>
      <c r="L9" s="100">
        <f>L8+K9</f>
        <v>2183049.92</v>
      </c>
      <c r="N9" s="203">
        <v>-5087384.7833600007</v>
      </c>
      <c r="O9" s="93" t="s">
        <v>89</v>
      </c>
      <c r="P9" s="99"/>
    </row>
    <row r="10" spans="1:16" x14ac:dyDescent="0.25">
      <c r="A10" s="69" t="s">
        <v>90</v>
      </c>
      <c r="B10" s="71"/>
      <c r="C10" s="103">
        <f t="shared" ref="C10:C17" si="1">G30</f>
        <v>4841542</v>
      </c>
      <c r="D10" s="58">
        <f>N10-SUM($D$9:D9)</f>
        <v>-4566506.6536100004</v>
      </c>
      <c r="E10" s="202">
        <v>-22089</v>
      </c>
      <c r="F10" s="101">
        <f>SUM(C10:E10)</f>
        <v>252946.34638999961</v>
      </c>
      <c r="G10" s="91">
        <f>F10+G9</f>
        <v>4456628.5630299989</v>
      </c>
      <c r="H10" s="102">
        <f>+H9</f>
        <v>-727683</v>
      </c>
      <c r="I10" s="101"/>
      <c r="J10" s="101"/>
      <c r="K10" s="101">
        <f t="shared" ref="K10:K20" si="2">SUM(H10:J10)</f>
        <v>-727683</v>
      </c>
      <c r="L10" s="100">
        <f t="shared" ref="L10:L20" si="3">L9+K10</f>
        <v>1455366.92</v>
      </c>
      <c r="N10" s="204">
        <v>-9653891.4369700011</v>
      </c>
      <c r="O10" s="93" t="s">
        <v>90</v>
      </c>
      <c r="P10" s="99"/>
    </row>
    <row r="11" spans="1:16" x14ac:dyDescent="0.25">
      <c r="A11" s="69" t="s">
        <v>91</v>
      </c>
      <c r="B11" s="71"/>
      <c r="C11" s="103">
        <f t="shared" si="1"/>
        <v>3571739</v>
      </c>
      <c r="D11" s="58">
        <f>N11-SUM($D$9:D10)</f>
        <v>-4966317.3550099991</v>
      </c>
      <c r="E11" s="101"/>
      <c r="F11" s="101">
        <f t="shared" si="0"/>
        <v>-1394578.3550099991</v>
      </c>
      <c r="G11" s="91">
        <f t="shared" ref="G11:G20" si="4">F11+G10</f>
        <v>3062050.2080199998</v>
      </c>
      <c r="H11" s="102">
        <f>+H10</f>
        <v>-727683</v>
      </c>
      <c r="I11" s="202">
        <v>-4896056</v>
      </c>
      <c r="J11" s="101"/>
      <c r="K11" s="101">
        <f t="shared" si="2"/>
        <v>-5623739</v>
      </c>
      <c r="L11" s="64">
        <f>L10+K11</f>
        <v>-4168372.08</v>
      </c>
      <c r="N11" s="204">
        <v>-14620208.79198</v>
      </c>
      <c r="O11" s="93" t="s">
        <v>91</v>
      </c>
      <c r="P11" s="99"/>
    </row>
    <row r="12" spans="1:16" x14ac:dyDescent="0.25">
      <c r="A12" s="69" t="s">
        <v>92</v>
      </c>
      <c r="B12" s="71"/>
      <c r="C12" s="103">
        <f t="shared" si="1"/>
        <v>4401839.99</v>
      </c>
      <c r="D12" s="58">
        <f>N12-SUM($D$9:D11)</f>
        <v>-4030633.2447699998</v>
      </c>
      <c r="E12" s="101"/>
      <c r="F12" s="101">
        <f t="shared" si="0"/>
        <v>371206.74523000047</v>
      </c>
      <c r="G12" s="91">
        <f>F12+G11</f>
        <v>3433256.9532500003</v>
      </c>
      <c r="H12" s="102">
        <f>+H11</f>
        <v>-727683</v>
      </c>
      <c r="I12" s="59"/>
      <c r="J12" s="202">
        <v>9070.61</v>
      </c>
      <c r="K12" s="101">
        <f t="shared" si="2"/>
        <v>-718612.39</v>
      </c>
      <c r="L12" s="100">
        <f t="shared" si="3"/>
        <v>-4886984.47</v>
      </c>
      <c r="N12" s="204">
        <v>-18650842.03675</v>
      </c>
      <c r="O12" s="93" t="s">
        <v>92</v>
      </c>
      <c r="P12" s="99"/>
    </row>
    <row r="13" spans="1:16" x14ac:dyDescent="0.25">
      <c r="A13" s="69" t="s">
        <v>93</v>
      </c>
      <c r="B13" s="71"/>
      <c r="C13" s="103">
        <f t="shared" si="1"/>
        <v>3338558.5400000038</v>
      </c>
      <c r="D13" s="58">
        <f>N13-SUM($D$9:D12)</f>
        <v>-3358909.0208519995</v>
      </c>
      <c r="E13" s="202">
        <f>-J13-1141732.35</f>
        <v>-9317502.2400000002</v>
      </c>
      <c r="F13" s="58">
        <f t="shared" si="0"/>
        <v>-9337852.7208519951</v>
      </c>
      <c r="G13" s="91">
        <f>F13+G12</f>
        <v>-5904595.7676019948</v>
      </c>
      <c r="H13" s="73">
        <v>-274065.46000000002</v>
      </c>
      <c r="I13" s="101"/>
      <c r="J13" s="73">
        <f>9317502.24-1141732.35</f>
        <v>8175769.8900000006</v>
      </c>
      <c r="K13" s="101">
        <f t="shared" si="2"/>
        <v>7901704.4300000006</v>
      </c>
      <c r="L13" s="100">
        <f t="shared" si="3"/>
        <v>3014719.9600000009</v>
      </c>
      <c r="N13" s="204">
        <v>-22009751.057601999</v>
      </c>
      <c r="O13" s="93" t="s">
        <v>93</v>
      </c>
      <c r="P13" s="99"/>
    </row>
    <row r="14" spans="1:16" x14ac:dyDescent="0.25">
      <c r="A14" s="60" t="s">
        <v>94</v>
      </c>
      <c r="B14" s="61"/>
      <c r="C14" s="62">
        <f t="shared" si="1"/>
        <v>3816269.4599999962</v>
      </c>
      <c r="D14" s="58">
        <f>N14-SUM($D$9:D13)</f>
        <v>-3022038.8136632405</v>
      </c>
      <c r="E14" s="58"/>
      <c r="F14" s="58">
        <f t="shared" si="0"/>
        <v>794230.64633675572</v>
      </c>
      <c r="G14" s="105">
        <f t="shared" si="4"/>
        <v>-5110365.1212652391</v>
      </c>
      <c r="H14" s="102">
        <f>H13</f>
        <v>-274065.46000000002</v>
      </c>
      <c r="I14" s="58"/>
      <c r="J14" s="58"/>
      <c r="K14" s="58">
        <f t="shared" si="2"/>
        <v>-274065.46000000002</v>
      </c>
      <c r="L14" s="104">
        <f t="shared" si="3"/>
        <v>2740654.5000000009</v>
      </c>
      <c r="N14" s="204">
        <v>-25031789.87126524</v>
      </c>
      <c r="O14" s="93" t="s">
        <v>94</v>
      </c>
      <c r="P14" s="99"/>
    </row>
    <row r="15" spans="1:16" x14ac:dyDescent="0.25">
      <c r="A15" s="69" t="s">
        <v>66</v>
      </c>
      <c r="B15" s="71"/>
      <c r="C15" s="103">
        <f t="shared" si="1"/>
        <v>59250.460000000021</v>
      </c>
      <c r="D15" s="58">
        <f>N15-SUM($D$9:D14)</f>
        <v>-3190178.8674658015</v>
      </c>
      <c r="E15" s="101"/>
      <c r="F15" s="101">
        <f t="shared" si="0"/>
        <v>-3130928.4074658016</v>
      </c>
      <c r="G15" s="91">
        <f t="shared" si="4"/>
        <v>-8241293.5287310407</v>
      </c>
      <c r="H15" s="102">
        <f>H14</f>
        <v>-274065.46000000002</v>
      </c>
      <c r="I15" s="101"/>
      <c r="J15" s="101"/>
      <c r="K15" s="101">
        <f t="shared" si="2"/>
        <v>-274065.46000000002</v>
      </c>
      <c r="L15" s="100">
        <f t="shared" si="3"/>
        <v>2466589.040000001</v>
      </c>
      <c r="N15" s="204">
        <v>-28221968.738731042</v>
      </c>
      <c r="O15" s="93" t="s">
        <v>66</v>
      </c>
      <c r="P15" s="99"/>
    </row>
    <row r="16" spans="1:16" x14ac:dyDescent="0.25">
      <c r="A16" s="60" t="s">
        <v>95</v>
      </c>
      <c r="B16" s="61"/>
      <c r="C16" s="62">
        <f t="shared" si="1"/>
        <v>2781399.46</v>
      </c>
      <c r="D16" s="58">
        <f>N16-SUM($D$9:D15)</f>
        <v>-3361215.4109097198</v>
      </c>
      <c r="E16" s="58"/>
      <c r="F16" s="58">
        <f t="shared" si="0"/>
        <v>-579815.9509097198</v>
      </c>
      <c r="G16" s="63">
        <f t="shared" si="4"/>
        <v>-8821109.4796407595</v>
      </c>
      <c r="H16" s="102">
        <f>H15</f>
        <v>-274065.46000000002</v>
      </c>
      <c r="I16" s="58"/>
      <c r="J16" s="58"/>
      <c r="K16" s="58">
        <f t="shared" si="2"/>
        <v>-274065.46000000002</v>
      </c>
      <c r="L16" s="64">
        <f t="shared" si="3"/>
        <v>2192523.580000001</v>
      </c>
      <c r="N16" s="204">
        <v>-31583184.149640761</v>
      </c>
      <c r="O16" s="93" t="s">
        <v>95</v>
      </c>
      <c r="P16" s="99"/>
    </row>
    <row r="17" spans="1:16" x14ac:dyDescent="0.25">
      <c r="A17" s="60" t="s">
        <v>96</v>
      </c>
      <c r="B17" s="61"/>
      <c r="C17" s="62">
        <f t="shared" si="1"/>
        <v>3217419.46</v>
      </c>
      <c r="D17" s="58">
        <f>N17-SUM($D$9:D16)</f>
        <v>-3098266.9775181562</v>
      </c>
      <c r="E17" s="202">
        <v>-17461.169999999998</v>
      </c>
      <c r="F17" s="58">
        <f t="shared" si="0"/>
        <v>101691.31248184379</v>
      </c>
      <c r="G17" s="63">
        <f t="shared" si="4"/>
        <v>-8719418.1671589166</v>
      </c>
      <c r="H17" s="102">
        <f>+H14</f>
        <v>-274065.46000000002</v>
      </c>
      <c r="I17" s="101"/>
      <c r="J17" s="101"/>
      <c r="K17" s="101">
        <f t="shared" si="2"/>
        <v>-274065.46000000002</v>
      </c>
      <c r="L17" s="100">
        <f t="shared" si="3"/>
        <v>1918458.120000001</v>
      </c>
      <c r="N17" s="204">
        <v>-34681451.127158917</v>
      </c>
      <c r="O17" s="93" t="s">
        <v>96</v>
      </c>
      <c r="P17" s="99"/>
    </row>
    <row r="18" spans="1:16" x14ac:dyDescent="0.25">
      <c r="A18" s="69" t="s">
        <v>97</v>
      </c>
      <c r="B18" s="71"/>
      <c r="C18" s="103">
        <f>G38</f>
        <v>3218301.4699999923</v>
      </c>
      <c r="D18" s="58">
        <f>N18-SUM($D$9:D17)</f>
        <v>-3602224.4905124828</v>
      </c>
      <c r="E18" s="202">
        <v>17461.169999999998</v>
      </c>
      <c r="F18" s="58">
        <f>SUM(C18:E18)</f>
        <v>-366461.85051249055</v>
      </c>
      <c r="G18" s="91">
        <f t="shared" si="4"/>
        <v>-9085880.0176714063</v>
      </c>
      <c r="H18" s="102">
        <f>+H15</f>
        <v>-274065.46000000002</v>
      </c>
      <c r="I18" s="101"/>
      <c r="J18" s="101"/>
      <c r="K18" s="101">
        <f t="shared" si="2"/>
        <v>-274065.46000000002</v>
      </c>
      <c r="L18" s="100">
        <f t="shared" si="3"/>
        <v>1644392.6600000011</v>
      </c>
      <c r="N18" s="204">
        <v>-38283675.6176714</v>
      </c>
      <c r="O18" s="93" t="s">
        <v>97</v>
      </c>
      <c r="P18" s="99"/>
    </row>
    <row r="19" spans="1:16" x14ac:dyDescent="0.25">
      <c r="A19" s="69" t="s">
        <v>98</v>
      </c>
      <c r="B19" s="71"/>
      <c r="C19" s="103">
        <f>G39</f>
        <v>3318213.4800000037</v>
      </c>
      <c r="D19" s="58">
        <f>N19-SUM($D$9:D18)</f>
        <v>-4245865.2074330747</v>
      </c>
      <c r="E19" s="101"/>
      <c r="F19" s="58">
        <f t="shared" si="0"/>
        <v>-927651.72743307101</v>
      </c>
      <c r="G19" s="91">
        <f t="shared" si="4"/>
        <v>-10013531.745104477</v>
      </c>
      <c r="H19" s="102">
        <f>+H18</f>
        <v>-274065.46000000002</v>
      </c>
      <c r="I19" s="101"/>
      <c r="J19" s="101"/>
      <c r="K19" s="101">
        <f t="shared" si="2"/>
        <v>-274065.46000000002</v>
      </c>
      <c r="L19" s="100">
        <f t="shared" si="3"/>
        <v>1370327.2000000011</v>
      </c>
      <c r="N19" s="204">
        <v>-42529540.825104475</v>
      </c>
      <c r="O19" s="93" t="s">
        <v>98</v>
      </c>
      <c r="P19" s="99"/>
    </row>
    <row r="20" spans="1:16" x14ac:dyDescent="0.25">
      <c r="A20" s="69" t="s">
        <v>99</v>
      </c>
      <c r="B20" s="71"/>
      <c r="C20" s="98">
        <f>G40</f>
        <v>3271854.7700000037</v>
      </c>
      <c r="D20" s="58">
        <f>N20-SUM($D$9:D19)</f>
        <v>-4562577.5546834022</v>
      </c>
      <c r="E20" s="65">
        <v>0</v>
      </c>
      <c r="F20" s="95">
        <f t="shared" si="0"/>
        <v>-1290722.7846833984</v>
      </c>
      <c r="G20" s="97">
        <f t="shared" si="4"/>
        <v>-11304254.529787876</v>
      </c>
      <c r="H20" s="96">
        <f>+H19</f>
        <v>-274065.46000000002</v>
      </c>
      <c r="I20" s="95"/>
      <c r="J20" s="95"/>
      <c r="K20" s="95">
        <f t="shared" si="2"/>
        <v>-274065.46000000002</v>
      </c>
      <c r="L20" s="94">
        <f t="shared" si="3"/>
        <v>1096261.7400000012</v>
      </c>
      <c r="N20" s="204">
        <v>-47092118.379787877</v>
      </c>
      <c r="O20" s="93" t="s">
        <v>99</v>
      </c>
      <c r="P20" s="88"/>
    </row>
    <row r="21" spans="1:16" x14ac:dyDescent="0.25">
      <c r="C21" s="71"/>
      <c r="D21" s="71"/>
      <c r="E21" s="71"/>
      <c r="F21" s="71"/>
      <c r="G21" s="92"/>
      <c r="H21" s="89"/>
      <c r="I21" s="89"/>
      <c r="J21" s="89"/>
      <c r="K21" s="89"/>
      <c r="N21" s="82"/>
      <c r="O21" s="89"/>
      <c r="P21" s="88"/>
    </row>
    <row r="22" spans="1:16" ht="15.75" thickBot="1" x14ac:dyDescent="0.3">
      <c r="C22" s="71"/>
      <c r="D22" s="71"/>
      <c r="E22" s="71"/>
      <c r="F22" s="71"/>
      <c r="G22" s="91"/>
      <c r="H22" s="90">
        <f>SUM(H9:H21)</f>
        <v>-5103255.68</v>
      </c>
      <c r="I22" s="90">
        <f>SUM(I9:I21)</f>
        <v>-4896056</v>
      </c>
      <c r="J22" s="90">
        <f>SUM(J9:J21)</f>
        <v>8184840.5000000009</v>
      </c>
      <c r="K22" s="90">
        <f>SUM(K9:K21)</f>
        <v>-1814471.179999999</v>
      </c>
      <c r="N22" s="82"/>
      <c r="O22" s="89"/>
      <c r="P22" s="88"/>
    </row>
    <row r="23" spans="1:16" ht="15.75" thickTop="1" x14ac:dyDescent="0.25">
      <c r="C23" s="71"/>
      <c r="D23" s="71"/>
      <c r="E23" s="71"/>
      <c r="F23" s="71"/>
      <c r="G23" s="71"/>
      <c r="N23" s="82"/>
      <c r="O23" s="89"/>
      <c r="P23" s="88"/>
    </row>
    <row r="24" spans="1:16" x14ac:dyDescent="0.25">
      <c r="C24" s="71"/>
      <c r="D24" s="71"/>
      <c r="E24" s="71"/>
      <c r="F24" s="71"/>
      <c r="N24" s="82"/>
      <c r="O24" s="89"/>
      <c r="P24" s="88"/>
    </row>
    <row r="25" spans="1:16" x14ac:dyDescent="0.25">
      <c r="B25" s="86" t="s">
        <v>100</v>
      </c>
      <c r="C25" s="86"/>
      <c r="D25" s="85" t="s">
        <v>101</v>
      </c>
      <c r="E25" s="85" t="s">
        <v>102</v>
      </c>
      <c r="N25" s="87" t="s">
        <v>137</v>
      </c>
      <c r="O25" s="81" t="s">
        <v>137</v>
      </c>
      <c r="P25" s="80" t="s">
        <v>137</v>
      </c>
    </row>
    <row r="26" spans="1:16" x14ac:dyDescent="0.25">
      <c r="B26" s="86" t="s">
        <v>103</v>
      </c>
      <c r="C26" s="86"/>
      <c r="D26" s="85" t="s">
        <v>104</v>
      </c>
      <c r="E26" s="85" t="s">
        <v>105</v>
      </c>
      <c r="I26" s="84"/>
      <c r="N26" s="82">
        <v>23600201</v>
      </c>
      <c r="O26" s="81" t="s">
        <v>101</v>
      </c>
      <c r="P26" s="80" t="s">
        <v>102</v>
      </c>
    </row>
    <row r="27" spans="1:16" x14ac:dyDescent="0.25">
      <c r="B27" s="83" t="s">
        <v>106</v>
      </c>
      <c r="C27" s="83" t="s">
        <v>107</v>
      </c>
      <c r="D27" s="83" t="s">
        <v>108</v>
      </c>
      <c r="E27" s="83" t="s">
        <v>109</v>
      </c>
      <c r="F27" s="83" t="s">
        <v>85</v>
      </c>
      <c r="G27" s="83" t="s">
        <v>110</v>
      </c>
      <c r="N27" s="82">
        <v>23600211</v>
      </c>
      <c r="O27" s="81" t="s">
        <v>104</v>
      </c>
      <c r="P27" s="80" t="s">
        <v>105</v>
      </c>
    </row>
    <row r="28" spans="1:16" x14ac:dyDescent="0.25">
      <c r="A28" s="79" t="s">
        <v>138</v>
      </c>
      <c r="I28" s="71"/>
      <c r="J28" s="71"/>
      <c r="N28" s="78">
        <v>23600221</v>
      </c>
      <c r="O28" s="77" t="s">
        <v>108</v>
      </c>
      <c r="P28" s="76" t="s">
        <v>109</v>
      </c>
    </row>
    <row r="29" spans="1:16" x14ac:dyDescent="0.25">
      <c r="A29" s="69" t="s">
        <v>89</v>
      </c>
      <c r="B29" s="66">
        <f>N29/1*12</f>
        <v>49110564</v>
      </c>
      <c r="C29" s="67">
        <f>B29/12</f>
        <v>4092547</v>
      </c>
      <c r="D29" s="67">
        <f>+O29</f>
        <v>19699</v>
      </c>
      <c r="E29" s="67">
        <f>+P29</f>
        <v>-1467</v>
      </c>
      <c r="F29" s="71">
        <f t="shared" ref="F29:F40" si="5">-H9</f>
        <v>727683</v>
      </c>
      <c r="G29" s="75">
        <f>SUM(C29:F29)</f>
        <v>4838462</v>
      </c>
      <c r="I29" s="71"/>
      <c r="N29" s="203">
        <v>4092547</v>
      </c>
      <c r="O29" s="57">
        <v>19699</v>
      </c>
      <c r="P29" s="205">
        <v>-1467</v>
      </c>
    </row>
    <row r="30" spans="1:16" x14ac:dyDescent="0.25">
      <c r="A30" s="69" t="s">
        <v>90</v>
      </c>
      <c r="B30" s="66">
        <f>N30/2*12</f>
        <v>49110564</v>
      </c>
      <c r="C30" s="61">
        <f>B30/12*2-C29</f>
        <v>4092547</v>
      </c>
      <c r="D30" s="61">
        <f>+O30-SUM($D$29:D29)</f>
        <v>435</v>
      </c>
      <c r="E30" s="61">
        <f>P30-SUM($E$29:E29)</f>
        <v>20877</v>
      </c>
      <c r="F30" s="71">
        <f t="shared" si="5"/>
        <v>727683</v>
      </c>
      <c r="G30" s="71">
        <f t="shared" ref="G30:G40" si="6">SUM(C30:F30)</f>
        <v>4841542</v>
      </c>
      <c r="I30" s="71"/>
      <c r="N30" s="204">
        <v>8185094</v>
      </c>
      <c r="O30" s="58">
        <v>20134</v>
      </c>
      <c r="P30" s="205">
        <v>19410</v>
      </c>
    </row>
    <row r="31" spans="1:16" x14ac:dyDescent="0.25">
      <c r="A31" s="69" t="s">
        <v>91</v>
      </c>
      <c r="B31" s="66">
        <f>N31/3*12</f>
        <v>43948736</v>
      </c>
      <c r="C31" s="61">
        <f>B31/12*3-SUM($C$29:C30)</f>
        <v>2802090</v>
      </c>
      <c r="D31" s="61">
        <f>+O31-SUM($D$29:D30)</f>
        <v>41966</v>
      </c>
      <c r="E31" s="61">
        <f>P31-SUM($E$29:E30)</f>
        <v>0</v>
      </c>
      <c r="F31" s="71">
        <f t="shared" si="5"/>
        <v>727683</v>
      </c>
      <c r="G31" s="71">
        <f t="shared" si="6"/>
        <v>3571739</v>
      </c>
      <c r="N31" s="204">
        <v>10987184</v>
      </c>
      <c r="O31" s="58">
        <v>62100</v>
      </c>
      <c r="P31" s="205">
        <v>19410</v>
      </c>
    </row>
    <row r="32" spans="1:16" x14ac:dyDescent="0.25">
      <c r="A32" s="69" t="s">
        <v>92</v>
      </c>
      <c r="B32" s="66">
        <f>N32/4*12</f>
        <v>43948734</v>
      </c>
      <c r="C32" s="61">
        <f>B32/12*4-SUM($C$29:C31)</f>
        <v>3662394</v>
      </c>
      <c r="D32" s="61">
        <f>+O32-SUM($D$29:D31)</f>
        <v>2692.3799999999974</v>
      </c>
      <c r="E32" s="61">
        <f>P32-SUM($E$29:E31)</f>
        <v>9070.61</v>
      </c>
      <c r="F32" s="71">
        <f t="shared" si="5"/>
        <v>727683</v>
      </c>
      <c r="G32" s="71">
        <f t="shared" si="6"/>
        <v>4401839.99</v>
      </c>
      <c r="N32" s="204">
        <v>14649578</v>
      </c>
      <c r="O32" s="58">
        <v>64792.38</v>
      </c>
      <c r="P32" s="205">
        <v>28480.61</v>
      </c>
    </row>
    <row r="33" spans="1:19" x14ac:dyDescent="0.25">
      <c r="A33" s="69" t="s">
        <v>93</v>
      </c>
      <c r="B33" s="66">
        <f>N33/5*12</f>
        <v>42506438.400000006</v>
      </c>
      <c r="C33" s="61">
        <f>B33/12*5-SUM($C$29:C32)</f>
        <v>3061438.0000000037</v>
      </c>
      <c r="D33" s="61">
        <f xml:space="preserve"> O33-SUM($D$29:D32)</f>
        <v>4044.2000000000044</v>
      </c>
      <c r="E33" s="61">
        <f>P33-SUM($E$29:E32)</f>
        <v>-989.11999999999898</v>
      </c>
      <c r="F33" s="71">
        <f t="shared" si="5"/>
        <v>274065.46000000002</v>
      </c>
      <c r="G33" s="71">
        <f t="shared" si="6"/>
        <v>3338558.5400000038</v>
      </c>
      <c r="N33" s="204">
        <v>17711016</v>
      </c>
      <c r="O33" s="58">
        <v>68836.58</v>
      </c>
      <c r="P33" s="205">
        <v>27491.49</v>
      </c>
    </row>
    <row r="34" spans="1:19" x14ac:dyDescent="0.25">
      <c r="A34" s="69" t="s">
        <v>94</v>
      </c>
      <c r="B34" s="66">
        <f>N34/6*12</f>
        <v>42506440</v>
      </c>
      <c r="C34" s="61">
        <f>B34/12*6-SUM($C$29:C33)</f>
        <v>3542203.9999999963</v>
      </c>
      <c r="D34" s="61">
        <f>O34-SUM($D$29:D33)</f>
        <v>0</v>
      </c>
      <c r="E34" s="61">
        <f>P34-SUM($E$29:E33)</f>
        <v>0</v>
      </c>
      <c r="F34" s="71">
        <f t="shared" si="5"/>
        <v>274065.46000000002</v>
      </c>
      <c r="G34" s="71">
        <f t="shared" si="6"/>
        <v>3816269.4599999962</v>
      </c>
      <c r="N34" s="204">
        <v>21253220</v>
      </c>
      <c r="O34" s="58">
        <v>68836.58</v>
      </c>
      <c r="P34" s="205">
        <v>27491.49</v>
      </c>
    </row>
    <row r="35" spans="1:19" x14ac:dyDescent="0.25">
      <c r="A35" s="69" t="s">
        <v>66</v>
      </c>
      <c r="B35" s="66">
        <f>N35/7*12</f>
        <v>36065504.571428567</v>
      </c>
      <c r="C35" s="61">
        <f>B35/12*7-SUM($C$29:C34)</f>
        <v>-215009</v>
      </c>
      <c r="D35" s="61">
        <f>O35-SUM($D$29:D34)</f>
        <v>194</v>
      </c>
      <c r="E35" s="61">
        <f>P35-SUM($E$29:E34)</f>
        <v>0</v>
      </c>
      <c r="F35" s="71">
        <f t="shared" si="5"/>
        <v>274065.46000000002</v>
      </c>
      <c r="G35" s="71">
        <f t="shared" si="6"/>
        <v>59250.460000000021</v>
      </c>
      <c r="N35" s="204">
        <v>21038211</v>
      </c>
      <c r="O35" s="58">
        <v>69030.58</v>
      </c>
      <c r="P35" s="205">
        <v>27491.49</v>
      </c>
    </row>
    <row r="36" spans="1:19" x14ac:dyDescent="0.25">
      <c r="A36" s="69" t="s">
        <v>95</v>
      </c>
      <c r="B36" s="66">
        <f>N36/8*12</f>
        <v>35318317.5</v>
      </c>
      <c r="C36" s="61">
        <f>B36/12*8-SUM($C$29:C35)</f>
        <v>2507334</v>
      </c>
      <c r="D36" s="61">
        <f>O36-SUM($D$29:D35)</f>
        <v>0</v>
      </c>
      <c r="E36" s="61">
        <f>P36-SUM($E$29:E35)</f>
        <v>0</v>
      </c>
      <c r="F36" s="71">
        <f t="shared" si="5"/>
        <v>274065.46000000002</v>
      </c>
      <c r="G36" s="71">
        <f t="shared" si="6"/>
        <v>2781399.46</v>
      </c>
      <c r="N36" s="204">
        <v>23545545</v>
      </c>
      <c r="O36" s="58">
        <v>69030.58</v>
      </c>
      <c r="P36" s="205">
        <v>27491.49</v>
      </c>
    </row>
    <row r="37" spans="1:19" x14ac:dyDescent="0.25">
      <c r="A37" s="69" t="s">
        <v>96</v>
      </c>
      <c r="B37" s="66">
        <f>N37/9*12</f>
        <v>35318532</v>
      </c>
      <c r="C37" s="61">
        <f>B37/12*9-SUM($C$29:C36)</f>
        <v>2943354</v>
      </c>
      <c r="D37" s="61">
        <f>O37-SUM($D$29:D36)</f>
        <v>0</v>
      </c>
      <c r="E37" s="61">
        <f>P37-SUM($E$29:E36)</f>
        <v>0</v>
      </c>
      <c r="F37" s="71">
        <f t="shared" si="5"/>
        <v>274065.46000000002</v>
      </c>
      <c r="G37" s="71">
        <f t="shared" si="6"/>
        <v>3217419.46</v>
      </c>
      <c r="N37" s="204">
        <v>26488899</v>
      </c>
      <c r="O37" s="58">
        <v>69030.58</v>
      </c>
      <c r="P37" s="205">
        <v>27491.49</v>
      </c>
    </row>
    <row r="38" spans="1:19" x14ac:dyDescent="0.25">
      <c r="A38" s="69" t="s">
        <v>97</v>
      </c>
      <c r="B38" s="66">
        <f>N38/10*12</f>
        <v>35318703.599999994</v>
      </c>
      <c r="C38" s="61">
        <f>B38/12*10-SUM($C$29:C37)</f>
        <v>2943353.9999999925</v>
      </c>
      <c r="D38" s="61">
        <f>O38-SUM($D$29:D37)</f>
        <v>882.00999999999476</v>
      </c>
      <c r="E38" s="61">
        <f>P38-SUM($E$29:E37)</f>
        <v>0</v>
      </c>
      <c r="F38" s="71">
        <f t="shared" si="5"/>
        <v>274065.46000000002</v>
      </c>
      <c r="G38" s="71">
        <f t="shared" si="6"/>
        <v>3218301.4699999923</v>
      </c>
      <c r="N38" s="204">
        <v>29432253</v>
      </c>
      <c r="O38" s="58">
        <v>69912.59</v>
      </c>
      <c r="P38" s="205">
        <v>27491.49</v>
      </c>
      <c r="S38" s="72"/>
    </row>
    <row r="39" spans="1:19" x14ac:dyDescent="0.25">
      <c r="A39" s="69" t="s">
        <v>98</v>
      </c>
      <c r="B39" s="66">
        <f>N39/11*12</f>
        <v>35387612.727272727</v>
      </c>
      <c r="C39" s="61">
        <f>B39/12*11-SUM($C$29:C38)</f>
        <v>3006392.0000000037</v>
      </c>
      <c r="D39" s="61">
        <f>O39-SUM($D$29:D38)</f>
        <v>11281</v>
      </c>
      <c r="E39" s="61">
        <f>P39-SUM($E$29:E38)</f>
        <v>26475.020000000008</v>
      </c>
      <c r="F39" s="71">
        <f t="shared" si="5"/>
        <v>274065.46000000002</v>
      </c>
      <c r="G39" s="71">
        <f t="shared" si="6"/>
        <v>3318213.4800000037</v>
      </c>
      <c r="I39" s="70"/>
      <c r="K39" s="70"/>
      <c r="N39" s="204">
        <v>32438645</v>
      </c>
      <c r="O39" s="58">
        <v>81193.59</v>
      </c>
      <c r="P39" s="205">
        <v>53966.510000000009</v>
      </c>
    </row>
    <row r="40" spans="1:19" ht="15.75" thickBot="1" x14ac:dyDescent="0.3">
      <c r="A40" s="69" t="s">
        <v>99</v>
      </c>
      <c r="B40" s="66">
        <f>N40</f>
        <v>35443840</v>
      </c>
      <c r="C40" s="61">
        <f>B40/12*12-SUM($C$29:C39)</f>
        <v>3005195.0000000037</v>
      </c>
      <c r="D40" s="61">
        <f>O40-SUM($D$29:D39)</f>
        <v>0</v>
      </c>
      <c r="E40" s="61">
        <f>P40-SUM($E$29:E39)</f>
        <v>-7405.6900000000023</v>
      </c>
      <c r="F40" s="71">
        <f t="shared" si="5"/>
        <v>274065.46000000002</v>
      </c>
      <c r="G40" s="71">
        <f t="shared" si="6"/>
        <v>3271854.7700000037</v>
      </c>
      <c r="I40" s="70"/>
      <c r="K40" s="70"/>
      <c r="N40" s="206">
        <v>35443840</v>
      </c>
      <c r="O40" s="207">
        <v>81193.59</v>
      </c>
      <c r="P40" s="208">
        <v>46560.820000000007</v>
      </c>
      <c r="S40" s="72"/>
    </row>
    <row r="41" spans="1:19" x14ac:dyDescent="0.25">
      <c r="B41" s="60"/>
      <c r="C41" s="61"/>
      <c r="D41" s="61"/>
      <c r="E41" s="61"/>
      <c r="F41" s="71"/>
      <c r="I41" s="70"/>
      <c r="K41" s="70"/>
    </row>
    <row r="42" spans="1:19" x14ac:dyDescent="0.25">
      <c r="I42" s="70"/>
      <c r="K42" s="70"/>
    </row>
    <row r="43" spans="1:19" x14ac:dyDescent="0.25">
      <c r="I43" s="70"/>
      <c r="J43" s="70"/>
      <c r="K43" s="70"/>
    </row>
    <row r="44" spans="1:19" x14ac:dyDescent="0.25">
      <c r="I44" s="70"/>
      <c r="K44" s="70"/>
    </row>
    <row r="45" spans="1:19" x14ac:dyDescent="0.25">
      <c r="I45" s="70"/>
      <c r="K45" s="70"/>
    </row>
    <row r="46" spans="1:19" x14ac:dyDescent="0.25">
      <c r="I46" s="70"/>
      <c r="K46" s="70"/>
    </row>
    <row r="47" spans="1:19" x14ac:dyDescent="0.25">
      <c r="I47" s="70"/>
      <c r="K47" s="70"/>
    </row>
    <row r="48" spans="1:19" x14ac:dyDescent="0.25">
      <c r="I48" s="70"/>
      <c r="K48" s="70"/>
    </row>
    <row r="49" spans="9:12" x14ac:dyDescent="0.25">
      <c r="I49" s="70"/>
      <c r="K49" s="70"/>
    </row>
    <row r="50" spans="9:12" x14ac:dyDescent="0.25">
      <c r="I50" s="70"/>
      <c r="K50" s="70"/>
    </row>
    <row r="51" spans="9:12" x14ac:dyDescent="0.25">
      <c r="L51" s="70"/>
    </row>
    <row r="52" spans="9:12" x14ac:dyDescent="0.25">
      <c r="L52" s="70"/>
    </row>
    <row r="53" spans="9:12" x14ac:dyDescent="0.25">
      <c r="L53" s="70"/>
    </row>
    <row r="54" spans="9:12" x14ac:dyDescent="0.25">
      <c r="L54" s="70"/>
    </row>
    <row r="55" spans="9:12" x14ac:dyDescent="0.25">
      <c r="I55" s="70"/>
      <c r="J55" s="70"/>
      <c r="K55" s="70"/>
      <c r="L55" s="7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A10" workbookViewId="0">
      <selection activeCell="J17" sqref="J17"/>
    </sheetView>
  </sheetViews>
  <sheetFormatPr defaultColWidth="9.140625" defaultRowHeight="15" x14ac:dyDescent="0.25"/>
  <cols>
    <col min="1" max="1" width="10.85546875" style="69" bestFit="1" customWidth="1"/>
    <col min="2" max="2" width="14.140625" style="69" bestFit="1" customWidth="1"/>
    <col min="3" max="3" width="13.85546875" style="69" bestFit="1" customWidth="1"/>
    <col min="4" max="5" width="13.42578125" style="69" bestFit="1" customWidth="1"/>
    <col min="6" max="6" width="13.85546875" style="69" bestFit="1" customWidth="1"/>
    <col min="7" max="7" width="12.140625" style="69" bestFit="1" customWidth="1"/>
    <col min="8" max="8" width="13.42578125" style="69" bestFit="1" customWidth="1"/>
    <col min="9" max="11" width="12.5703125" style="69" customWidth="1"/>
    <col min="12" max="12" width="13.140625" style="69" bestFit="1" customWidth="1"/>
    <col min="13" max="13" width="9.140625" style="69"/>
    <col min="14" max="16" width="12.140625" style="69" bestFit="1" customWidth="1"/>
    <col min="17" max="16384" width="9.140625" style="69"/>
  </cols>
  <sheetData>
    <row r="1" spans="1:16" ht="15.75" thickBot="1" x14ac:dyDescent="0.3">
      <c r="A1" s="132" t="s">
        <v>1</v>
      </c>
      <c r="N1" s="131" t="s">
        <v>135</v>
      </c>
      <c r="P1" s="130"/>
    </row>
    <row r="2" spans="1:16" x14ac:dyDescent="0.25">
      <c r="N2" s="129" t="s">
        <v>136</v>
      </c>
      <c r="O2" s="128"/>
      <c r="P2" s="88"/>
    </row>
    <row r="3" spans="1:16" x14ac:dyDescent="0.25">
      <c r="C3" s="127" t="s">
        <v>111</v>
      </c>
      <c r="D3" s="124"/>
      <c r="E3" s="124"/>
      <c r="F3" s="124"/>
      <c r="G3" s="126"/>
      <c r="H3" s="125" t="s">
        <v>112</v>
      </c>
      <c r="I3" s="124"/>
      <c r="J3" s="124"/>
      <c r="K3" s="124"/>
      <c r="L3" s="123"/>
      <c r="N3" s="82"/>
      <c r="O3" s="89"/>
      <c r="P3" s="88"/>
    </row>
    <row r="4" spans="1:16" x14ac:dyDescent="0.25">
      <c r="B4" s="81" t="s">
        <v>71</v>
      </c>
      <c r="C4" s="122" t="s">
        <v>72</v>
      </c>
      <c r="D4" s="121" t="s">
        <v>73</v>
      </c>
      <c r="E4" s="121"/>
      <c r="F4" s="121" t="s">
        <v>72</v>
      </c>
      <c r="G4" s="120"/>
      <c r="H4" s="119"/>
      <c r="I4" s="119"/>
      <c r="J4" s="119"/>
      <c r="K4" s="119"/>
      <c r="L4" s="118"/>
      <c r="N4" s="87" t="s">
        <v>137</v>
      </c>
      <c r="O4" s="89"/>
      <c r="P4" s="88"/>
    </row>
    <row r="5" spans="1:16" x14ac:dyDescent="0.25">
      <c r="B5" s="81" t="s">
        <v>74</v>
      </c>
      <c r="C5" s="117" t="s">
        <v>75</v>
      </c>
      <c r="D5" s="81" t="s">
        <v>76</v>
      </c>
      <c r="E5" s="81"/>
      <c r="F5" s="81" t="s">
        <v>77</v>
      </c>
      <c r="G5" s="53" t="s">
        <v>78</v>
      </c>
      <c r="H5" s="89"/>
      <c r="I5" s="89"/>
      <c r="J5" s="89"/>
      <c r="K5" s="81" t="s">
        <v>79</v>
      </c>
      <c r="L5" s="54" t="s">
        <v>78</v>
      </c>
      <c r="N5" s="87" t="s">
        <v>83</v>
      </c>
      <c r="O5" s="89"/>
      <c r="P5" s="88"/>
    </row>
    <row r="6" spans="1:16" x14ac:dyDescent="0.25">
      <c r="A6" s="115" t="s">
        <v>80</v>
      </c>
      <c r="B6" s="115" t="s">
        <v>81</v>
      </c>
      <c r="C6" s="116" t="s">
        <v>82</v>
      </c>
      <c r="D6" s="115" t="s">
        <v>83</v>
      </c>
      <c r="E6" s="115" t="s">
        <v>84</v>
      </c>
      <c r="F6" s="115" t="s">
        <v>78</v>
      </c>
      <c r="G6" s="114" t="s">
        <v>11</v>
      </c>
      <c r="H6" s="55" t="s">
        <v>85</v>
      </c>
      <c r="I6" s="55" t="s">
        <v>86</v>
      </c>
      <c r="J6" s="55" t="s">
        <v>84</v>
      </c>
      <c r="K6" s="55" t="s">
        <v>65</v>
      </c>
      <c r="L6" s="113" t="s">
        <v>11</v>
      </c>
      <c r="N6" s="87" t="s">
        <v>73</v>
      </c>
      <c r="O6" s="89"/>
      <c r="P6" s="88"/>
    </row>
    <row r="7" spans="1:16" x14ac:dyDescent="0.25">
      <c r="A7" s="79" t="s">
        <v>180</v>
      </c>
      <c r="C7" s="56" t="s">
        <v>87</v>
      </c>
      <c r="D7" s="112"/>
      <c r="E7" s="89"/>
      <c r="F7" s="89"/>
      <c r="G7" s="92"/>
      <c r="H7" s="89"/>
      <c r="I7" s="89"/>
      <c r="J7" s="89"/>
      <c r="K7" s="89"/>
      <c r="L7" s="111"/>
      <c r="N7" s="82"/>
      <c r="O7" s="89"/>
      <c r="P7" s="88"/>
    </row>
    <row r="8" spans="1:16" x14ac:dyDescent="0.25">
      <c r="A8" s="69" t="s">
        <v>88</v>
      </c>
      <c r="C8" s="110"/>
      <c r="D8" s="89"/>
      <c r="E8" s="89"/>
      <c r="F8" s="89"/>
      <c r="G8" s="109">
        <v>3347955</v>
      </c>
      <c r="H8" s="89"/>
      <c r="I8" s="89"/>
      <c r="J8" s="89"/>
      <c r="K8" s="89"/>
      <c r="L8" s="108">
        <v>1708676.74</v>
      </c>
      <c r="N8" s="82"/>
      <c r="O8" s="89"/>
      <c r="P8" s="88"/>
    </row>
    <row r="9" spans="1:16" x14ac:dyDescent="0.25">
      <c r="A9" s="69" t="s">
        <v>89</v>
      </c>
      <c r="B9" s="75"/>
      <c r="C9" s="107">
        <f t="shared" ref="C9:C20" si="0">G29</f>
        <v>2171140</v>
      </c>
      <c r="D9" s="57">
        <f>+N9</f>
        <v>-2957370.331669</v>
      </c>
      <c r="E9" s="106"/>
      <c r="F9" s="106">
        <f t="shared" ref="F9:F20" si="1">SUM(C9:E9)</f>
        <v>-786230.33166899998</v>
      </c>
      <c r="G9" s="91">
        <f t="shared" ref="G9:G20" si="2">F9+G8</f>
        <v>2561724.668331</v>
      </c>
      <c r="H9" s="74">
        <v>-427168</v>
      </c>
      <c r="I9" s="106"/>
      <c r="J9" s="106"/>
      <c r="K9" s="106">
        <f t="shared" ref="K9:K20" si="3">SUM(H9:J9)</f>
        <v>-427168</v>
      </c>
      <c r="L9" s="100">
        <f t="shared" ref="L9:L20" si="4">L8+K9</f>
        <v>1281508.74</v>
      </c>
      <c r="N9" s="212">
        <v>-2957370.331669</v>
      </c>
      <c r="O9" s="89"/>
      <c r="P9" s="88"/>
    </row>
    <row r="10" spans="1:16" x14ac:dyDescent="0.25">
      <c r="A10" s="69" t="s">
        <v>90</v>
      </c>
      <c r="B10" s="71"/>
      <c r="C10" s="103">
        <f t="shared" si="0"/>
        <v>2168060</v>
      </c>
      <c r="D10" s="58">
        <f>N10-SUM($D$9:D9)</f>
        <v>-2675671.2412860002</v>
      </c>
      <c r="E10" s="101"/>
      <c r="F10" s="101">
        <f t="shared" si="1"/>
        <v>-507611.24128600024</v>
      </c>
      <c r="G10" s="91">
        <f t="shared" si="2"/>
        <v>2054113.4270449998</v>
      </c>
      <c r="H10" s="102">
        <f>+H9</f>
        <v>-427168</v>
      </c>
      <c r="I10" s="101"/>
      <c r="J10" s="101"/>
      <c r="K10" s="101">
        <f t="shared" si="3"/>
        <v>-427168</v>
      </c>
      <c r="L10" s="100">
        <f t="shared" si="4"/>
        <v>854340.74</v>
      </c>
      <c r="N10" s="204">
        <v>-5633041.5729550002</v>
      </c>
      <c r="O10" s="89"/>
      <c r="P10" s="88"/>
    </row>
    <row r="11" spans="1:16" x14ac:dyDescent="0.25">
      <c r="A11" s="69" t="s">
        <v>91</v>
      </c>
      <c r="B11" s="71"/>
      <c r="C11" s="103">
        <f t="shared" si="0"/>
        <v>1402382</v>
      </c>
      <c r="D11" s="58">
        <f>N11-SUM($D$9:D10)</f>
        <v>-2752393.4386609998</v>
      </c>
      <c r="E11" s="101"/>
      <c r="F11" s="101">
        <f t="shared" si="1"/>
        <v>-1350011.4386609998</v>
      </c>
      <c r="G11" s="91">
        <f t="shared" si="2"/>
        <v>704101.98838400003</v>
      </c>
      <c r="H11" s="102">
        <f>+H10</f>
        <v>-427168</v>
      </c>
      <c r="I11" s="73">
        <v>-2931248.77</v>
      </c>
      <c r="J11" s="101"/>
      <c r="K11" s="101">
        <f t="shared" si="3"/>
        <v>-3358416.77</v>
      </c>
      <c r="L11" s="100">
        <f t="shared" si="4"/>
        <v>-2504076.0300000003</v>
      </c>
      <c r="N11" s="204">
        <v>-8385435.011616</v>
      </c>
      <c r="O11" s="89"/>
      <c r="P11" s="88"/>
    </row>
    <row r="12" spans="1:16" x14ac:dyDescent="0.25">
      <c r="A12" s="69" t="s">
        <v>92</v>
      </c>
      <c r="B12" s="71"/>
      <c r="C12" s="103">
        <f t="shared" si="0"/>
        <v>1914887</v>
      </c>
      <c r="D12" s="58">
        <f>N12-SUM($D$9:D11)</f>
        <v>-1373630.4035900002</v>
      </c>
      <c r="E12" s="101"/>
      <c r="F12" s="101">
        <f t="shared" si="1"/>
        <v>541256.59640999977</v>
      </c>
      <c r="G12" s="91">
        <f t="shared" si="2"/>
        <v>1245358.5847939998</v>
      </c>
      <c r="H12" s="102">
        <f>H11</f>
        <v>-427168</v>
      </c>
      <c r="I12" s="58"/>
      <c r="J12" s="73">
        <v>5074</v>
      </c>
      <c r="K12" s="101">
        <f t="shared" si="3"/>
        <v>-422094</v>
      </c>
      <c r="L12" s="100">
        <f t="shared" si="4"/>
        <v>-2926170.0300000003</v>
      </c>
      <c r="N12" s="204">
        <v>-9759065.4152060002</v>
      </c>
      <c r="O12" s="93"/>
      <c r="P12" s="88"/>
    </row>
    <row r="13" spans="1:16" x14ac:dyDescent="0.25">
      <c r="A13" s="69" t="s">
        <v>93</v>
      </c>
      <c r="B13" s="71"/>
      <c r="C13" s="103">
        <f t="shared" si="0"/>
        <v>1770043.27</v>
      </c>
      <c r="D13" s="58">
        <f>N13-SUM($D$9:D12)</f>
        <v>-1490764.0403080005</v>
      </c>
      <c r="E13" s="73">
        <f>-J13+68352.38</f>
        <v>-6274129.7700000005</v>
      </c>
      <c r="F13" s="59">
        <f t="shared" si="1"/>
        <v>-5994850.5403080005</v>
      </c>
      <c r="G13" s="211">
        <f t="shared" si="2"/>
        <v>-4749491.9555140007</v>
      </c>
      <c r="H13" s="73">
        <v>-284692.68</v>
      </c>
      <c r="I13" s="58"/>
      <c r="J13" s="73">
        <v>6342482.1500000004</v>
      </c>
      <c r="K13" s="101">
        <f t="shared" si="3"/>
        <v>6057789.4700000007</v>
      </c>
      <c r="L13" s="100">
        <f t="shared" si="4"/>
        <v>3131619.4400000004</v>
      </c>
      <c r="N13" s="204">
        <v>-11249829.455514001</v>
      </c>
      <c r="O13" s="93"/>
      <c r="P13" s="88"/>
    </row>
    <row r="14" spans="1:16" x14ac:dyDescent="0.25">
      <c r="A14" s="60" t="s">
        <v>94</v>
      </c>
      <c r="B14" s="61"/>
      <c r="C14" s="62">
        <f t="shared" si="0"/>
        <v>1772412.68</v>
      </c>
      <c r="D14" s="58">
        <f>N14-SUM($D$9:D13)</f>
        <v>-718159.64937471971</v>
      </c>
      <c r="E14" s="58"/>
      <c r="F14" s="58">
        <f t="shared" si="1"/>
        <v>1054253.0306252802</v>
      </c>
      <c r="G14" s="105">
        <f t="shared" si="2"/>
        <v>-3695238.9248887207</v>
      </c>
      <c r="H14" s="102">
        <f t="shared" ref="H14:H20" si="5">H13</f>
        <v>-284692.68</v>
      </c>
      <c r="I14" s="58"/>
      <c r="J14" s="58"/>
      <c r="K14" s="58">
        <f t="shared" si="3"/>
        <v>-284692.68</v>
      </c>
      <c r="L14" s="104">
        <f t="shared" si="4"/>
        <v>2846926.7600000002</v>
      </c>
      <c r="N14" s="204">
        <v>-11967989.10488872</v>
      </c>
      <c r="O14" s="93"/>
      <c r="P14" s="88"/>
    </row>
    <row r="15" spans="1:16" x14ac:dyDescent="0.25">
      <c r="A15" s="69" t="s">
        <v>66</v>
      </c>
      <c r="B15" s="71"/>
      <c r="C15" s="103">
        <f t="shared" si="0"/>
        <v>1586561.68</v>
      </c>
      <c r="D15" s="58">
        <f>N15-SUM($D$9:D14)</f>
        <v>-577770.92219307832</v>
      </c>
      <c r="E15" s="101"/>
      <c r="F15" s="101">
        <f t="shared" si="1"/>
        <v>1008790.7578069216</v>
      </c>
      <c r="G15" s="91">
        <f t="shared" si="2"/>
        <v>-2686448.1670817994</v>
      </c>
      <c r="H15" s="102">
        <f t="shared" si="5"/>
        <v>-284692.68</v>
      </c>
      <c r="I15" s="101"/>
      <c r="J15" s="101"/>
      <c r="K15" s="101">
        <f t="shared" si="3"/>
        <v>-284692.68</v>
      </c>
      <c r="L15" s="100">
        <f t="shared" si="4"/>
        <v>2562234.08</v>
      </c>
      <c r="N15" s="204">
        <v>-12545760.027081799</v>
      </c>
      <c r="O15" s="89"/>
      <c r="P15" s="88"/>
    </row>
    <row r="16" spans="1:16" x14ac:dyDescent="0.25">
      <c r="A16" s="60" t="s">
        <v>95</v>
      </c>
      <c r="B16" s="61"/>
      <c r="C16" s="62">
        <f t="shared" si="0"/>
        <v>1315979.68</v>
      </c>
      <c r="D16" s="58">
        <f>N16-SUM($D$9:D15)</f>
        <v>-559521.56544884108</v>
      </c>
      <c r="E16" s="58"/>
      <c r="F16" s="58">
        <f t="shared" si="1"/>
        <v>756458.11455115885</v>
      </c>
      <c r="G16" s="63">
        <f t="shared" si="2"/>
        <v>-1929990.0525306405</v>
      </c>
      <c r="H16" s="102">
        <f t="shared" si="5"/>
        <v>-284692.68</v>
      </c>
      <c r="I16" s="58"/>
      <c r="J16" s="58"/>
      <c r="K16" s="58">
        <f t="shared" si="3"/>
        <v>-284692.68</v>
      </c>
      <c r="L16" s="64">
        <f t="shared" si="4"/>
        <v>2277541.4</v>
      </c>
      <c r="N16" s="204">
        <v>-13105281.59253064</v>
      </c>
      <c r="O16" s="89"/>
      <c r="P16" s="88"/>
    </row>
    <row r="17" spans="1:16" x14ac:dyDescent="0.25">
      <c r="A17" s="60" t="s">
        <v>96</v>
      </c>
      <c r="B17" s="61"/>
      <c r="C17" s="62">
        <f t="shared" si="0"/>
        <v>1692126.68</v>
      </c>
      <c r="D17" s="58">
        <f>N17-SUM($D$9:D16)</f>
        <v>-739749.3399663195</v>
      </c>
      <c r="E17" s="73">
        <v>35799.99</v>
      </c>
      <c r="F17" s="59">
        <f t="shared" si="1"/>
        <v>988177.33003368042</v>
      </c>
      <c r="G17" s="210">
        <f t="shared" si="2"/>
        <v>-941812.72249696008</v>
      </c>
      <c r="H17" s="102">
        <f t="shared" si="5"/>
        <v>-284692.68</v>
      </c>
      <c r="I17" s="101"/>
      <c r="J17" s="101"/>
      <c r="K17" s="101">
        <f t="shared" si="3"/>
        <v>-284692.68</v>
      </c>
      <c r="L17" s="100">
        <f t="shared" si="4"/>
        <v>1992848.72</v>
      </c>
      <c r="N17" s="204">
        <v>-13845030.932496959</v>
      </c>
      <c r="O17" s="93"/>
      <c r="P17" s="88"/>
    </row>
    <row r="18" spans="1:16" x14ac:dyDescent="0.25">
      <c r="A18" s="69" t="s">
        <v>97</v>
      </c>
      <c r="B18" s="71"/>
      <c r="C18" s="103">
        <f t="shared" si="0"/>
        <v>1694689.68</v>
      </c>
      <c r="D18" s="58">
        <f>N18-SUM($D$9:D17)</f>
        <v>-1271223.9390580412</v>
      </c>
      <c r="E18" s="73">
        <v>-35799.99</v>
      </c>
      <c r="F18" s="209">
        <f t="shared" si="1"/>
        <v>387665.75094195874</v>
      </c>
      <c r="G18" s="91">
        <f t="shared" si="2"/>
        <v>-554146.97155500134</v>
      </c>
      <c r="H18" s="102">
        <f t="shared" si="5"/>
        <v>-284692.68</v>
      </c>
      <c r="I18" s="101"/>
      <c r="J18" s="101"/>
      <c r="K18" s="101">
        <f t="shared" si="3"/>
        <v>-284692.68</v>
      </c>
      <c r="L18" s="100">
        <f t="shared" si="4"/>
        <v>1708156.04</v>
      </c>
      <c r="N18" s="204">
        <v>-15116254.871555001</v>
      </c>
      <c r="O18" s="89"/>
      <c r="P18" s="88"/>
    </row>
    <row r="19" spans="1:16" x14ac:dyDescent="0.25">
      <c r="A19" s="69" t="s">
        <v>98</v>
      </c>
      <c r="B19" s="71"/>
      <c r="C19" s="103">
        <f t="shared" si="0"/>
        <v>1692151.67</v>
      </c>
      <c r="D19" s="58">
        <f>N19-SUM($D$9:D18)</f>
        <v>-1847980.4159040004</v>
      </c>
      <c r="E19" s="101"/>
      <c r="F19" s="101">
        <f t="shared" si="1"/>
        <v>-155828.74590400048</v>
      </c>
      <c r="G19" s="91">
        <f t="shared" si="2"/>
        <v>-709975.71745900181</v>
      </c>
      <c r="H19" s="102">
        <f t="shared" si="5"/>
        <v>-284692.68</v>
      </c>
      <c r="I19" s="101"/>
      <c r="J19" s="101"/>
      <c r="K19" s="101">
        <f t="shared" si="3"/>
        <v>-284692.68</v>
      </c>
      <c r="L19" s="100">
        <f t="shared" si="4"/>
        <v>1423463.36</v>
      </c>
      <c r="N19" s="204">
        <v>-16964235.287459001</v>
      </c>
      <c r="O19" s="89"/>
      <c r="P19" s="88"/>
    </row>
    <row r="20" spans="1:16" x14ac:dyDescent="0.25">
      <c r="A20" s="69" t="s">
        <v>99</v>
      </c>
      <c r="B20" s="71"/>
      <c r="C20" s="98">
        <f t="shared" si="0"/>
        <v>1692126.68</v>
      </c>
      <c r="D20" s="58">
        <f>N20-SUM($D$9:D19)</f>
        <v>-3048075.4684673995</v>
      </c>
      <c r="E20" s="65">
        <v>0</v>
      </c>
      <c r="F20" s="95">
        <f t="shared" si="1"/>
        <v>-1355948.7884673995</v>
      </c>
      <c r="G20" s="97">
        <f t="shared" si="2"/>
        <v>-2065924.5059264014</v>
      </c>
      <c r="H20" s="102">
        <f t="shared" si="5"/>
        <v>-284692.68</v>
      </c>
      <c r="I20" s="95"/>
      <c r="J20" s="95"/>
      <c r="K20" s="95">
        <f t="shared" si="3"/>
        <v>-284692.68</v>
      </c>
      <c r="L20" s="94">
        <f t="shared" si="4"/>
        <v>1138770.6800000002</v>
      </c>
      <c r="N20" s="204">
        <v>-20012310.7559264</v>
      </c>
      <c r="O20" s="89"/>
      <c r="P20" s="88"/>
    </row>
    <row r="21" spans="1:16" x14ac:dyDescent="0.25">
      <c r="C21" s="71"/>
      <c r="D21" s="71"/>
      <c r="E21" s="71"/>
      <c r="F21" s="71"/>
      <c r="G21" s="133"/>
      <c r="H21" s="89"/>
      <c r="I21" s="89"/>
      <c r="J21" s="89"/>
      <c r="K21" s="89"/>
      <c r="N21" s="82"/>
      <c r="O21" s="89"/>
      <c r="P21" s="88"/>
    </row>
    <row r="22" spans="1:16" ht="15.75" thickBot="1" x14ac:dyDescent="0.3">
      <c r="C22" s="71"/>
      <c r="D22" s="71"/>
      <c r="E22" s="71"/>
      <c r="F22" s="71"/>
      <c r="G22" s="133"/>
      <c r="H22" s="90">
        <f>SUM(H9:H21)</f>
        <v>-3986213.4400000009</v>
      </c>
      <c r="I22" s="90">
        <f>SUM(I9:I21)</f>
        <v>-2931248.77</v>
      </c>
      <c r="J22" s="90">
        <f>SUM(J9:J21)</f>
        <v>6347556.1500000004</v>
      </c>
      <c r="K22" s="90">
        <f>SUM(K9:K21)</f>
        <v>-569906.05999999866</v>
      </c>
      <c r="N22" s="82"/>
      <c r="O22" s="89"/>
      <c r="P22" s="88"/>
    </row>
    <row r="23" spans="1:16" ht="15.75" thickTop="1" x14ac:dyDescent="0.25">
      <c r="C23" s="71"/>
      <c r="D23" s="71"/>
      <c r="E23" s="71"/>
      <c r="F23" s="71"/>
      <c r="G23" s="71"/>
      <c r="N23" s="82"/>
      <c r="O23" s="89"/>
      <c r="P23" s="88"/>
    </row>
    <row r="24" spans="1:16" x14ac:dyDescent="0.25">
      <c r="C24" s="71"/>
      <c r="D24" s="71"/>
      <c r="E24" s="71"/>
      <c r="F24" s="71"/>
      <c r="N24" s="82"/>
      <c r="O24" s="89"/>
      <c r="P24" s="88"/>
    </row>
    <row r="25" spans="1:16" x14ac:dyDescent="0.25">
      <c r="B25" s="86" t="s">
        <v>100</v>
      </c>
      <c r="C25" s="86"/>
      <c r="D25" s="85" t="s">
        <v>101</v>
      </c>
      <c r="E25" s="85" t="s">
        <v>102</v>
      </c>
      <c r="N25" s="82"/>
      <c r="O25" s="81" t="s">
        <v>137</v>
      </c>
      <c r="P25" s="80" t="s">
        <v>137</v>
      </c>
    </row>
    <row r="26" spans="1:16" x14ac:dyDescent="0.25">
      <c r="B26" s="86" t="s">
        <v>103</v>
      </c>
      <c r="C26" s="86"/>
      <c r="D26" s="85" t="s">
        <v>104</v>
      </c>
      <c r="E26" s="85" t="s">
        <v>105</v>
      </c>
      <c r="N26" s="82"/>
      <c r="O26" s="81" t="s">
        <v>101</v>
      </c>
      <c r="P26" s="80" t="s">
        <v>102</v>
      </c>
    </row>
    <row r="27" spans="1:16" x14ac:dyDescent="0.25">
      <c r="B27" s="83" t="s">
        <v>106</v>
      </c>
      <c r="C27" s="83" t="s">
        <v>107</v>
      </c>
      <c r="D27" s="83" t="s">
        <v>108</v>
      </c>
      <c r="E27" s="83" t="s">
        <v>109</v>
      </c>
      <c r="F27" s="83" t="s">
        <v>85</v>
      </c>
      <c r="G27" s="83" t="s">
        <v>110</v>
      </c>
      <c r="N27" s="87" t="s">
        <v>137</v>
      </c>
      <c r="O27" s="81" t="s">
        <v>104</v>
      </c>
      <c r="P27" s="80" t="s">
        <v>105</v>
      </c>
    </row>
    <row r="28" spans="1:16" x14ac:dyDescent="0.25">
      <c r="A28" s="79" t="s">
        <v>180</v>
      </c>
      <c r="N28" s="134">
        <v>23600232</v>
      </c>
      <c r="O28" s="77" t="s">
        <v>108</v>
      </c>
      <c r="P28" s="76" t="s">
        <v>109</v>
      </c>
    </row>
    <row r="29" spans="1:16" x14ac:dyDescent="0.25">
      <c r="A29" s="69" t="s">
        <v>89</v>
      </c>
      <c r="B29" s="66">
        <f>N29/1*12</f>
        <v>20927664</v>
      </c>
      <c r="C29" s="67">
        <f>B29/12</f>
        <v>1743972</v>
      </c>
      <c r="D29" s="67">
        <f>+O29</f>
        <v>0</v>
      </c>
      <c r="E29" s="67">
        <f>+P29</f>
        <v>0</v>
      </c>
      <c r="F29" s="71">
        <f t="shared" ref="F29:F40" si="6">-H9</f>
        <v>427168</v>
      </c>
      <c r="G29" s="75">
        <f t="shared" ref="G29:G40" si="7">SUM(C29:F29)</f>
        <v>2171140</v>
      </c>
      <c r="N29" s="203">
        <v>1743972</v>
      </c>
      <c r="O29" s="57">
        <v>0</v>
      </c>
      <c r="P29" s="205">
        <v>0</v>
      </c>
    </row>
    <row r="30" spans="1:16" x14ac:dyDescent="0.25">
      <c r="A30" s="69" t="s">
        <v>90</v>
      </c>
      <c r="B30" s="66">
        <f>N30/2*12</f>
        <v>20927664</v>
      </c>
      <c r="C30" s="61">
        <f>B30/12*2-C29</f>
        <v>1743972</v>
      </c>
      <c r="D30" s="61">
        <f>+O30-SUM($D$29:D29)</f>
        <v>0</v>
      </c>
      <c r="E30" s="61">
        <f>P30-SUM($E$29:E29)</f>
        <v>-3080</v>
      </c>
      <c r="F30" s="71">
        <f t="shared" si="6"/>
        <v>427168</v>
      </c>
      <c r="G30" s="71">
        <f t="shared" si="7"/>
        <v>2168060</v>
      </c>
      <c r="N30" s="204">
        <v>3487944</v>
      </c>
      <c r="O30" s="58">
        <v>0</v>
      </c>
      <c r="P30" s="205">
        <v>-3080</v>
      </c>
    </row>
    <row r="31" spans="1:16" x14ac:dyDescent="0.25">
      <c r="A31" s="69" t="s">
        <v>91</v>
      </c>
      <c r="B31" s="66">
        <f>N31/3*12</f>
        <v>17852632</v>
      </c>
      <c r="C31" s="61">
        <f>B31/12*3-SUM($C$29:C30)</f>
        <v>975214</v>
      </c>
      <c r="D31" s="61">
        <f>+O31-SUM($D$29:D30)</f>
        <v>0</v>
      </c>
      <c r="E31" s="61">
        <f>P31-SUM($E$29:E30)</f>
        <v>0</v>
      </c>
      <c r="F31" s="71">
        <f t="shared" si="6"/>
        <v>427168</v>
      </c>
      <c r="G31" s="71">
        <f t="shared" si="7"/>
        <v>1402382</v>
      </c>
      <c r="N31" s="204">
        <v>4463158</v>
      </c>
      <c r="O31" s="58">
        <v>0</v>
      </c>
      <c r="P31" s="205">
        <v>-3080</v>
      </c>
    </row>
    <row r="32" spans="1:16" x14ac:dyDescent="0.25">
      <c r="A32" s="69" t="s">
        <v>92</v>
      </c>
      <c r="B32" s="66">
        <f>N32/4*12</f>
        <v>17852631</v>
      </c>
      <c r="C32" s="61">
        <f>B32/12*4-SUM($C$29:C31)</f>
        <v>1487719</v>
      </c>
      <c r="D32" s="61">
        <f>+O32-SUM($D$29:D31)</f>
        <v>0</v>
      </c>
      <c r="E32" s="61">
        <f>P32-SUM($E$29:E31)</f>
        <v>0</v>
      </c>
      <c r="F32" s="71">
        <f t="shared" si="6"/>
        <v>427168</v>
      </c>
      <c r="G32" s="71">
        <f t="shared" si="7"/>
        <v>1914887</v>
      </c>
      <c r="N32" s="204">
        <v>5950877</v>
      </c>
      <c r="O32" s="58">
        <v>0</v>
      </c>
      <c r="P32" s="205">
        <v>-3080</v>
      </c>
    </row>
    <row r="33" spans="1:16" x14ac:dyDescent="0.25">
      <c r="A33" s="69" t="s">
        <v>93</v>
      </c>
      <c r="B33" s="66">
        <f>N33/5*12</f>
        <v>17852630.399999999</v>
      </c>
      <c r="C33" s="61">
        <f>B33/12*5-SUM($C$29:C32)</f>
        <v>1487719</v>
      </c>
      <c r="D33" s="61">
        <f xml:space="preserve"> O33-SUM($D$29:D32)</f>
        <v>0</v>
      </c>
      <c r="E33" s="61">
        <f>P33-SUM($E$29:E32)</f>
        <v>-2368.41</v>
      </c>
      <c r="F33" s="71">
        <f t="shared" si="6"/>
        <v>284692.68</v>
      </c>
      <c r="G33" s="71">
        <f t="shared" si="7"/>
        <v>1770043.27</v>
      </c>
      <c r="N33" s="204">
        <v>7438596</v>
      </c>
      <c r="O33" s="58">
        <v>0</v>
      </c>
      <c r="P33" s="205">
        <v>-5448.41</v>
      </c>
    </row>
    <row r="34" spans="1:16" x14ac:dyDescent="0.25">
      <c r="A34" s="69" t="s">
        <v>94</v>
      </c>
      <c r="B34" s="66">
        <f>N34/6*12</f>
        <v>17852632</v>
      </c>
      <c r="C34" s="61">
        <f>B34/12*6-SUM($C$29:C33)</f>
        <v>1487720</v>
      </c>
      <c r="D34" s="61">
        <f>O34-SUM($D$29:D33)</f>
        <v>0</v>
      </c>
      <c r="E34" s="61">
        <f>P34-SUM($E$29:E33)</f>
        <v>0</v>
      </c>
      <c r="F34" s="71">
        <f t="shared" si="6"/>
        <v>284692.68</v>
      </c>
      <c r="G34" s="71">
        <f t="shared" si="7"/>
        <v>1772412.68</v>
      </c>
      <c r="N34" s="204">
        <v>8926316</v>
      </c>
      <c r="O34" s="58">
        <v>0</v>
      </c>
      <c r="P34" s="205">
        <v>-5448.41</v>
      </c>
    </row>
    <row r="35" spans="1:16" x14ac:dyDescent="0.25">
      <c r="A35" s="69" t="s">
        <v>66</v>
      </c>
      <c r="B35" s="66">
        <f>N35/7*12</f>
        <v>17534031.428571429</v>
      </c>
      <c r="C35" s="61">
        <f>B35/12*7-SUM($C$29:C34)</f>
        <v>1301869</v>
      </c>
      <c r="D35" s="61">
        <f>O35-SUM($D$29:D34)</f>
        <v>0</v>
      </c>
      <c r="E35" s="61">
        <f>P35-SUM($E$29:E34)</f>
        <v>0</v>
      </c>
      <c r="F35" s="71">
        <f t="shared" si="6"/>
        <v>284692.68</v>
      </c>
      <c r="G35" s="71">
        <f t="shared" si="7"/>
        <v>1586561.68</v>
      </c>
      <c r="N35" s="204">
        <v>10228185</v>
      </c>
      <c r="O35" s="58">
        <v>0</v>
      </c>
      <c r="P35" s="205">
        <v>-5448.41</v>
      </c>
    </row>
    <row r="36" spans="1:16" x14ac:dyDescent="0.25">
      <c r="A36" s="69" t="s">
        <v>95</v>
      </c>
      <c r="B36" s="66">
        <f>N36/8*12</f>
        <v>16889208</v>
      </c>
      <c r="C36" s="61">
        <f>B36/12*8-SUM($C$29:C35)</f>
        <v>1031287</v>
      </c>
      <c r="D36" s="61">
        <f>O36-SUM($D$29:D35)</f>
        <v>0</v>
      </c>
      <c r="E36" s="61">
        <f>P36-SUM($E$29:E35)</f>
        <v>0</v>
      </c>
      <c r="F36" s="71">
        <f t="shared" si="6"/>
        <v>284692.68</v>
      </c>
      <c r="G36" s="71">
        <f t="shared" si="7"/>
        <v>1315979.68</v>
      </c>
      <c r="N36" s="204">
        <v>11259472</v>
      </c>
      <c r="O36" s="58">
        <v>0</v>
      </c>
      <c r="P36" s="205">
        <v>-5448.41</v>
      </c>
    </row>
    <row r="37" spans="1:16" x14ac:dyDescent="0.25">
      <c r="A37" s="69" t="s">
        <v>96</v>
      </c>
      <c r="B37" s="66">
        <f>N37/9*12</f>
        <v>16889208</v>
      </c>
      <c r="C37" s="61">
        <f>B37/12*9-SUM($C$29:C36)</f>
        <v>1407434</v>
      </c>
      <c r="D37" s="61">
        <f>O37-SUM($D$29:D36)</f>
        <v>0</v>
      </c>
      <c r="E37" s="61">
        <f>P37-SUM($E$29:E36)</f>
        <v>0</v>
      </c>
      <c r="F37" s="71">
        <f t="shared" si="6"/>
        <v>284692.68</v>
      </c>
      <c r="G37" s="71">
        <f t="shared" si="7"/>
        <v>1692126.68</v>
      </c>
      <c r="N37" s="204">
        <v>12666906</v>
      </c>
      <c r="O37" s="58">
        <v>0</v>
      </c>
      <c r="P37" s="205">
        <v>-5448.41</v>
      </c>
    </row>
    <row r="38" spans="1:16" x14ac:dyDescent="0.25">
      <c r="A38" s="69" t="s">
        <v>97</v>
      </c>
      <c r="B38" s="66">
        <f>N38/10*12</f>
        <v>16889208</v>
      </c>
      <c r="C38" s="61">
        <f>B38/12*10-SUM($C$29:C37)</f>
        <v>1407434</v>
      </c>
      <c r="D38" s="61">
        <f>O38-SUM($D$29:D37)</f>
        <v>0</v>
      </c>
      <c r="E38" s="61">
        <f>P38-SUM($E$29:E37)</f>
        <v>2563</v>
      </c>
      <c r="F38" s="71">
        <f t="shared" si="6"/>
        <v>284692.68</v>
      </c>
      <c r="G38" s="71">
        <f t="shared" si="7"/>
        <v>1694689.68</v>
      </c>
      <c r="N38" s="204">
        <v>14074340</v>
      </c>
      <c r="O38" s="58">
        <v>0</v>
      </c>
      <c r="P38" s="205">
        <v>-2885.41</v>
      </c>
    </row>
    <row r="39" spans="1:16" x14ac:dyDescent="0.25">
      <c r="A39" s="69" t="s">
        <v>98</v>
      </c>
      <c r="B39" s="66">
        <f>N39/11*12</f>
        <v>16889208</v>
      </c>
      <c r="C39" s="61">
        <f>B39/12*11-SUM($C$29:C38)</f>
        <v>1407434</v>
      </c>
      <c r="D39" s="61">
        <f>O39-SUM($D$29:D38)</f>
        <v>0</v>
      </c>
      <c r="E39" s="61">
        <f>P39-SUM($E$29:E38)</f>
        <v>24.989999999999782</v>
      </c>
      <c r="F39" s="71">
        <f t="shared" si="6"/>
        <v>284692.68</v>
      </c>
      <c r="G39" s="71">
        <f t="shared" si="7"/>
        <v>1692151.67</v>
      </c>
      <c r="I39" s="70"/>
      <c r="K39" s="70"/>
      <c r="N39" s="204">
        <v>15481774</v>
      </c>
      <c r="O39" s="58">
        <v>0</v>
      </c>
      <c r="P39" s="205">
        <v>-2860.42</v>
      </c>
    </row>
    <row r="40" spans="1:16" ht="15.75" thickBot="1" x14ac:dyDescent="0.3">
      <c r="A40" s="69" t="s">
        <v>99</v>
      </c>
      <c r="B40" s="66">
        <f>N40</f>
        <v>16889208</v>
      </c>
      <c r="C40" s="61">
        <f>B40/12*12-SUM($C$29:C39)</f>
        <v>1407434</v>
      </c>
      <c r="D40" s="61">
        <f>O40-SUM($D$29:D39)</f>
        <v>0</v>
      </c>
      <c r="E40" s="61">
        <f>P40-SUM($E$29:E39)</f>
        <v>0</v>
      </c>
      <c r="F40" s="71">
        <f t="shared" si="6"/>
        <v>284692.68</v>
      </c>
      <c r="G40" s="71">
        <f t="shared" si="7"/>
        <v>1692126.68</v>
      </c>
      <c r="I40" s="70"/>
      <c r="K40" s="70"/>
      <c r="N40" s="206">
        <v>16889208</v>
      </c>
      <c r="O40" s="207">
        <v>0</v>
      </c>
      <c r="P40" s="208">
        <v>-2860.42</v>
      </c>
    </row>
    <row r="41" spans="1:16" x14ac:dyDescent="0.25">
      <c r="B41" s="60"/>
      <c r="C41" s="61"/>
      <c r="D41" s="61"/>
      <c r="E41" s="61"/>
      <c r="F41" s="71"/>
      <c r="I41" s="70"/>
      <c r="K41" s="70"/>
    </row>
    <row r="42" spans="1:16" x14ac:dyDescent="0.25">
      <c r="C42" s="71"/>
      <c r="I42" s="70"/>
      <c r="K42" s="70"/>
    </row>
    <row r="43" spans="1:16" x14ac:dyDescent="0.25">
      <c r="I43" s="70"/>
      <c r="J43" s="70"/>
      <c r="K43" s="70"/>
    </row>
    <row r="44" spans="1:16" x14ac:dyDescent="0.25">
      <c r="I44" s="70"/>
      <c r="K44" s="70"/>
    </row>
    <row r="45" spans="1:16" x14ac:dyDescent="0.25">
      <c r="I45" s="70"/>
      <c r="K45" s="70"/>
    </row>
    <row r="46" spans="1:16" x14ac:dyDescent="0.25">
      <c r="I46" s="70"/>
      <c r="K46" s="70"/>
    </row>
    <row r="47" spans="1:16" x14ac:dyDescent="0.25">
      <c r="I47" s="70"/>
      <c r="K47" s="70"/>
    </row>
    <row r="48" spans="1:16" x14ac:dyDescent="0.25">
      <c r="I48" s="70"/>
      <c r="K48" s="70"/>
    </row>
    <row r="49" spans="9:12" x14ac:dyDescent="0.25">
      <c r="I49" s="70"/>
      <c r="K49" s="70"/>
    </row>
    <row r="50" spans="9:12" x14ac:dyDescent="0.25">
      <c r="I50" s="70"/>
      <c r="K50" s="70"/>
    </row>
    <row r="51" spans="9:12" x14ac:dyDescent="0.25">
      <c r="L51" s="70"/>
    </row>
    <row r="52" spans="9:12" x14ac:dyDescent="0.25">
      <c r="L52" s="70"/>
    </row>
    <row r="53" spans="9:12" x14ac:dyDescent="0.25">
      <c r="L53" s="70"/>
    </row>
    <row r="54" spans="9:12" x14ac:dyDescent="0.25">
      <c r="L54" s="70"/>
    </row>
    <row r="55" spans="9:12" x14ac:dyDescent="0.25">
      <c r="I55" s="70"/>
      <c r="J55" s="70"/>
      <c r="K55" s="70"/>
      <c r="L55" s="7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7" sqref="D37:M37"/>
    </sheetView>
  </sheetViews>
  <sheetFormatPr defaultColWidth="5.5703125" defaultRowHeight="11.25" x14ac:dyDescent="0.2"/>
  <cols>
    <col min="1" max="1" width="4.85546875" style="157" bestFit="1" customWidth="1"/>
    <col min="2" max="2" width="33.140625" style="157" bestFit="1" customWidth="1"/>
    <col min="3" max="3" width="12.140625" style="157" bestFit="1" customWidth="1"/>
    <col min="4" max="4" width="17.140625" style="157" bestFit="1" customWidth="1"/>
    <col min="5" max="5" width="17" style="157" bestFit="1" customWidth="1"/>
    <col min="6" max="6" width="15.140625" style="157" bestFit="1" customWidth="1"/>
    <col min="7" max="7" width="13.85546875" style="157" bestFit="1" customWidth="1"/>
    <col min="8" max="8" width="13" style="157" bestFit="1" customWidth="1"/>
    <col min="9" max="9" width="5.5703125" style="157"/>
    <col min="10" max="10" width="17.85546875" style="157" bestFit="1" customWidth="1"/>
    <col min="11" max="11" width="18" style="157" bestFit="1" customWidth="1"/>
    <col min="12" max="12" width="14.140625" style="157" bestFit="1" customWidth="1"/>
    <col min="13" max="13" width="15.140625" style="157" customWidth="1"/>
    <col min="14" max="14" width="13" style="157" bestFit="1" customWidth="1"/>
    <col min="15" max="15" width="5.5703125" style="157"/>
    <col min="16" max="16" width="13" style="157" bestFit="1" customWidth="1"/>
    <col min="17" max="16384" width="5.5703125" style="157"/>
  </cols>
  <sheetData>
    <row r="1" spans="1:19" x14ac:dyDescent="0.2">
      <c r="A1" s="405" t="s">
        <v>37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</row>
    <row r="2" spans="1:19" x14ac:dyDescent="0.2">
      <c r="A2" s="406" t="s">
        <v>133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</row>
    <row r="3" spans="1:19" x14ac:dyDescent="0.2">
      <c r="A3" s="407"/>
      <c r="B3" s="407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159"/>
      <c r="R3" s="159"/>
      <c r="S3" s="159"/>
    </row>
    <row r="4" spans="1:19" x14ac:dyDescent="0.2">
      <c r="E4" s="159"/>
      <c r="K4" s="199"/>
    </row>
    <row r="5" spans="1:19" ht="33.75" x14ac:dyDescent="0.2">
      <c r="A5" s="198" t="s">
        <v>36</v>
      </c>
      <c r="B5" s="198" t="s">
        <v>8</v>
      </c>
      <c r="C5" s="198" t="s">
        <v>35</v>
      </c>
      <c r="D5" s="194" t="s">
        <v>178</v>
      </c>
      <c r="E5" s="194" t="s">
        <v>177</v>
      </c>
      <c r="F5" s="197" t="s">
        <v>34</v>
      </c>
      <c r="G5" s="196" t="s">
        <v>176</v>
      </c>
      <c r="H5" s="193" t="s">
        <v>175</v>
      </c>
      <c r="I5" s="192"/>
      <c r="J5" s="195" t="s">
        <v>174</v>
      </c>
      <c r="K5" s="194" t="s">
        <v>173</v>
      </c>
      <c r="L5" s="192" t="s">
        <v>34</v>
      </c>
      <c r="M5" s="193" t="s">
        <v>172</v>
      </c>
      <c r="N5" s="193" t="s">
        <v>113</v>
      </c>
      <c r="O5" s="192"/>
      <c r="P5" s="192" t="s">
        <v>33</v>
      </c>
    </row>
    <row r="6" spans="1:19" x14ac:dyDescent="0.2">
      <c r="A6" s="200"/>
      <c r="B6" s="200"/>
      <c r="C6" s="200"/>
      <c r="D6" s="200" t="s">
        <v>31</v>
      </c>
      <c r="E6" s="191" t="s">
        <v>30</v>
      </c>
      <c r="F6" s="201" t="s">
        <v>32</v>
      </c>
      <c r="G6" s="190" t="s">
        <v>28</v>
      </c>
      <c r="H6" s="200" t="s">
        <v>27</v>
      </c>
      <c r="I6" s="200"/>
      <c r="J6" s="200" t="s">
        <v>31</v>
      </c>
      <c r="K6" s="191" t="s">
        <v>30</v>
      </c>
      <c r="L6" s="201" t="s">
        <v>29</v>
      </c>
      <c r="M6" s="190" t="s">
        <v>28</v>
      </c>
      <c r="N6" s="200" t="s">
        <v>27</v>
      </c>
      <c r="O6" s="200"/>
      <c r="P6" s="200"/>
      <c r="Q6" s="200"/>
      <c r="R6" s="200"/>
      <c r="S6" s="200"/>
    </row>
    <row r="7" spans="1:19" x14ac:dyDescent="0.2">
      <c r="A7" s="200"/>
      <c r="B7" s="200"/>
      <c r="C7" s="200"/>
      <c r="D7" s="200"/>
      <c r="E7" s="191"/>
      <c r="F7" s="201"/>
      <c r="G7" s="190"/>
      <c r="H7" s="200"/>
      <c r="I7" s="200"/>
      <c r="J7" s="200"/>
      <c r="K7" s="191"/>
      <c r="L7" s="201"/>
      <c r="M7" s="190"/>
      <c r="N7" s="200"/>
      <c r="O7" s="200"/>
      <c r="P7" s="200"/>
      <c r="Q7" s="200"/>
      <c r="R7" s="200"/>
      <c r="S7" s="200"/>
    </row>
    <row r="8" spans="1:19" x14ac:dyDescent="0.2">
      <c r="A8" s="200">
        <v>1</v>
      </c>
      <c r="B8" s="189" t="s">
        <v>42</v>
      </c>
      <c r="C8" s="188">
        <v>7</v>
      </c>
      <c r="D8" s="186">
        <v>4159499248</v>
      </c>
      <c r="E8" s="186">
        <v>4563800672.9046803</v>
      </c>
      <c r="F8" s="187">
        <f>D8-E8</f>
        <v>-404301424.90468025</v>
      </c>
      <c r="G8" s="174">
        <v>2.7980000000000001E-3</v>
      </c>
      <c r="H8" s="160">
        <f>+G8*F8</f>
        <v>-1131235.3868832954</v>
      </c>
      <c r="I8" s="160"/>
      <c r="J8" s="185">
        <v>6992615619.5117178</v>
      </c>
      <c r="K8" s="185">
        <v>6821745403.855546</v>
      </c>
      <c r="L8" s="187">
        <f>J8-K8</f>
        <v>170870215.6561718</v>
      </c>
      <c r="M8" s="171">
        <v>2.6120000000000002E-3</v>
      </c>
      <c r="N8" s="160">
        <f>+M8*L8</f>
        <v>446313.00329392077</v>
      </c>
      <c r="O8" s="160"/>
      <c r="P8" s="160">
        <f>H8+N8</f>
        <v>-684922.3835893746</v>
      </c>
      <c r="Q8" s="158"/>
      <c r="S8" s="161"/>
    </row>
    <row r="9" spans="1:19" x14ac:dyDescent="0.2">
      <c r="A9" s="200">
        <f t="shared" ref="A9:A35" si="0">+A8+1</f>
        <v>2</v>
      </c>
      <c r="B9" s="184" t="s">
        <v>44</v>
      </c>
      <c r="C9" s="178"/>
      <c r="D9" s="172">
        <f>SUM(D8:D8)</f>
        <v>4159499248</v>
      </c>
      <c r="E9" s="172">
        <f>SUM(E8:E8)</f>
        <v>4563800672.9046803</v>
      </c>
      <c r="F9" s="172">
        <f>SUM(F8:F8)</f>
        <v>-404301424.90468025</v>
      </c>
      <c r="G9" s="165"/>
      <c r="H9" s="180">
        <f>SUM(H8:H8)</f>
        <v>-1131235.3868832954</v>
      </c>
      <c r="I9" s="163"/>
      <c r="J9" s="172">
        <f>SUM(J8:J8)</f>
        <v>6992615619.5117178</v>
      </c>
      <c r="K9" s="172">
        <f>SUM(K8:K8)</f>
        <v>6821745403.855546</v>
      </c>
      <c r="L9" s="172">
        <f>SUM(L8:L8)</f>
        <v>170870215.6561718</v>
      </c>
      <c r="M9" s="165"/>
      <c r="N9" s="180">
        <f>SUM(N8:N8)</f>
        <v>446313.00329392077</v>
      </c>
      <c r="O9" s="163"/>
      <c r="P9" s="180">
        <f>SUM(P8:P8)</f>
        <v>-684922.3835893746</v>
      </c>
      <c r="Q9" s="158"/>
      <c r="S9" s="161"/>
    </row>
    <row r="10" spans="1:19" x14ac:dyDescent="0.2">
      <c r="A10" s="200">
        <f t="shared" si="0"/>
        <v>3</v>
      </c>
      <c r="B10" s="170"/>
      <c r="C10" s="178"/>
      <c r="D10" s="181"/>
      <c r="E10" s="181"/>
      <c r="F10" s="181"/>
      <c r="G10" s="165"/>
      <c r="H10" s="163"/>
      <c r="I10" s="163"/>
      <c r="J10" s="181"/>
      <c r="K10" s="181"/>
      <c r="L10" s="181"/>
      <c r="M10" s="165"/>
      <c r="N10" s="163"/>
      <c r="O10" s="163"/>
      <c r="P10" s="163"/>
      <c r="Q10" s="158"/>
      <c r="S10" s="161"/>
    </row>
    <row r="11" spans="1:19" x14ac:dyDescent="0.2">
      <c r="A11" s="200">
        <f t="shared" si="0"/>
        <v>4</v>
      </c>
      <c r="B11" s="167" t="s">
        <v>45</v>
      </c>
      <c r="C11" s="178"/>
      <c r="D11" s="181"/>
      <c r="E11" s="181"/>
      <c r="F11" s="181"/>
      <c r="G11" s="165"/>
      <c r="H11" s="163"/>
      <c r="I11" s="163"/>
      <c r="J11" s="181"/>
      <c r="K11" s="181"/>
      <c r="L11" s="181"/>
      <c r="M11" s="165"/>
      <c r="N11" s="163"/>
      <c r="O11" s="163"/>
      <c r="P11" s="163"/>
      <c r="Q11" s="158"/>
      <c r="S11" s="161"/>
    </row>
    <row r="12" spans="1:19" x14ac:dyDescent="0.2">
      <c r="A12" s="200">
        <f t="shared" si="0"/>
        <v>5</v>
      </c>
      <c r="B12" s="167" t="s">
        <v>46</v>
      </c>
      <c r="C12" s="178" t="s">
        <v>47</v>
      </c>
      <c r="D12" s="186">
        <v>957627084</v>
      </c>
      <c r="E12" s="183">
        <v>995599707.70667219</v>
      </c>
      <c r="F12" s="181">
        <f>D12-E12</f>
        <v>-37972623.706672192</v>
      </c>
      <c r="G12" s="174">
        <v>2.3509999999999998E-3</v>
      </c>
      <c r="H12" s="160">
        <f>+G12*F12</f>
        <v>-89273.638334386313</v>
      </c>
      <c r="I12" s="160"/>
      <c r="J12" s="185">
        <v>1781264196.2954757</v>
      </c>
      <c r="K12" s="185">
        <v>1662303801.2562919</v>
      </c>
      <c r="L12" s="181">
        <f>J12-K12</f>
        <v>118960395.03918386</v>
      </c>
      <c r="M12" s="171">
        <v>2.0930000000000002E-3</v>
      </c>
      <c r="N12" s="160">
        <f>+M12*L12</f>
        <v>248984.10681701184</v>
      </c>
      <c r="O12" s="160"/>
      <c r="P12" s="160">
        <f>H12+N12</f>
        <v>159710.46848262553</v>
      </c>
      <c r="Q12" s="158"/>
      <c r="S12" s="161"/>
    </row>
    <row r="13" spans="1:19" x14ac:dyDescent="0.2">
      <c r="A13" s="200">
        <f t="shared" si="0"/>
        <v>6</v>
      </c>
      <c r="B13" s="177" t="s">
        <v>48</v>
      </c>
      <c r="C13" s="178" t="s">
        <v>49</v>
      </c>
      <c r="D13" s="186">
        <v>967346186</v>
      </c>
      <c r="E13" s="183">
        <v>1044613035.1038213</v>
      </c>
      <c r="F13" s="181">
        <f>D13-E13</f>
        <v>-77266849.103821278</v>
      </c>
      <c r="G13" s="174">
        <v>2.163E-3</v>
      </c>
      <c r="H13" s="160">
        <f>+G13*F13</f>
        <v>-167128.19461156541</v>
      </c>
      <c r="I13" s="160"/>
      <c r="J13" s="185">
        <v>1961205320.8061426</v>
      </c>
      <c r="K13" s="185">
        <v>1967651377.2353742</v>
      </c>
      <c r="L13" s="181">
        <f>J13-K13</f>
        <v>-6446056.4292316437</v>
      </c>
      <c r="M13" s="171">
        <v>1.98E-3</v>
      </c>
      <c r="N13" s="160">
        <f>+M13*L13</f>
        <v>-12763.191729878654</v>
      </c>
      <c r="O13" s="160"/>
      <c r="P13" s="160">
        <f>H13+N13</f>
        <v>-179891.38634144407</v>
      </c>
      <c r="Q13" s="158"/>
      <c r="S13" s="161"/>
    </row>
    <row r="14" spans="1:19" x14ac:dyDescent="0.2">
      <c r="A14" s="200">
        <f t="shared" si="0"/>
        <v>7</v>
      </c>
      <c r="B14" s="177" t="s">
        <v>50</v>
      </c>
      <c r="C14" s="178" t="s">
        <v>51</v>
      </c>
      <c r="D14" s="186">
        <v>582118855</v>
      </c>
      <c r="E14" s="183">
        <v>592356438.75045907</v>
      </c>
      <c r="F14" s="181">
        <f>D14-E14</f>
        <v>-10237583.750459075</v>
      </c>
      <c r="G14" s="174">
        <v>1.9169999999999999E-3</v>
      </c>
      <c r="H14" s="160">
        <f>+G14*F14</f>
        <v>-19625.448049630046</v>
      </c>
      <c r="I14" s="160"/>
      <c r="J14" s="185">
        <v>1294343796.2699683</v>
      </c>
      <c r="K14" s="185">
        <v>1267784763.2072601</v>
      </c>
      <c r="L14" s="181">
        <f>J14-K14</f>
        <v>26559033.062708139</v>
      </c>
      <c r="M14" s="171">
        <v>1.7149999999999999E-3</v>
      </c>
      <c r="N14" s="160">
        <f>+M14*L14</f>
        <v>45548.741702544459</v>
      </c>
      <c r="O14" s="160"/>
      <c r="P14" s="160">
        <f>H14+N14</f>
        <v>25923.293652914414</v>
      </c>
      <c r="Q14" s="158"/>
      <c r="S14" s="161"/>
    </row>
    <row r="15" spans="1:19" x14ac:dyDescent="0.2">
      <c r="A15" s="200">
        <f t="shared" si="0"/>
        <v>8</v>
      </c>
      <c r="B15" s="177" t="s">
        <v>52</v>
      </c>
      <c r="C15" s="178">
        <v>29</v>
      </c>
      <c r="D15" s="186">
        <v>1120950</v>
      </c>
      <c r="E15" s="183">
        <v>1311086.0504079724</v>
      </c>
      <c r="F15" s="181">
        <f>D15-E15</f>
        <v>-190136.05040797242</v>
      </c>
      <c r="G15" s="174">
        <v>2.163E-3</v>
      </c>
      <c r="H15" s="160">
        <f>+G15*F15</f>
        <v>-411.26427703244434</v>
      </c>
      <c r="I15" s="160"/>
      <c r="J15" s="185">
        <v>13896887.865924714</v>
      </c>
      <c r="K15" s="185">
        <v>14653298.026506517</v>
      </c>
      <c r="L15" s="181">
        <f>J15-K15</f>
        <v>-756410.16058180295</v>
      </c>
      <c r="M15" s="171">
        <v>1.98E-3</v>
      </c>
      <c r="N15" s="160">
        <f>+M15*L15</f>
        <v>-1497.6921179519697</v>
      </c>
      <c r="O15" s="160"/>
      <c r="P15" s="160">
        <f>H15+N15</f>
        <v>-1908.9563949844141</v>
      </c>
      <c r="Q15" s="158"/>
      <c r="S15" s="161"/>
    </row>
    <row r="16" spans="1:19" x14ac:dyDescent="0.2">
      <c r="A16" s="200">
        <f t="shared" si="0"/>
        <v>9</v>
      </c>
      <c r="B16" s="184" t="s">
        <v>53</v>
      </c>
      <c r="C16" s="178"/>
      <c r="D16" s="172">
        <f>SUM(D12:D15)</f>
        <v>2508213075</v>
      </c>
      <c r="E16" s="172">
        <f>SUM(E12:E15)</f>
        <v>2633880267.6113605</v>
      </c>
      <c r="F16" s="172">
        <f>SUM(F12:F15)</f>
        <v>-125667192.61136052</v>
      </c>
      <c r="G16" s="165"/>
      <c r="H16" s="180">
        <f>SUM(H12:H15)</f>
        <v>-276438.54527261422</v>
      </c>
      <c r="I16" s="163"/>
      <c r="J16" s="172">
        <f>SUM(J12:J15)</f>
        <v>5050710201.2375116</v>
      </c>
      <c r="K16" s="172">
        <f>SUM(K12:K15)</f>
        <v>4912393239.7254324</v>
      </c>
      <c r="L16" s="172">
        <f>SUM(L12:L15)</f>
        <v>138316961.51207855</v>
      </c>
      <c r="M16" s="165"/>
      <c r="N16" s="180">
        <f>SUM(N12:N15)</f>
        <v>280271.96467172564</v>
      </c>
      <c r="O16" s="163"/>
      <c r="P16" s="180">
        <f>SUM(P12:P15)</f>
        <v>3833.4193991114535</v>
      </c>
      <c r="Q16" s="158"/>
      <c r="S16" s="161"/>
    </row>
    <row r="17" spans="1:19" x14ac:dyDescent="0.2">
      <c r="A17" s="200">
        <f t="shared" si="0"/>
        <v>10</v>
      </c>
      <c r="B17" s="179"/>
      <c r="C17" s="178"/>
      <c r="D17" s="181"/>
      <c r="E17" s="181"/>
      <c r="F17" s="181"/>
      <c r="G17" s="165"/>
      <c r="H17" s="163"/>
      <c r="I17" s="163"/>
      <c r="J17" s="181"/>
      <c r="K17" s="181"/>
      <c r="L17" s="181"/>
      <c r="M17" s="165"/>
      <c r="N17" s="163"/>
      <c r="O17" s="163"/>
      <c r="P17" s="163"/>
      <c r="Q17" s="158"/>
      <c r="S17" s="161"/>
    </row>
    <row r="18" spans="1:19" x14ac:dyDescent="0.2">
      <c r="A18" s="200">
        <f t="shared" si="0"/>
        <v>11</v>
      </c>
      <c r="B18" s="167" t="s">
        <v>54</v>
      </c>
      <c r="C18" s="178"/>
      <c r="D18" s="181"/>
      <c r="E18" s="181"/>
      <c r="F18" s="181"/>
      <c r="G18" s="165"/>
      <c r="H18" s="163"/>
      <c r="I18" s="163"/>
      <c r="J18" s="181"/>
      <c r="K18" s="181"/>
      <c r="L18" s="181"/>
      <c r="M18" s="165"/>
      <c r="N18" s="163"/>
      <c r="O18" s="163"/>
      <c r="P18" s="163"/>
      <c r="Q18" s="158"/>
      <c r="S18" s="161"/>
    </row>
    <row r="19" spans="1:19" x14ac:dyDescent="0.2">
      <c r="A19" s="200">
        <f t="shared" si="0"/>
        <v>12</v>
      </c>
      <c r="B19" s="167" t="s">
        <v>55</v>
      </c>
      <c r="C19" s="178" t="s">
        <v>56</v>
      </c>
      <c r="D19" s="186">
        <v>433170856</v>
      </c>
      <c r="E19" s="183">
        <v>475079846.42104006</v>
      </c>
      <c r="F19" s="181">
        <f>D19-E19</f>
        <v>-41908990.421040058</v>
      </c>
      <c r="G19" s="174">
        <v>1.936E-3</v>
      </c>
      <c r="H19" s="160">
        <f>+G19*F19</f>
        <v>-81135.805455133552</v>
      </c>
      <c r="I19" s="160"/>
      <c r="J19" s="185">
        <v>940424804.74847114</v>
      </c>
      <c r="K19" s="185">
        <v>937325970.39317536</v>
      </c>
      <c r="L19" s="181">
        <f>J19-K19</f>
        <v>3098834.3552957773</v>
      </c>
      <c r="M19" s="171">
        <v>1.7260000000000001E-3</v>
      </c>
      <c r="N19" s="160">
        <f>+M19*L19</f>
        <v>5348.5880972405121</v>
      </c>
      <c r="O19" s="160"/>
      <c r="P19" s="160">
        <f>H19+N19</f>
        <v>-75787.217357893038</v>
      </c>
      <c r="Q19" s="158"/>
      <c r="S19" s="161"/>
    </row>
    <row r="20" spans="1:19" x14ac:dyDescent="0.2">
      <c r="A20" s="200">
        <f t="shared" si="0"/>
        <v>13</v>
      </c>
      <c r="B20" s="177" t="s">
        <v>52</v>
      </c>
      <c r="C20" s="178">
        <v>35</v>
      </c>
      <c r="D20" s="186">
        <v>0</v>
      </c>
      <c r="E20" s="183">
        <v>295263.59999999998</v>
      </c>
      <c r="F20" s="181">
        <f>D20-E20</f>
        <v>-295263.59999999998</v>
      </c>
      <c r="G20" s="174">
        <v>1.936E-3</v>
      </c>
      <c r="H20" s="160">
        <f>+G20*F20</f>
        <v>-571.63032959999998</v>
      </c>
      <c r="I20" s="160"/>
      <c r="J20" s="185">
        <v>4446630.3710993407</v>
      </c>
      <c r="K20" s="185">
        <v>4591320</v>
      </c>
      <c r="L20" s="181">
        <f>J20-K20</f>
        <v>-144689.62890065927</v>
      </c>
      <c r="M20" s="171">
        <v>1.7260000000000001E-3</v>
      </c>
      <c r="N20" s="160">
        <f>+M20*L20</f>
        <v>-249.73429948253792</v>
      </c>
      <c r="O20" s="160"/>
      <c r="P20" s="160">
        <f>H20+N20</f>
        <v>-821.36462908253793</v>
      </c>
      <c r="Q20" s="158"/>
      <c r="S20" s="161"/>
    </row>
    <row r="21" spans="1:19" x14ac:dyDescent="0.2">
      <c r="A21" s="200">
        <f t="shared" si="0"/>
        <v>14</v>
      </c>
      <c r="B21" s="184" t="s">
        <v>57</v>
      </c>
      <c r="C21" s="178">
        <v>43</v>
      </c>
      <c r="D21" s="186">
        <v>52585357</v>
      </c>
      <c r="E21" s="183">
        <v>51539842.520902537</v>
      </c>
      <c r="F21" s="181">
        <f>D21-E21</f>
        <v>1045514.4790974632</v>
      </c>
      <c r="G21" s="174">
        <v>2.5479999999999999E-3</v>
      </c>
      <c r="H21" s="160">
        <f>+G21*F21</f>
        <v>2663.9708927403362</v>
      </c>
      <c r="I21" s="160"/>
      <c r="J21" s="185">
        <v>68967285.901406467</v>
      </c>
      <c r="K21" s="185">
        <v>68286060.236953735</v>
      </c>
      <c r="L21" s="181">
        <f>J21-K21</f>
        <v>681225.66445273161</v>
      </c>
      <c r="M21" s="171">
        <v>1.529E-3</v>
      </c>
      <c r="N21" s="160">
        <f>+M21*L21</f>
        <v>1041.5940409482266</v>
      </c>
      <c r="O21" s="160"/>
      <c r="P21" s="160">
        <f>H21+N21</f>
        <v>3705.5649336885626</v>
      </c>
      <c r="Q21" s="158"/>
      <c r="S21" s="161"/>
    </row>
    <row r="22" spans="1:19" x14ac:dyDescent="0.2">
      <c r="A22" s="200">
        <f t="shared" si="0"/>
        <v>15</v>
      </c>
      <c r="B22" s="184" t="s">
        <v>58</v>
      </c>
      <c r="C22" s="178"/>
      <c r="D22" s="172">
        <f>SUM(D19:D21)</f>
        <v>485756213</v>
      </c>
      <c r="E22" s="172">
        <f>SUM(E19:E21)</f>
        <v>526914952.5419426</v>
      </c>
      <c r="F22" s="172">
        <f>SUM(F19:F21)</f>
        <v>-41158739.541942596</v>
      </c>
      <c r="G22" s="165"/>
      <c r="H22" s="180">
        <f>SUM(H19:H21)</f>
        <v>-79043.464891993208</v>
      </c>
      <c r="I22" s="163"/>
      <c r="J22" s="172">
        <f>SUM(J19:J21)</f>
        <v>1013838721.020977</v>
      </c>
      <c r="K22" s="172">
        <f>SUM(K19:K21)</f>
        <v>1010203350.6301291</v>
      </c>
      <c r="L22" s="172">
        <f>SUM(L19:L21)</f>
        <v>3635370.3908478497</v>
      </c>
      <c r="M22" s="165"/>
      <c r="N22" s="180">
        <f>SUM(N19:N21)</f>
        <v>6140.4478387062009</v>
      </c>
      <c r="O22" s="163"/>
      <c r="P22" s="180">
        <f>SUM(P19:P21)</f>
        <v>-72903.017053287011</v>
      </c>
      <c r="Q22" s="158"/>
      <c r="S22" s="161"/>
    </row>
    <row r="23" spans="1:19" x14ac:dyDescent="0.2">
      <c r="A23" s="200">
        <f t="shared" si="0"/>
        <v>16</v>
      </c>
      <c r="B23" s="170"/>
      <c r="C23" s="178"/>
      <c r="D23" s="169"/>
      <c r="E23" s="169"/>
      <c r="F23" s="169"/>
      <c r="G23" s="165"/>
      <c r="H23" s="168"/>
      <c r="I23" s="168"/>
      <c r="J23" s="169"/>
      <c r="K23" s="169"/>
      <c r="L23" s="169"/>
      <c r="M23" s="165"/>
      <c r="N23" s="168"/>
      <c r="O23" s="168"/>
      <c r="P23" s="168"/>
      <c r="Q23" s="158"/>
      <c r="S23" s="161"/>
    </row>
    <row r="24" spans="1:19" x14ac:dyDescent="0.2">
      <c r="A24" s="200">
        <f t="shared" si="0"/>
        <v>17</v>
      </c>
      <c r="B24" s="179" t="s">
        <v>146</v>
      </c>
      <c r="C24" s="176" t="s">
        <v>147</v>
      </c>
      <c r="D24" s="175">
        <v>102593005.381</v>
      </c>
      <c r="E24" s="175">
        <v>102143492.542</v>
      </c>
      <c r="F24" s="172">
        <f>D24-E24</f>
        <v>449512.83900000155</v>
      </c>
      <c r="G24" s="174">
        <v>7.3000000000000007E-4</v>
      </c>
      <c r="H24" s="160">
        <f>+G24*F24</f>
        <v>328.14437247000114</v>
      </c>
      <c r="I24" s="160"/>
      <c r="J24" s="173">
        <v>205810650.51899999</v>
      </c>
      <c r="K24" s="173">
        <v>223236185.23999998</v>
      </c>
      <c r="L24" s="172">
        <f>J24-K24</f>
        <v>-17425534.720999986</v>
      </c>
      <c r="M24" s="171">
        <v>5.1500000000000005E-4</v>
      </c>
      <c r="N24" s="160">
        <f>+M24*L24</f>
        <v>-8974.1503813149939</v>
      </c>
      <c r="O24" s="160"/>
      <c r="P24" s="160">
        <f>H24+N24</f>
        <v>-8646.0060088449936</v>
      </c>
      <c r="Q24" s="158"/>
      <c r="S24" s="161"/>
    </row>
    <row r="25" spans="1:19" x14ac:dyDescent="0.2">
      <c r="A25" s="200">
        <f t="shared" si="0"/>
        <v>18</v>
      </c>
      <c r="B25" s="167"/>
      <c r="C25" s="178"/>
      <c r="D25" s="169"/>
      <c r="E25" s="169"/>
      <c r="F25" s="169"/>
      <c r="G25" s="165"/>
      <c r="H25" s="168"/>
      <c r="I25" s="168"/>
      <c r="J25" s="169"/>
      <c r="K25" s="169"/>
      <c r="L25" s="169"/>
      <c r="M25" s="165"/>
      <c r="N25" s="168"/>
      <c r="O25" s="168"/>
      <c r="P25" s="168"/>
      <c r="Q25" s="158"/>
      <c r="S25" s="161"/>
    </row>
    <row r="26" spans="1:19" x14ac:dyDescent="0.2">
      <c r="A26" s="200">
        <f t="shared" si="0"/>
        <v>19</v>
      </c>
      <c r="B26" s="167" t="s">
        <v>59</v>
      </c>
      <c r="C26" s="178"/>
      <c r="D26" s="181"/>
      <c r="E26" s="181"/>
      <c r="F26" s="181"/>
      <c r="G26" s="165"/>
      <c r="H26" s="163"/>
      <c r="I26" s="163"/>
      <c r="J26" s="181"/>
      <c r="K26" s="181"/>
      <c r="L26" s="181"/>
      <c r="M26" s="165"/>
      <c r="N26" s="163"/>
      <c r="O26" s="163"/>
      <c r="P26" s="163"/>
      <c r="Q26" s="158"/>
      <c r="S26" s="161"/>
    </row>
    <row r="27" spans="1:19" x14ac:dyDescent="0.2">
      <c r="A27" s="200">
        <f t="shared" si="0"/>
        <v>20</v>
      </c>
      <c r="B27" s="167" t="s">
        <v>43</v>
      </c>
      <c r="C27" s="178">
        <v>46</v>
      </c>
      <c r="D27" s="183">
        <v>26864149</v>
      </c>
      <c r="E27" s="183">
        <v>31859184.893000003</v>
      </c>
      <c r="F27" s="181">
        <f>D27-E27</f>
        <v>-4995035.893000003</v>
      </c>
      <c r="G27" s="174">
        <v>1.4490000000000002E-3</v>
      </c>
      <c r="H27" s="160">
        <f>+G27*F27</f>
        <v>-7237.8070089570056</v>
      </c>
      <c r="I27" s="160"/>
      <c r="J27" s="182">
        <v>66653845.467379861</v>
      </c>
      <c r="K27" s="182">
        <v>56446469.044</v>
      </c>
      <c r="L27" s="181">
        <f>J27-K27</f>
        <v>10207376.423379861</v>
      </c>
      <c r="M27" s="171">
        <v>9.5E-4</v>
      </c>
      <c r="N27" s="160">
        <f>+M27*L27</f>
        <v>9697.0076022108678</v>
      </c>
      <c r="O27" s="160"/>
      <c r="P27" s="160">
        <f>H27+N27</f>
        <v>2459.2005932538623</v>
      </c>
      <c r="Q27" s="158"/>
      <c r="S27" s="161"/>
    </row>
    <row r="28" spans="1:19" x14ac:dyDescent="0.2">
      <c r="A28" s="200">
        <f t="shared" si="0"/>
        <v>21</v>
      </c>
      <c r="B28" s="177" t="s">
        <v>55</v>
      </c>
      <c r="C28" s="178">
        <v>49</v>
      </c>
      <c r="D28" s="183">
        <v>163850173</v>
      </c>
      <c r="E28" s="183">
        <v>212693012.52699998</v>
      </c>
      <c r="F28" s="181">
        <f>D28-E28</f>
        <v>-48842839.52699998</v>
      </c>
      <c r="G28" s="174">
        <v>1.4490000000000002E-3</v>
      </c>
      <c r="H28" s="160">
        <f>+G28*F28</f>
        <v>-70773.274474622987</v>
      </c>
      <c r="I28" s="160"/>
      <c r="J28" s="182">
        <v>357127155.91965479</v>
      </c>
      <c r="K28" s="182">
        <v>330414036.352</v>
      </c>
      <c r="L28" s="181">
        <f>J28-K28</f>
        <v>26713119.567654788</v>
      </c>
      <c r="M28" s="171">
        <v>9.5E-4</v>
      </c>
      <c r="N28" s="160">
        <f>+M28*L28</f>
        <v>25377.463589272051</v>
      </c>
      <c r="O28" s="160"/>
      <c r="P28" s="160">
        <f>H28+N28</f>
        <v>-45395.810885350933</v>
      </c>
      <c r="Q28" s="158"/>
      <c r="S28" s="161"/>
    </row>
    <row r="29" spans="1:19" x14ac:dyDescent="0.2">
      <c r="A29" s="200">
        <f t="shared" si="0"/>
        <v>22</v>
      </c>
      <c r="B29" s="177" t="s">
        <v>60</v>
      </c>
      <c r="C29" s="178"/>
      <c r="D29" s="172">
        <f>SUM(D27:D28)</f>
        <v>190714322</v>
      </c>
      <c r="E29" s="172">
        <f>SUM(E27:E28)</f>
        <v>244552197.41999999</v>
      </c>
      <c r="F29" s="172">
        <f>SUM(F27:F28)</f>
        <v>-53837875.419999987</v>
      </c>
      <c r="G29" s="165"/>
      <c r="H29" s="180">
        <f>SUM(H27:H28)</f>
        <v>-78011.081483579997</v>
      </c>
      <c r="I29" s="163"/>
      <c r="J29" s="172">
        <f>SUM(J27:J28)</f>
        <v>423781001.38703465</v>
      </c>
      <c r="K29" s="172">
        <f>SUM(K27:K28)</f>
        <v>386860505.39600003</v>
      </c>
      <c r="L29" s="172">
        <f>SUM(L27:L28)</f>
        <v>36920495.991034649</v>
      </c>
      <c r="M29" s="165"/>
      <c r="N29" s="180">
        <f>SUM(N27:N28)</f>
        <v>35074.471191482917</v>
      </c>
      <c r="O29" s="163"/>
      <c r="P29" s="180">
        <f>SUM(P27:P28)</f>
        <v>-42936.610292097073</v>
      </c>
      <c r="Q29" s="158"/>
      <c r="S29" s="161"/>
    </row>
    <row r="30" spans="1:19" x14ac:dyDescent="0.2">
      <c r="A30" s="200">
        <f t="shared" si="0"/>
        <v>23</v>
      </c>
      <c r="B30" s="179"/>
      <c r="C30" s="178"/>
      <c r="D30" s="169"/>
      <c r="E30" s="169"/>
      <c r="F30" s="169"/>
      <c r="G30" s="165"/>
      <c r="H30" s="168"/>
      <c r="I30" s="168"/>
      <c r="J30" s="169"/>
      <c r="K30" s="169"/>
      <c r="L30" s="169"/>
      <c r="M30" s="165"/>
      <c r="N30" s="168"/>
      <c r="O30" s="168"/>
      <c r="P30" s="168"/>
      <c r="Q30" s="158"/>
      <c r="S30" s="161"/>
    </row>
    <row r="31" spans="1:19" x14ac:dyDescent="0.2">
      <c r="A31" s="200">
        <f t="shared" si="0"/>
        <v>24</v>
      </c>
      <c r="B31" s="167" t="s">
        <v>61</v>
      </c>
      <c r="C31" s="178" t="s">
        <v>62</v>
      </c>
      <c r="D31" s="175">
        <v>20821087</v>
      </c>
      <c r="E31" s="175">
        <v>21935622.6525</v>
      </c>
      <c r="F31" s="172">
        <f>D31-E31</f>
        <v>-1114535.6524999999</v>
      </c>
      <c r="G31" s="174">
        <v>8.2880000000000002E-3</v>
      </c>
      <c r="H31" s="160">
        <f>+G31*F31</f>
        <v>-9237.2714879199993</v>
      </c>
      <c r="I31" s="160"/>
      <c r="J31" s="173">
        <v>45096979.997172177</v>
      </c>
      <c r="K31" s="173">
        <v>43475757.646499999</v>
      </c>
      <c r="L31" s="172">
        <f>J31-K31</f>
        <v>1621222.350672178</v>
      </c>
      <c r="M31" s="171">
        <v>8.5870000000000009E-3</v>
      </c>
      <c r="N31" s="160">
        <f>+M31*L31</f>
        <v>13921.436325221994</v>
      </c>
      <c r="O31" s="160"/>
      <c r="P31" s="160">
        <f>H31+N31</f>
        <v>4684.1648373019943</v>
      </c>
      <c r="Q31" s="158"/>
      <c r="S31" s="161"/>
    </row>
    <row r="32" spans="1:19" x14ac:dyDescent="0.2">
      <c r="A32" s="200">
        <f t="shared" si="0"/>
        <v>25</v>
      </c>
      <c r="B32" s="167"/>
      <c r="C32" s="178"/>
      <c r="D32" s="169"/>
      <c r="E32" s="169"/>
      <c r="F32" s="169"/>
      <c r="G32" s="165"/>
      <c r="H32" s="168"/>
      <c r="I32" s="168"/>
      <c r="J32" s="169"/>
      <c r="K32" s="169"/>
      <c r="L32" s="169"/>
      <c r="M32" s="165"/>
      <c r="N32" s="168"/>
      <c r="O32" s="168"/>
      <c r="P32" s="168"/>
      <c r="Q32" s="158"/>
      <c r="S32" s="161"/>
    </row>
    <row r="33" spans="1:19" x14ac:dyDescent="0.2">
      <c r="A33" s="200">
        <f t="shared" si="0"/>
        <v>26</v>
      </c>
      <c r="B33" s="177" t="s">
        <v>63</v>
      </c>
      <c r="C33" s="176" t="s">
        <v>142</v>
      </c>
      <c r="D33" s="175">
        <v>629851784</v>
      </c>
      <c r="E33" s="175">
        <v>609933996.48300004</v>
      </c>
      <c r="F33" s="172">
        <f>D33-E33</f>
        <v>19917787.51699996</v>
      </c>
      <c r="G33" s="174">
        <v>1.9000000000000001E-5</v>
      </c>
      <c r="H33" s="160">
        <f>+G33*F33</f>
        <v>378.43796282299928</v>
      </c>
      <c r="I33" s="160"/>
      <c r="J33" s="173">
        <v>1341337862.877655</v>
      </c>
      <c r="K33" s="173">
        <v>1335160713.8950002</v>
      </c>
      <c r="L33" s="172">
        <f>J33-K33</f>
        <v>6177148.98265481</v>
      </c>
      <c r="M33" s="171">
        <v>1.7E-5</v>
      </c>
      <c r="N33" s="160">
        <f>+M33*L33</f>
        <v>105.01153270513177</v>
      </c>
      <c r="O33" s="160"/>
      <c r="P33" s="160">
        <f>H33+N33</f>
        <v>483.44949552813102</v>
      </c>
      <c r="Q33" s="158"/>
      <c r="S33" s="161"/>
    </row>
    <row r="34" spans="1:19" x14ac:dyDescent="0.2">
      <c r="A34" s="200">
        <f t="shared" si="0"/>
        <v>27</v>
      </c>
      <c r="B34" s="170"/>
      <c r="C34" s="167"/>
      <c r="D34" s="169"/>
      <c r="E34" s="169"/>
      <c r="F34" s="169"/>
      <c r="G34" s="165"/>
      <c r="H34" s="168"/>
      <c r="I34" s="168"/>
      <c r="J34" s="169"/>
      <c r="K34" s="169"/>
      <c r="L34" s="169"/>
      <c r="M34" s="165"/>
      <c r="N34" s="168"/>
      <c r="O34" s="168"/>
      <c r="P34" s="168"/>
      <c r="Q34" s="158"/>
      <c r="S34" s="161"/>
    </row>
    <row r="35" spans="1:19" ht="12" thickBot="1" x14ac:dyDescent="0.25">
      <c r="A35" s="200">
        <f t="shared" si="0"/>
        <v>28</v>
      </c>
      <c r="B35" s="167" t="s">
        <v>64</v>
      </c>
      <c r="C35" s="167"/>
      <c r="D35" s="166">
        <f>SUM(D9,D16,D22,D24,D29,D31,D33)</f>
        <v>8097448734.3809996</v>
      </c>
      <c r="E35" s="166">
        <f>SUM(E9,E16,E22,E24,E29,E31,E33)</f>
        <v>8703161202.1554832</v>
      </c>
      <c r="F35" s="166">
        <f>SUM(F9,F16,F22,F24,F29,F31,F33)</f>
        <v>-605712467.77448344</v>
      </c>
      <c r="G35" s="165"/>
      <c r="H35" s="164">
        <f>SUM(H9,H16,H22,H24,H29,H31,H33)</f>
        <v>-1573259.1676841096</v>
      </c>
      <c r="I35" s="163"/>
      <c r="J35" s="166">
        <f>SUM(J9,J16,J22,J24,J29,J31,J33)</f>
        <v>15073191036.551067</v>
      </c>
      <c r="K35" s="166">
        <f>SUM(K9,K16,K22,K24,K29,K31,K33)</f>
        <v>14733075156.388607</v>
      </c>
      <c r="L35" s="166">
        <f>SUM(L9,L16,L22,L24,L29,L31,L33)</f>
        <v>340115880.16245979</v>
      </c>
      <c r="M35" s="165"/>
      <c r="N35" s="164">
        <f>SUM(N9,N16,N22,N24,N29,N31,N33)</f>
        <v>772852.18447244773</v>
      </c>
      <c r="O35" s="163"/>
      <c r="P35" s="162">
        <f>SUM(P9,P16,P22,P24,P29,P31,P33)</f>
        <v>-800406.98321166215</v>
      </c>
      <c r="Q35" s="158"/>
      <c r="S35" s="161"/>
    </row>
    <row r="36" spans="1:19" ht="12" thickTop="1" x14ac:dyDescent="0.2">
      <c r="D36" s="161"/>
      <c r="E36" s="159"/>
      <c r="F36" s="160"/>
    </row>
    <row r="37" spans="1:19" x14ac:dyDescent="0.2">
      <c r="D37" s="234"/>
      <c r="E37" s="234"/>
      <c r="F37" s="235"/>
      <c r="G37" s="159"/>
      <c r="H37" s="159"/>
      <c r="I37" s="159"/>
      <c r="J37" s="236"/>
      <c r="K37" s="237"/>
      <c r="L37" s="159"/>
      <c r="M37" s="159"/>
    </row>
    <row r="38" spans="1:19" x14ac:dyDescent="0.2">
      <c r="E38" s="159"/>
    </row>
    <row r="39" spans="1:19" x14ac:dyDescent="0.2">
      <c r="E39" s="159"/>
      <c r="F39" s="158"/>
    </row>
    <row r="40" spans="1:19" x14ac:dyDescent="0.2">
      <c r="E40" s="159"/>
      <c r="F40" s="158"/>
    </row>
    <row r="41" spans="1:19" x14ac:dyDescent="0.2">
      <c r="E41" s="159"/>
      <c r="F41" s="158"/>
    </row>
  </sheetData>
  <mergeCells count="3">
    <mergeCell ref="A1:P1"/>
    <mergeCell ref="A2:P2"/>
    <mergeCell ref="A3:P3"/>
  </mergeCells>
  <printOptions horizontalCentered="1"/>
  <pageMargins left="0.25" right="0.25" top="0.84" bottom="0.75" header="0.3" footer="0.3"/>
  <pageSetup paperSize="17" scale="75" orientation="landscape" cellComments="asDisplayed" r:id="rId1"/>
  <headerFooter alignWithMargins="0">
    <oddHeader>&amp;RAdvice No. 2015-xx
Electric Schedule 140 Rate Design Workpapers
Page &amp;P of &amp;N</oddHeader>
    <oddFooter>&amp;L&amp;F
&amp;A&amp;R&amp;D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2024-03-25T07:00:00+00:00</OpenedDate>
    <SignificantOrder xmlns="dc463f71-b30c-4ab2-9473-d307f9d35888">false</SignificantOrder>
    <Date1 xmlns="dc463f71-b30c-4ab2-9473-d307f9d35888">2024-03-25T07:00:00+00:00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240200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4C6CDD429A71C44979B208878E6EDD3" ma:contentTypeVersion="7" ma:contentTypeDescription="" ma:contentTypeScope="" ma:versionID="c9078185fcd5754aae5b4f459e5f30f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5C9434-1F96-462C-83CC-2EC38FF82287}">
  <ds:schemaRefs>
    <ds:schemaRef ds:uri="http://schemas.microsoft.com/office/2006/documentManagement/types"/>
    <ds:schemaRef ds:uri="http://purl.org/dc/elements/1.1/"/>
    <ds:schemaRef ds:uri="http://schemas.microsoft.com/sharepoint/v3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dc463f71-b30c-4ab2-9473-d307f9d35888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AD51181-74F2-40C1-9AAD-D6FA2B8D14F2}"/>
</file>

<file path=customXml/itemProps3.xml><?xml version="1.0" encoding="utf-8"?>
<ds:datastoreItem xmlns:ds="http://schemas.openxmlformats.org/officeDocument/2006/customXml" ds:itemID="{73F7EFB2-1B15-47C5-8326-CCBDFAB91C6D}"/>
</file>

<file path=customXml/itemProps4.xml><?xml version="1.0" encoding="utf-8"?>
<ds:datastoreItem xmlns:ds="http://schemas.openxmlformats.org/officeDocument/2006/customXml" ds:itemID="{F0FA6530-20FC-425A-8827-24DE4AD994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2024 FINAL Rev Req</vt:lpstr>
      <vt:lpstr>Support</vt:lpstr>
      <vt:lpstr>2023 FINAL Rev Req</vt:lpstr>
      <vt:lpstr>Summary for Tracker Filing</vt:lpstr>
      <vt:lpstr>Electric- Tracker 3-11-24</vt:lpstr>
      <vt:lpstr>Gas-Tracker filing 3-11-24</vt:lpstr>
      <vt:lpstr>Electric summary</vt:lpstr>
      <vt:lpstr>Gas summary</vt:lpstr>
      <vt:lpstr>Elec Load Variance</vt:lpstr>
      <vt:lpstr>Gas Load Variance</vt:lpstr>
      <vt:lpstr>141Z residual transfer</vt:lpstr>
      <vt:lpstr>2023 Actual Payment </vt:lpstr>
      <vt:lpstr>CNG Property Tax</vt:lpstr>
      <vt:lpstr>E Conversion Factor</vt:lpstr>
      <vt:lpstr>G Conversion Factor</vt:lpstr>
      <vt:lpstr>'Electric- Tracker 3-11-24'!Print_Area</vt:lpstr>
      <vt:lpstr>'Gas Load Variance'!Print_Area</vt:lpstr>
      <vt:lpstr>'Gas-Tracker filing 3-11-24'!Print_Area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Pavel, Tyler</cp:lastModifiedBy>
  <cp:lastPrinted>2019-02-28T17:48:04Z</cp:lastPrinted>
  <dcterms:created xsi:type="dcterms:W3CDTF">2015-03-05T18:56:14Z</dcterms:created>
  <dcterms:modified xsi:type="dcterms:W3CDTF">2024-03-12T01:36:02Z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0x0101006E56B4D1795A2E4DB2F0B01679ED314A0014C6CDD429A71C44979B208878E6EDD3</vt:lpwstr>
  </property>
  <property fmtid="{D5CDD505-2E9C-101B-9397-08002B2CF9AE}" pid="3" name="CustomUiType">
    <vt:lpwstr>2</vt:lpwstr>
  </property>
</Properties>
</file>