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06"/>
  <workbookPr codeName="ThisWorkbook"/>
  <mc:AlternateContent xmlns:mc="http://schemas.openxmlformats.org/markup-compatibility/2006">
    <mc:Choice Requires="x15">
      <x15ac:absPath xmlns:x15ac="http://schemas.microsoft.com/office/spreadsheetml/2010/11/ac" url="G:\Allocation and 3 factor formula\Statement of Operations\2023\Q4\"/>
    </mc:Choice>
  </mc:AlternateContent>
  <xr:revisionPtr revIDLastSave="13" documentId="13_ncr:1_{22EE7AEF-6A66-4D33-B94E-F54C0A3AE737}" xr6:coauthVersionLast="47" xr6:coauthVersionMax="47" xr10:uidLastSave="{1E0624F1-C5CA-485A-BA66-80F36E2D7FDD}"/>
  <bookViews>
    <workbookView xWindow="-28920" yWindow="-2550" windowWidth="29040" windowHeight="15840" tabRatio="760" firstSheet="4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Here'!$A$1:$H$146</definedName>
    <definedName name="_xlnm.Print_Area" localSheetId="1">'WA - Month 1'!$A$1:$E$57</definedName>
    <definedName name="_xlnm.Print_Area" localSheetId="2">'WA - Month 2'!$A$1:$E$57</definedName>
    <definedName name="_xlnm.Print_Area" localSheetId="3">'WA Month 3'!$A$1:$E$57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Here'!$D$19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21" l="1"/>
  <c r="D43" i="121"/>
  <c r="E23" i="121"/>
  <c r="D23" i="121"/>
  <c r="E43" i="122"/>
  <c r="E23" i="122"/>
  <c r="D43" i="123"/>
  <c r="E23" i="123"/>
  <c r="D23" i="123"/>
  <c r="D43" i="122"/>
  <c r="E11" i="122" l="1"/>
  <c r="D11" i="122"/>
  <c r="E130" i="125"/>
  <c r="D24" i="121" s="1"/>
  <c r="E20" i="125"/>
  <c r="F20" i="125"/>
  <c r="G20" i="125"/>
  <c r="H20" i="125"/>
  <c r="D10" i="125"/>
  <c r="E10" i="125"/>
  <c r="E21" i="125" s="1"/>
  <c r="F10" i="125"/>
  <c r="G10" i="125"/>
  <c r="H10" i="125"/>
  <c r="D144" i="125"/>
  <c r="E144" i="125"/>
  <c r="F144" i="125"/>
  <c r="G144" i="125"/>
  <c r="H144" i="125"/>
  <c r="E26" i="121" s="1"/>
  <c r="D130" i="125"/>
  <c r="F130" i="125"/>
  <c r="G130" i="125"/>
  <c r="H130" i="125"/>
  <c r="D116" i="125"/>
  <c r="D118" i="125" s="1"/>
  <c r="D23" i="122" s="1"/>
  <c r="E116" i="125"/>
  <c r="E118" i="125" s="1"/>
  <c r="F116" i="125"/>
  <c r="F118" i="125" s="1"/>
  <c r="G116" i="125"/>
  <c r="G118" i="125" s="1"/>
  <c r="H116" i="125"/>
  <c r="H118" i="125" s="1"/>
  <c r="D102" i="125"/>
  <c r="E102" i="125"/>
  <c r="F102" i="125"/>
  <c r="G102" i="125"/>
  <c r="H102" i="125"/>
  <c r="D95" i="125"/>
  <c r="E95" i="125"/>
  <c r="F95" i="125"/>
  <c r="G95" i="125"/>
  <c r="H95" i="125"/>
  <c r="D88" i="125"/>
  <c r="E88" i="125"/>
  <c r="F88" i="125"/>
  <c r="G88" i="125"/>
  <c r="H88" i="125"/>
  <c r="D79" i="125"/>
  <c r="E79" i="125"/>
  <c r="F79" i="125"/>
  <c r="G79" i="125"/>
  <c r="H79" i="125"/>
  <c r="D66" i="125"/>
  <c r="E66" i="125"/>
  <c r="F66" i="125"/>
  <c r="G66" i="125"/>
  <c r="H66" i="125"/>
  <c r="E44" i="125"/>
  <c r="F44" i="125"/>
  <c r="G44" i="125"/>
  <c r="H44" i="125"/>
  <c r="D44" i="125"/>
  <c r="D30" i="125"/>
  <c r="E30" i="125"/>
  <c r="D20" i="125"/>
  <c r="D21" i="125" s="1"/>
  <c r="D80" i="125" l="1"/>
  <c r="D120" i="125" s="1"/>
  <c r="D145" i="125" s="1"/>
  <c r="G80" i="125"/>
  <c r="G120" i="125" s="1"/>
  <c r="G145" i="125" s="1"/>
  <c r="E80" i="125"/>
  <c r="E120" i="125" s="1"/>
  <c r="E145" i="125" s="1"/>
  <c r="G21" i="125"/>
  <c r="F80" i="125"/>
  <c r="F120" i="125"/>
  <c r="F145" i="125" s="1"/>
  <c r="D47" i="125"/>
  <c r="F21" i="125"/>
  <c r="H80" i="125"/>
  <c r="H120" i="125" s="1"/>
  <c r="H145" i="125" s="1"/>
  <c r="H21" i="125"/>
  <c r="E47" i="125"/>
  <c r="D146" i="125" l="1"/>
  <c r="E146" i="125"/>
  <c r="F30" i="125" l="1"/>
  <c r="F47" i="125" s="1"/>
  <c r="F146" i="125" s="1"/>
  <c r="G30" i="125"/>
  <c r="G47" i="125" s="1"/>
  <c r="G146" i="125" s="1"/>
  <c r="H30" i="125"/>
  <c r="H47" i="125" s="1"/>
  <c r="H146" i="125" s="1"/>
  <c r="C144" i="125"/>
  <c r="C130" i="125"/>
  <c r="C116" i="125"/>
  <c r="C118" i="125" s="1"/>
  <c r="C102" i="125"/>
  <c r="C95" i="125"/>
  <c r="D21" i="123" s="1"/>
  <c r="C88" i="125"/>
  <c r="C79" i="125"/>
  <c r="C66" i="125"/>
  <c r="C30" i="125"/>
  <c r="C20" i="125"/>
  <c r="C10" i="125"/>
  <c r="C21" i="125" l="1"/>
  <c r="C47" i="125" s="1"/>
  <c r="C80" i="125"/>
  <c r="C120" i="125" s="1"/>
  <c r="C145" i="125" s="1"/>
  <c r="E37" i="122"/>
  <c r="E37" i="121"/>
  <c r="E46" i="121"/>
  <c r="E42" i="121"/>
  <c r="E38" i="121"/>
  <c r="D46" i="121"/>
  <c r="D42" i="121"/>
  <c r="D38" i="121"/>
  <c r="D37" i="121"/>
  <c r="E25" i="121"/>
  <c r="E24" i="121"/>
  <c r="E22" i="121"/>
  <c r="E21" i="121"/>
  <c r="E20" i="121"/>
  <c r="E19" i="121"/>
  <c r="E18" i="121"/>
  <c r="E15" i="121"/>
  <c r="E14" i="121"/>
  <c r="E12" i="121"/>
  <c r="E11" i="121"/>
  <c r="E10" i="121"/>
  <c r="D26" i="121"/>
  <c r="D25" i="121"/>
  <c r="D22" i="121"/>
  <c r="D21" i="121"/>
  <c r="D20" i="121"/>
  <c r="D19" i="121"/>
  <c r="D18" i="121"/>
  <c r="D15" i="121"/>
  <c r="D14" i="121"/>
  <c r="D12" i="121"/>
  <c r="D11" i="121"/>
  <c r="D10" i="121"/>
  <c r="E26" i="122"/>
  <c r="E25" i="122"/>
  <c r="E24" i="122"/>
  <c r="E22" i="122"/>
  <c r="E21" i="122"/>
  <c r="E20" i="122"/>
  <c r="E19" i="122"/>
  <c r="E18" i="122"/>
  <c r="E15" i="122"/>
  <c r="E14" i="122"/>
  <c r="E12" i="122"/>
  <c r="E10" i="122"/>
  <c r="E46" i="122"/>
  <c r="E42" i="122"/>
  <c r="E38" i="122"/>
  <c r="D46" i="122"/>
  <c r="D42" i="122"/>
  <c r="D38" i="122"/>
  <c r="D37" i="122"/>
  <c r="D26" i="122"/>
  <c r="D25" i="122"/>
  <c r="D24" i="122"/>
  <c r="D22" i="122"/>
  <c r="D21" i="122"/>
  <c r="D20" i="122"/>
  <c r="D19" i="122"/>
  <c r="D18" i="122"/>
  <c r="D15" i="122"/>
  <c r="D14" i="122"/>
  <c r="D12" i="122"/>
  <c r="D10" i="122"/>
  <c r="E46" i="123"/>
  <c r="E43" i="123"/>
  <c r="E42" i="123"/>
  <c r="E38" i="123"/>
  <c r="E37" i="123"/>
  <c r="D46" i="123"/>
  <c r="D42" i="123"/>
  <c r="D38" i="123"/>
  <c r="D37" i="123"/>
  <c r="E26" i="123"/>
  <c r="E25" i="123"/>
  <c r="E24" i="123"/>
  <c r="E22" i="123"/>
  <c r="E21" i="123"/>
  <c r="E20" i="123"/>
  <c r="E19" i="123"/>
  <c r="E18" i="123"/>
  <c r="E15" i="123"/>
  <c r="E14" i="123"/>
  <c r="E12" i="123"/>
  <c r="E11" i="123"/>
  <c r="E10" i="123"/>
  <c r="D26" i="123"/>
  <c r="D25" i="123"/>
  <c r="D24" i="123"/>
  <c r="D22" i="123"/>
  <c r="D20" i="123"/>
  <c r="D19" i="123"/>
  <c r="D18" i="123"/>
  <c r="D15" i="123"/>
  <c r="D14" i="123"/>
  <c r="D12" i="123"/>
  <c r="D10" i="123"/>
  <c r="D11" i="123"/>
  <c r="D39" i="123" l="1"/>
  <c r="C146" i="125"/>
  <c r="D44" i="123"/>
  <c r="D47" i="123" s="1"/>
  <c r="D30" i="123" s="1"/>
  <c r="E39" i="122"/>
  <c r="D13" i="121"/>
  <c r="D16" i="121" s="1"/>
  <c r="E13" i="121"/>
  <c r="E16" i="121" s="1"/>
  <c r="K26" i="127"/>
  <c r="D8" i="127"/>
  <c r="C8" i="127"/>
  <c r="C11" i="127" s="1"/>
  <c r="B3" i="125" l="1"/>
  <c r="D7" i="124" s="1"/>
  <c r="L19" i="127" l="1"/>
  <c r="M19" i="127"/>
  <c r="K19" i="127"/>
  <c r="L4" i="127"/>
  <c r="M4" i="127"/>
  <c r="K4" i="127"/>
  <c r="D39" i="122" l="1"/>
  <c r="D44" i="122" s="1"/>
  <c r="D47" i="122" s="1"/>
  <c r="D30" i="122" s="1"/>
  <c r="D39" i="121"/>
  <c r="D44" i="121" s="1"/>
  <c r="D47" i="121" s="1"/>
  <c r="L26" i="127"/>
  <c r="M26" i="127"/>
  <c r="D12" i="124" l="1"/>
  <c r="C13" i="127" l="1"/>
  <c r="E21" i="127" l="1"/>
  <c r="E24" i="127" s="1"/>
  <c r="E26" i="127" s="1"/>
  <c r="E8" i="127"/>
  <c r="E11" i="127" s="1"/>
  <c r="E13" i="127" s="1"/>
  <c r="C21" i="127"/>
  <c r="C24" i="127" s="1"/>
  <c r="C26" i="127" s="1"/>
  <c r="D21" i="127"/>
  <c r="D24" i="127" s="1"/>
  <c r="D26" i="127" s="1"/>
  <c r="D11" i="127"/>
  <c r="D13" i="127" s="1"/>
  <c r="D27" i="124" l="1"/>
  <c r="D26" i="124"/>
  <c r="D25" i="124"/>
  <c r="D24" i="124"/>
  <c r="D23" i="124"/>
  <c r="C27" i="124"/>
  <c r="C26" i="124"/>
  <c r="C25" i="124"/>
  <c r="C24" i="124"/>
  <c r="C23" i="124"/>
  <c r="B27" i="124"/>
  <c r="B26" i="124"/>
  <c r="B25" i="124"/>
  <c r="B24" i="124"/>
  <c r="B23" i="124"/>
  <c r="H13" i="124"/>
  <c r="H12" i="124"/>
  <c r="H11" i="124"/>
  <c r="H10" i="124"/>
  <c r="H9" i="124"/>
  <c r="G13" i="124"/>
  <c r="G12" i="124"/>
  <c r="G11" i="124"/>
  <c r="G10" i="124"/>
  <c r="G9" i="124"/>
  <c r="F13" i="124"/>
  <c r="F12" i="124"/>
  <c r="F11" i="124"/>
  <c r="F10" i="124"/>
  <c r="F9" i="124"/>
  <c r="D13" i="124"/>
  <c r="D11" i="124"/>
  <c r="D10" i="124"/>
  <c r="D9" i="124"/>
  <c r="C13" i="124"/>
  <c r="C12" i="124"/>
  <c r="C11" i="124"/>
  <c r="C10" i="124"/>
  <c r="C9" i="124"/>
  <c r="B13" i="124"/>
  <c r="B12" i="124"/>
  <c r="B11" i="124"/>
  <c r="B10" i="124"/>
  <c r="B9" i="124"/>
  <c r="H7" i="124"/>
  <c r="C28" i="124" l="1"/>
  <c r="D28" i="124"/>
  <c r="B28" i="124"/>
  <c r="H14" i="124"/>
  <c r="F14" i="124"/>
  <c r="B14" i="124"/>
  <c r="D14" i="124"/>
  <c r="C14" i="124"/>
  <c r="D21" i="124"/>
  <c r="G14" i="124"/>
  <c r="D8" i="124" l="1"/>
  <c r="A5" i="121"/>
  <c r="A5" i="122"/>
  <c r="A5" i="123"/>
  <c r="C7" i="124" l="1"/>
  <c r="B7" i="124" s="1"/>
  <c r="E13" i="123"/>
  <c r="E16" i="123" s="1"/>
  <c r="E39" i="121"/>
  <c r="E44" i="121" s="1"/>
  <c r="E47" i="121" s="1"/>
  <c r="E30" i="121" s="1"/>
  <c r="E44" i="122"/>
  <c r="E47" i="122" s="1"/>
  <c r="E30" i="122" s="1"/>
  <c r="E39" i="123"/>
  <c r="E44" i="123" s="1"/>
  <c r="E47" i="123" s="1"/>
  <c r="E30" i="123" s="1"/>
  <c r="D30" i="121" l="1"/>
  <c r="G7" i="124"/>
  <c r="C21" i="124"/>
  <c r="E27" i="121"/>
  <c r="E27" i="122"/>
  <c r="E13" i="122"/>
  <c r="E16" i="122" s="1"/>
  <c r="D27" i="122"/>
  <c r="D13" i="122"/>
  <c r="D16" i="122" s="1"/>
  <c r="E27" i="123"/>
  <c r="E28" i="123" s="1"/>
  <c r="E32" i="123" s="1"/>
  <c r="D27" i="123"/>
  <c r="D13" i="123"/>
  <c r="D16" i="123" s="1"/>
  <c r="B21" i="124" l="1"/>
  <c r="F7" i="124"/>
  <c r="E28" i="121"/>
  <c r="E32" i="121" s="1"/>
  <c r="D27" i="121"/>
  <c r="D28" i="121" s="1"/>
  <c r="D32" i="121" s="1"/>
  <c r="E28" i="122"/>
  <c r="E32" i="122" s="1"/>
  <c r="D28" i="122"/>
  <c r="D32" i="122" s="1"/>
  <c r="D28" i="123"/>
  <c r="D32" i="123" s="1"/>
  <c r="C8" i="124"/>
  <c r="B8" i="124" s="1"/>
  <c r="F8" i="124" l="1"/>
  <c r="G8" i="124"/>
  <c r="H8" i="124"/>
  <c r="C22" i="124" l="1"/>
  <c r="D22" i="124"/>
  <c r="B22" i="124"/>
</calcChain>
</file>

<file path=xl/sharedStrings.xml><?xml version="1.0" encoding="utf-8"?>
<sst xmlns="http://schemas.openxmlformats.org/spreadsheetml/2006/main" count="398" uniqueCount="280">
  <si>
    <t>CASCADE NATURAL GAS CORPORATION</t>
  </si>
  <si>
    <t>Washington Statement of Operations</t>
  </si>
  <si>
    <t>QUARTERLY STATISTICAL INFORMATION</t>
  </si>
  <si>
    <t>THERM SALES</t>
  </si>
  <si>
    <t>Monthly</t>
  </si>
  <si>
    <t>12 Months Ending</t>
  </si>
  <si>
    <t>Residential</t>
  </si>
  <si>
    <t>Commercial</t>
  </si>
  <si>
    <t>Industrial Firm</t>
  </si>
  <si>
    <t>Core Interruptible</t>
  </si>
  <si>
    <t>Noncore</t>
  </si>
  <si>
    <t>TOTAL WASHINGTON</t>
  </si>
  <si>
    <t>AVERAGE CUSTOMERS</t>
  </si>
  <si>
    <t>Cascade Natural Gas Corporation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</si>
  <si>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</si>
  <si>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</si>
  <si>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</si>
  <si>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</si>
  <si>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</si>
  <si>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</si>
  <si>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</si>
  <si>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</si>
  <si>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</si>
  <si>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</si>
  <si>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</si>
  <si>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</si>
  <si>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</si>
  <si>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Production</t>
  </si>
  <si>
    <t>Distribution</t>
  </si>
  <si>
    <t>Customer Accounts</t>
  </si>
  <si>
    <t>Customer Service &amp; Informational</t>
  </si>
  <si>
    <t>Sales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</si>
  <si>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</si>
  <si>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</si>
  <si>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</si>
  <si>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</si>
  <si>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</si>
  <si>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</si>
  <si>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</si>
  <si>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</si>
  <si>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SCHEDULE OF RATE BASE</t>
  </si>
  <si>
    <t>Utility Plant In Service</t>
  </si>
  <si>
    <t>Accumulated Depreciation</t>
  </si>
  <si>
    <t>Net Utility Plant</t>
  </si>
  <si>
    <t>Other:</t>
  </si>
  <si>
    <t>Customer Advances for Construction</t>
  </si>
  <si>
    <t>Accumulated Deferred Income Taxes</t>
  </si>
  <si>
    <t>Subtotal</t>
  </si>
  <si>
    <t>Working Capital</t>
  </si>
  <si>
    <t>TOTAL RATE BASE</t>
  </si>
  <si>
    <t>All rate base items in the "Twelve Months" column represent average of monthly average balances.</t>
  </si>
  <si>
    <t>Quarter Ending:</t>
  </si>
  <si>
    <t>Month Ended</t>
  </si>
  <si>
    <t>12 MONTH Ended</t>
  </si>
  <si>
    <t>STATE ALLOCATION OF INCOME &amp; EXPENSES</t>
  </si>
  <si>
    <t>November 1, 2022 THROUGH       October 31, 2023</t>
  </si>
  <si>
    <t>December 1, 2022 THROUGH          November 31, 2023</t>
  </si>
  <si>
    <t>January 1, 2023 THROUGH         December 31, 2023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</si>
  <si>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</si>
  <si>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</si>
  <si>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</si>
  <si>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</si>
  <si>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</si>
  <si>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</si>
  <si>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</si>
  <si>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</si>
  <si>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</si>
  <si>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</si>
  <si>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</si>
  <si>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</si>
  <si>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</si>
  <si>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</si>
  <si>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</si>
  <si>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</si>
  <si>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</si>
  <si>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</si>
  <si>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</si>
  <si>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>Provision for Rate Refund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</si>
  <si>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</si>
  <si>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</si>
  <si>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</si>
  <si>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</si>
  <si>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</si>
  <si>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</si>
  <si>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</si>
  <si>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</si>
  <si>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</si>
  <si>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</si>
  <si>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</si>
  <si>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</si>
  <si>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</si>
  <si>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</si>
  <si>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</si>
  <si>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</si>
  <si>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</si>
  <si>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</si>
  <si>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</si>
  <si>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</si>
  <si>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</si>
  <si>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</si>
  <si>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</si>
  <si>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</si>
  <si>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</si>
  <si>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</si>
  <si>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</si>
  <si>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</si>
  <si>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</si>
  <si>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</si>
  <si>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</si>
  <si>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</si>
  <si>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</si>
  <si>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</si>
  <si>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</si>
  <si>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</si>
  <si>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</si>
  <si>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</si>
  <si>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</si>
  <si>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</si>
  <si>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</si>
  <si>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</si>
  <si>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PRODUCTION EXPENSES</t>
  </si>
  <si>
    <t>Other Gas Supply Expenses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</si>
  <si>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</si>
  <si>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</si>
  <si>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</si>
  <si>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</si>
  <si>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</si>
  <si>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</si>
  <si>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</si>
  <si>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</si>
  <si>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</si>
  <si>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</si>
  <si>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</si>
  <si>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</si>
  <si>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</si>
  <si>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</si>
  <si>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Maintenance of Mains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</si>
  <si>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</si>
  <si>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</si>
  <si>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</si>
  <si>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</si>
  <si>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</si>
  <si>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</si>
  <si>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</si>
  <si>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</si>
  <si>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</si>
  <si>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</si>
  <si>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>Subtotal Operations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</si>
  <si>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</si>
  <si>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</si>
  <si>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</si>
  <si>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</si>
  <si>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</si>
  <si>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</si>
  <si>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</si>
  <si>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</si>
  <si>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</si>
  <si>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</si>
  <si>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</si>
  <si>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</si>
  <si>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</si>
  <si>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</si>
  <si>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</si>
  <si>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</si>
  <si>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</si>
  <si>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</si>
  <si>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>Subtotal Maintenance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</si>
  <si>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</si>
  <si>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</si>
  <si>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</si>
  <si>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</si>
  <si>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</si>
  <si>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</si>
  <si>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</si>
  <si>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</si>
  <si>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</si>
  <si>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</si>
  <si>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</si>
  <si>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</si>
  <si>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</si>
  <si>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</si>
  <si>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</si>
  <si>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</si>
  <si>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</si>
  <si>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</si>
  <si>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</si>
  <si>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</si>
  <si>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</si>
  <si>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</si>
  <si>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</si>
  <si>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</si>
  <si>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</si>
  <si>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</si>
  <si>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</si>
  <si>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</si>
  <si>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</si>
  <si>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</si>
  <si>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</si>
  <si>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</si>
  <si>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</si>
  <si>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</si>
  <si>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</si>
  <si>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</si>
  <si>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</si>
  <si>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</si>
  <si>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</si>
  <si>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</si>
  <si>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</si>
  <si>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</si>
  <si>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</si>
  <si>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</si>
  <si>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</si>
  <si>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</si>
  <si>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</si>
  <si>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</si>
  <si>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</si>
  <si>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</si>
  <si>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</si>
  <si>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</si>
  <si>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</si>
  <si>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</si>
  <si>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</si>
  <si>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</si>
  <si>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 xml:space="preserve">       TOTAL O&amp;M EXPENSES (Excluding Gas Cost and Production Cost and Revenue Taxes)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</si>
  <si>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</si>
  <si>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</si>
  <si>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</si>
  <si>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</si>
  <si>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</si>
  <si>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</si>
  <si>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</si>
  <si>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</si>
  <si>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</si>
  <si>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</si>
  <si>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</si>
  <si>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407.3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</si>
  <si>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</si>
  <si>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</si>
  <si>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</si>
  <si>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</si>
  <si>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</si>
  <si>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</si>
  <si>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</si>
  <si>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</si>
  <si>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</si>
  <si>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</si>
  <si>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</si>
  <si>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</si>
  <si>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</si>
  <si>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</si>
  <si>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</si>
  <si>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</si>
  <si>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</si>
  <si>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</si>
  <si>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COPY FROM RATEBASE HERE</t>
  </si>
  <si>
    <t>COPY FROM SALES REPORT HERE</t>
  </si>
  <si>
    <t>STATE OF WASHINGTON - MONTH</t>
  </si>
  <si>
    <t>October</t>
  </si>
  <si>
    <t>November</t>
  </si>
  <si>
    <t>December</t>
  </si>
  <si>
    <t>THERMS</t>
  </si>
  <si>
    <t>UTILITY PLANT IN SERVICE</t>
  </si>
  <si>
    <t>RES</t>
  </si>
  <si>
    <t>ACCUMULATED DEPRECIATION</t>
  </si>
  <si>
    <t>COM</t>
  </si>
  <si>
    <t>NET PLANT IN SERVICE</t>
  </si>
  <si>
    <t>IND</t>
  </si>
  <si>
    <t>CUSTOMER ADVANCES FOR CONST</t>
  </si>
  <si>
    <t>CORE INT</t>
  </si>
  <si>
    <t>DEFERRED INCOME TAX</t>
  </si>
  <si>
    <t>NONCORE</t>
  </si>
  <si>
    <t>SUBTOTAL</t>
  </si>
  <si>
    <t>WORKING CAPITAL</t>
  </si>
  <si>
    <t>12-Month Ending</t>
  </si>
  <si>
    <t>TOTAL MONTHLY RATE BASE</t>
  </si>
  <si>
    <t>STATE OF WASHINGTON - 12 MONTH AVG OF AVGS</t>
  </si>
  <si>
    <t>CUSTOMER COUNTS</t>
  </si>
  <si>
    <t xml:space="preserve"> </t>
  </si>
  <si>
    <t>TOTAL WA 12 MONTH RATE BASE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</si>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</sst>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  <numFmt numFmtId="172" formatCode="&quot;$&quot;#,##0.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2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8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39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11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10" fillId="0" borderId="0">
      <alignment vertical="top"/>
    </xf>
    <xf numFmtId="9" fontId="11" fillId="0" borderId="0" applyFont="0" applyFill="0" applyBorder="0" applyAlignment="0" applyProtection="0"/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7" fillId="0" borderId="0"/>
    <xf numFmtId="49" fontId="7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6" fontId="10" fillId="2" borderId="0">
      <alignment horizontal="right"/>
    </xf>
    <xf numFmtId="0" fontId="16" fillId="3" borderId="0">
      <alignment horizontal="center"/>
    </xf>
    <xf numFmtId="0" fontId="17" fillId="4" borderId="0"/>
    <xf numFmtId="0" fontId="18" fillId="2" borderId="0" applyBorder="0">
      <alignment horizontal="centerContinuous"/>
    </xf>
    <xf numFmtId="0" fontId="19" fillId="4" borderId="0" applyBorder="0">
      <alignment horizontal="centerContinuous"/>
    </xf>
    <xf numFmtId="39" fontId="9" fillId="0" borderId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>
      <alignment vertical="top"/>
    </xf>
    <xf numFmtId="43" fontId="8" fillId="0" borderId="0" applyFon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2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7" fontId="2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39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39" fontId="20" fillId="0" borderId="0"/>
    <xf numFmtId="49" fontId="21" fillId="0" borderId="0"/>
    <xf numFmtId="49" fontId="21" fillId="0" borderId="0"/>
    <xf numFmtId="49" fontId="2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1">
    <xf numFmtId="0" fontId="0" fillId="0" borderId="0" xfId="0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2" fillId="0" borderId="2" xfId="0" applyFont="1" applyBorder="1" applyAlignment="1">
      <alignment horizontal="centerContinuous"/>
    </xf>
    <xf numFmtId="0" fontId="22" fillId="0" borderId="3" xfId="0" applyFont="1" applyBorder="1" applyAlignment="1">
      <alignment horizontal="centerContinuous"/>
    </xf>
    <xf numFmtId="0" fontId="22" fillId="0" borderId="1" xfId="0" applyFont="1" applyBorder="1" applyAlignment="1">
      <alignment horizontal="centerContinuous"/>
    </xf>
    <xf numFmtId="0" fontId="23" fillId="0" borderId="0" xfId="0" applyFont="1" applyAlignment="1">
      <alignment horizontal="center"/>
    </xf>
    <xf numFmtId="37" fontId="23" fillId="0" borderId="0" xfId="0" applyNumberFormat="1" applyFont="1"/>
    <xf numFmtId="164" fontId="23" fillId="0" borderId="21" xfId="1" applyNumberFormat="1" applyFont="1" applyFill="1" applyBorder="1" applyProtection="1"/>
    <xf numFmtId="37" fontId="23" fillId="0" borderId="0" xfId="0" applyNumberFormat="1" applyFont="1" applyAlignment="1">
      <alignment horizontal="right"/>
    </xf>
    <xf numFmtId="164" fontId="23" fillId="0" borderId="0" xfId="0" applyNumberFormat="1" applyFont="1"/>
    <xf numFmtId="0" fontId="23" fillId="0" borderId="0" xfId="0" applyFont="1" applyAlignment="1">
      <alignment horizontal="centerContinuous"/>
    </xf>
    <xf numFmtId="164" fontId="23" fillId="0" borderId="0" xfId="1" applyNumberFormat="1" applyFont="1" applyFill="1" applyAlignment="1">
      <alignment horizontal="centerContinuous"/>
    </xf>
    <xf numFmtId="0" fontId="23" fillId="0" borderId="0" xfId="0" applyFont="1" applyProtection="1">
      <protection locked="0"/>
    </xf>
    <xf numFmtId="164" fontId="23" fillId="0" borderId="0" xfId="1" applyNumberFormat="1" applyFont="1" applyFill="1"/>
    <xf numFmtId="0" fontId="23" fillId="0" borderId="4" xfId="0" applyFont="1" applyBorder="1" applyAlignment="1">
      <alignment wrapText="1"/>
    </xf>
    <xf numFmtId="0" fontId="23" fillId="0" borderId="5" xfId="0" applyFont="1" applyBorder="1" applyAlignment="1">
      <alignment wrapText="1"/>
    </xf>
    <xf numFmtId="164" fontId="23" fillId="0" borderId="6" xfId="1" applyNumberFormat="1" applyFont="1" applyFill="1" applyBorder="1" applyAlignment="1">
      <alignment horizontal="center" wrapText="1"/>
    </xf>
    <xf numFmtId="164" fontId="23" fillId="0" borderId="7" xfId="1" applyNumberFormat="1" applyFont="1" applyFill="1" applyBorder="1" applyAlignment="1">
      <alignment horizontal="center" wrapText="1"/>
    </xf>
    <xf numFmtId="0" fontId="23" fillId="0" borderId="8" xfId="0" applyFont="1" applyBorder="1"/>
    <xf numFmtId="164" fontId="23" fillId="0" borderId="9" xfId="1" applyNumberFormat="1" applyFont="1" applyFill="1" applyBorder="1"/>
    <xf numFmtId="164" fontId="23" fillId="0" borderId="0" xfId="1" applyNumberFormat="1" applyFont="1" applyFill="1" applyBorder="1" applyProtection="1">
      <protection locked="0"/>
    </xf>
    <xf numFmtId="164" fontId="23" fillId="0" borderId="9" xfId="1" applyNumberFormat="1" applyFont="1" applyFill="1" applyBorder="1" applyProtection="1">
      <protection locked="0"/>
    </xf>
    <xf numFmtId="164" fontId="23" fillId="0" borderId="10" xfId="1" applyNumberFormat="1" applyFont="1" applyFill="1" applyBorder="1" applyProtection="1">
      <protection locked="0"/>
    </xf>
    <xf numFmtId="164" fontId="23" fillId="0" borderId="11" xfId="1" applyNumberFormat="1" applyFont="1" applyFill="1" applyBorder="1" applyProtection="1">
      <protection locked="0"/>
    </xf>
    <xf numFmtId="164" fontId="23" fillId="0" borderId="0" xfId="1" applyNumberFormat="1" applyFont="1" applyFill="1" applyBorder="1"/>
    <xf numFmtId="164" fontId="23" fillId="0" borderId="2" xfId="1" applyNumberFormat="1" applyFont="1" applyFill="1" applyBorder="1"/>
    <xf numFmtId="164" fontId="23" fillId="0" borderId="12" xfId="1" applyNumberFormat="1" applyFont="1" applyFill="1" applyBorder="1"/>
    <xf numFmtId="164" fontId="23" fillId="0" borderId="13" xfId="1" applyNumberFormat="1" applyFont="1" applyFill="1" applyBorder="1"/>
    <xf numFmtId="164" fontId="23" fillId="0" borderId="14" xfId="1" applyNumberFormat="1" applyFont="1" applyFill="1" applyBorder="1"/>
    <xf numFmtId="164" fontId="23" fillId="0" borderId="15" xfId="1" applyNumberFormat="1" applyFont="1" applyFill="1" applyBorder="1"/>
    <xf numFmtId="164" fontId="23" fillId="0" borderId="16" xfId="1" applyNumberFormat="1" applyFont="1" applyFill="1" applyBorder="1"/>
    <xf numFmtId="10" fontId="23" fillId="0" borderId="8" xfId="4" applyNumberFormat="1" applyFont="1" applyFill="1" applyBorder="1"/>
    <xf numFmtId="10" fontId="23" fillId="0" borderId="0" xfId="4" applyNumberFormat="1" applyFont="1" applyFill="1" applyBorder="1"/>
    <xf numFmtId="10" fontId="23" fillId="0" borderId="15" xfId="4" applyNumberFormat="1" applyFont="1" applyFill="1" applyBorder="1"/>
    <xf numFmtId="10" fontId="23" fillId="0" borderId="16" xfId="4" applyNumberFormat="1" applyFont="1" applyFill="1" applyBorder="1"/>
    <xf numFmtId="0" fontId="23" fillId="0" borderId="17" xfId="0" applyFont="1" applyBorder="1"/>
    <xf numFmtId="0" fontId="23" fillId="0" borderId="18" xfId="0" applyFont="1" applyBorder="1"/>
    <xf numFmtId="164" fontId="26" fillId="0" borderId="18" xfId="1" applyNumberFormat="1" applyFont="1" applyFill="1" applyBorder="1"/>
    <xf numFmtId="164" fontId="26" fillId="0" borderId="19" xfId="1" applyNumberFormat="1" applyFont="1" applyFill="1" applyBorder="1"/>
    <xf numFmtId="164" fontId="22" fillId="0" borderId="0" xfId="1" applyNumberFormat="1" applyFont="1" applyFill="1"/>
    <xf numFmtId="0" fontId="23" fillId="0" borderId="4" xfId="0" applyFont="1" applyBorder="1"/>
    <xf numFmtId="0" fontId="23" fillId="0" borderId="5" xfId="0" applyFont="1" applyBorder="1"/>
    <xf numFmtId="164" fontId="23" fillId="0" borderId="18" xfId="1" applyNumberFormat="1" applyFont="1" applyFill="1" applyBorder="1"/>
    <xf numFmtId="164" fontId="23" fillId="0" borderId="19" xfId="1" applyNumberFormat="1" applyFont="1" applyFill="1" applyBorder="1"/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Protection="1">
      <protection locked="0"/>
    </xf>
    <xf numFmtId="0" fontId="22" fillId="0" borderId="0" xfId="0" applyFont="1"/>
    <xf numFmtId="164" fontId="23" fillId="0" borderId="5" xfId="1" applyNumberFormat="1" applyFont="1" applyFill="1" applyBorder="1" applyProtection="1">
      <protection locked="0"/>
    </xf>
    <xf numFmtId="164" fontId="23" fillId="0" borderId="20" xfId="1" applyNumberFormat="1" applyFont="1" applyFill="1" applyBorder="1" applyProtection="1">
      <protection locked="0"/>
    </xf>
    <xf numFmtId="0" fontId="23" fillId="0" borderId="0" xfId="3" applyFont="1"/>
    <xf numFmtId="37" fontId="23" fillId="0" borderId="0" xfId="3" applyNumberFormat="1" applyFont="1"/>
    <xf numFmtId="164" fontId="23" fillId="0" borderId="0" xfId="1" applyNumberFormat="1" applyFont="1" applyFill="1" applyBorder="1" applyAlignment="1">
      <alignment horizontal="right"/>
    </xf>
    <xf numFmtId="0" fontId="23" fillId="0" borderId="0" xfId="2" applyFont="1" applyAlignment="1">
      <alignment horizontal="right"/>
    </xf>
    <xf numFmtId="10" fontId="23" fillId="0" borderId="0" xfId="4" applyNumberFormat="1" applyFont="1" applyFill="1" applyBorder="1" applyAlignment="1">
      <alignment horizontal="center"/>
    </xf>
    <xf numFmtId="164" fontId="12" fillId="0" borderId="0" xfId="1" applyNumberFormat="1" applyFont="1" applyFill="1" applyBorder="1"/>
    <xf numFmtId="43" fontId="23" fillId="0" borderId="27" xfId="1" applyFont="1" applyFill="1" applyBorder="1"/>
    <xf numFmtId="43" fontId="23" fillId="0" borderId="22" xfId="1" applyFont="1" applyFill="1" applyBorder="1"/>
    <xf numFmtId="43" fontId="23" fillId="0" borderId="26" xfId="1" applyFont="1" applyFill="1" applyBorder="1"/>
    <xf numFmtId="43" fontId="23" fillId="0" borderId="0" xfId="1" applyFont="1" applyFill="1" applyBorder="1"/>
    <xf numFmtId="43" fontId="23" fillId="0" borderId="9" xfId="1" applyFont="1" applyFill="1" applyBorder="1"/>
    <xf numFmtId="164" fontId="12" fillId="0" borderId="0" xfId="1" applyNumberFormat="1" applyFont="1" applyFill="1" applyAlignment="1">
      <alignment horizontal="center" vertical="center"/>
    </xf>
    <xf numFmtId="164" fontId="23" fillId="0" borderId="0" xfId="1" applyNumberFormat="1" applyFont="1" applyFill="1" applyAlignment="1">
      <alignment horizontal="center"/>
    </xf>
    <xf numFmtId="37" fontId="15" fillId="0" borderId="0" xfId="39" applyNumberFormat="1" applyFont="1"/>
    <xf numFmtId="49" fontId="31" fillId="0" borderId="0" xfId="35" applyFont="1"/>
    <xf numFmtId="170" fontId="15" fillId="0" borderId="0" xfId="39" applyNumberFormat="1" applyFont="1"/>
    <xf numFmtId="0" fontId="23" fillId="0" borderId="0" xfId="39" applyFont="1" applyAlignment="1">
      <alignment horizontal="center"/>
    </xf>
    <xf numFmtId="0" fontId="23" fillId="0" borderId="0" xfId="39" applyFont="1" applyAlignment="1">
      <alignment horizontal="left"/>
    </xf>
    <xf numFmtId="37" fontId="23" fillId="0" borderId="0" xfId="39" applyNumberFormat="1" applyFont="1"/>
    <xf numFmtId="0" fontId="23" fillId="0" borderId="0" xfId="39" applyFont="1"/>
    <xf numFmtId="49" fontId="23" fillId="0" borderId="0" xfId="35" applyFont="1"/>
    <xf numFmtId="164" fontId="23" fillId="0" borderId="0" xfId="35" applyNumberFormat="1" applyFont="1"/>
    <xf numFmtId="37" fontId="1" fillId="0" borderId="0" xfId="39" applyNumberFormat="1" applyFont="1"/>
    <xf numFmtId="37" fontId="23" fillId="0" borderId="22" xfId="5" applyNumberFormat="1" applyFont="1" applyBorder="1"/>
    <xf numFmtId="37" fontId="23" fillId="0" borderId="23" xfId="5" applyNumberFormat="1" applyFont="1" applyBorder="1"/>
    <xf numFmtId="37" fontId="24" fillId="0" borderId="0" xfId="3" applyNumberFormat="1" applyFont="1"/>
    <xf numFmtId="37" fontId="23" fillId="0" borderId="24" xfId="0" applyNumberFormat="1" applyFont="1" applyBorder="1"/>
    <xf numFmtId="37" fontId="23" fillId="0" borderId="1" xfId="0" applyNumberFormat="1" applyFont="1" applyBorder="1"/>
    <xf numFmtId="3" fontId="23" fillId="0" borderId="0" xfId="0" applyNumberFormat="1" applyFont="1"/>
    <xf numFmtId="3" fontId="25" fillId="0" borderId="0" xfId="0" applyNumberFormat="1" applyFont="1" applyAlignment="1">
      <alignment horizontal="center"/>
    </xf>
    <xf numFmtId="3" fontId="27" fillId="0" borderId="0" xfId="0" applyNumberFormat="1" applyFont="1"/>
    <xf numFmtId="0" fontId="23" fillId="0" borderId="22" xfId="0" applyFont="1" applyBorder="1"/>
    <xf numFmtId="0" fontId="23" fillId="0" borderId="26" xfId="0" applyFont="1" applyBorder="1"/>
    <xf numFmtId="0" fontId="23" fillId="0" borderId="9" xfId="0" applyFont="1" applyBorder="1"/>
    <xf numFmtId="43" fontId="23" fillId="0" borderId="0" xfId="0" applyNumberFormat="1" applyFont="1"/>
    <xf numFmtId="0" fontId="28" fillId="0" borderId="0" xfId="0" applyFont="1"/>
    <xf numFmtId="0" fontId="14" fillId="0" borderId="0" xfId="0" applyFont="1" applyAlignment="1">
      <alignment horizontal="center"/>
    </xf>
    <xf numFmtId="0" fontId="15" fillId="0" borderId="0" xfId="39" applyFont="1" applyAlignment="1">
      <alignment horizontal="center"/>
    </xf>
    <xf numFmtId="0" fontId="1" fillId="0" borderId="0" xfId="39" applyFont="1"/>
    <xf numFmtId="164" fontId="12" fillId="0" borderId="0" xfId="0" applyNumberFormat="1" applyFont="1"/>
    <xf numFmtId="164" fontId="30" fillId="0" borderId="0" xfId="0" applyNumberFormat="1" applyFont="1"/>
    <xf numFmtId="0" fontId="31" fillId="0" borderId="0" xfId="0" applyFont="1"/>
    <xf numFmtId="37" fontId="0" fillId="0" borderId="0" xfId="0" applyNumberFormat="1"/>
    <xf numFmtId="14" fontId="23" fillId="0" borderId="0" xfId="0" applyNumberFormat="1" applyFont="1" applyAlignment="1" applyProtection="1">
      <alignment horizontal="left"/>
      <protection locked="0"/>
    </xf>
    <xf numFmtId="0" fontId="22" fillId="0" borderId="0" xfId="0" applyFont="1" applyAlignment="1">
      <alignment wrapText="1"/>
    </xf>
    <xf numFmtId="39" fontId="22" fillId="0" borderId="8" xfId="159" applyFont="1" applyBorder="1" applyAlignment="1">
      <alignment horizontal="left"/>
    </xf>
    <xf numFmtId="39" fontId="23" fillId="0" borderId="26" xfId="159" applyFont="1" applyBorder="1"/>
    <xf numFmtId="4" fontId="23" fillId="0" borderId="0" xfId="0" applyNumberFormat="1" applyFont="1"/>
    <xf numFmtId="39" fontId="23" fillId="0" borderId="8" xfId="159" applyFont="1" applyBorder="1" applyAlignment="1">
      <alignment horizontal="center"/>
    </xf>
    <xf numFmtId="39" fontId="23" fillId="0" borderId="26" xfId="159" applyFont="1" applyBorder="1" applyAlignment="1">
      <alignment horizontal="left"/>
    </xf>
    <xf numFmtId="39" fontId="23" fillId="0" borderId="8" xfId="159" applyFont="1" applyBorder="1" applyAlignment="1">
      <alignment horizontal="left"/>
    </xf>
    <xf numFmtId="39" fontId="23" fillId="0" borderId="8" xfId="159" quotePrefix="1" applyFont="1" applyBorder="1" applyAlignment="1">
      <alignment horizontal="center"/>
    </xf>
    <xf numFmtId="172" fontId="23" fillId="0" borderId="0" xfId="0" applyNumberFormat="1" applyFont="1"/>
    <xf numFmtId="43" fontId="23" fillId="0" borderId="0" xfId="1" applyFont="1" applyFill="1"/>
    <xf numFmtId="171" fontId="23" fillId="0" borderId="8" xfId="159" applyNumberFormat="1" applyFont="1" applyBorder="1" applyAlignment="1">
      <alignment horizontal="center"/>
    </xf>
    <xf numFmtId="39" fontId="23" fillId="0" borderId="8" xfId="159" applyFont="1" applyBorder="1"/>
    <xf numFmtId="39" fontId="22" fillId="0" borderId="26" xfId="159" applyFont="1" applyBorder="1"/>
    <xf numFmtId="49" fontId="23" fillId="0" borderId="8" xfId="159" applyNumberFormat="1" applyFont="1" applyBorder="1" applyAlignment="1">
      <alignment horizontal="center"/>
    </xf>
    <xf numFmtId="39" fontId="22" fillId="0" borderId="26" xfId="159" applyFont="1" applyBorder="1" applyAlignment="1">
      <alignment horizontal="left" indent="2"/>
    </xf>
    <xf numFmtId="39" fontId="22" fillId="0" borderId="8" xfId="159" applyFont="1" applyBorder="1" applyAlignment="1">
      <alignment horizontal="center"/>
    </xf>
    <xf numFmtId="39" fontId="22" fillId="0" borderId="17" xfId="159" applyFont="1" applyBorder="1" applyAlignment="1">
      <alignment horizontal="left"/>
    </xf>
    <xf numFmtId="39" fontId="23" fillId="0" borderId="31" xfId="159" applyFont="1" applyBorder="1"/>
    <xf numFmtId="39" fontId="23" fillId="0" borderId="27" xfId="159" applyFont="1" applyBorder="1"/>
    <xf numFmtId="39" fontId="23" fillId="0" borderId="0" xfId="159" applyFont="1"/>
    <xf numFmtId="37" fontId="23" fillId="0" borderId="8" xfId="159" applyNumberFormat="1" applyFont="1" applyBorder="1" applyAlignment="1">
      <alignment horizontal="center"/>
    </xf>
    <xf numFmtId="168" fontId="23" fillId="0" borderId="21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43" fontId="23" fillId="0" borderId="1" xfId="1" applyFont="1" applyFill="1" applyBorder="1"/>
    <xf numFmtId="43" fontId="23" fillId="0" borderId="34" xfId="1" applyFont="1" applyFill="1" applyBorder="1"/>
    <xf numFmtId="43" fontId="23" fillId="0" borderId="29" xfId="1" applyFont="1" applyFill="1" applyBorder="1"/>
    <xf numFmtId="43" fontId="23" fillId="0" borderId="24" xfId="1" applyFont="1" applyFill="1" applyBorder="1"/>
    <xf numFmtId="43" fontId="23" fillId="0" borderId="28" xfId="1" applyFont="1" applyFill="1" applyBorder="1"/>
    <xf numFmtId="43" fontId="23" fillId="0" borderId="32" xfId="1" applyFont="1" applyFill="1" applyBorder="1"/>
    <xf numFmtId="43" fontId="23" fillId="0" borderId="35" xfId="1" applyFont="1" applyFill="1" applyBorder="1"/>
    <xf numFmtId="43" fontId="23" fillId="0" borderId="30" xfId="1" applyFont="1" applyFill="1" applyBorder="1"/>
    <xf numFmtId="49" fontId="13" fillId="0" borderId="0" xfId="35" applyFont="1"/>
    <xf numFmtId="0" fontId="12" fillId="0" borderId="0" xfId="35" applyNumberFormat="1" applyFont="1"/>
    <xf numFmtId="37" fontId="32" fillId="0" borderId="0" xfId="39" applyNumberFormat="1" applyFont="1" applyAlignment="1">
      <alignment horizontal="center"/>
    </xf>
    <xf numFmtId="49" fontId="22" fillId="0" borderId="0" xfId="35" applyFont="1"/>
    <xf numFmtId="164" fontId="22" fillId="0" borderId="13" xfId="1" applyNumberFormat="1" applyFont="1" applyFill="1" applyBorder="1"/>
    <xf numFmtId="164" fontId="0" fillId="0" borderId="0" xfId="1" applyNumberFormat="1" applyFont="1" applyFill="1"/>
    <xf numFmtId="164" fontId="32" fillId="0" borderId="13" xfId="1" applyNumberFormat="1" applyFont="1" applyFill="1" applyBorder="1"/>
    <xf numFmtId="43" fontId="23" fillId="0" borderId="39" xfId="1" applyFont="1" applyFill="1" applyBorder="1"/>
    <xf numFmtId="43" fontId="23" fillId="0" borderId="41" xfId="1" applyFont="1" applyFill="1" applyBorder="1"/>
    <xf numFmtId="43" fontId="23" fillId="0" borderId="40" xfId="1" applyFont="1" applyFill="1" applyBorder="1"/>
    <xf numFmtId="43" fontId="23" fillId="0" borderId="42" xfId="1" applyFont="1" applyFill="1" applyBorder="1"/>
    <xf numFmtId="169" fontId="22" fillId="0" borderId="33" xfId="159" applyNumberFormat="1" applyFont="1" applyBorder="1" applyAlignment="1">
      <alignment horizontal="center" wrapText="1"/>
    </xf>
    <xf numFmtId="49" fontId="33" fillId="0" borderId="33" xfId="159" applyNumberFormat="1" applyFont="1" applyBorder="1" applyAlignment="1">
      <alignment horizontal="center" wrapText="1"/>
    </xf>
    <xf numFmtId="49" fontId="33" fillId="0" borderId="37" xfId="159" applyNumberFormat="1" applyFont="1" applyBorder="1" applyAlignment="1">
      <alignment horizontal="center" wrapText="1"/>
    </xf>
    <xf numFmtId="43" fontId="23" fillId="0" borderId="23" xfId="1" applyFont="1" applyFill="1" applyBorder="1"/>
    <xf numFmtId="43" fontId="23" fillId="0" borderId="25" xfId="1" applyFont="1" applyFill="1" applyBorder="1"/>
    <xf numFmtId="43" fontId="23" fillId="0" borderId="11" xfId="1" applyFont="1" applyFill="1" applyBorder="1"/>
    <xf numFmtId="43" fontId="23" fillId="0" borderId="10" xfId="1" applyFont="1" applyFill="1" applyBorder="1"/>
    <xf numFmtId="39" fontId="23" fillId="0" borderId="9" xfId="0" applyNumberFormat="1" applyFont="1" applyBorder="1"/>
    <xf numFmtId="164" fontId="23" fillId="0" borderId="10" xfId="1" applyNumberFormat="1" applyFont="1" applyFill="1" applyBorder="1"/>
    <xf numFmtId="0" fontId="22" fillId="0" borderId="0" xfId="0" applyFont="1" applyAlignment="1">
      <alignment horizontal="center"/>
    </xf>
    <xf numFmtId="0" fontId="23" fillId="0" borderId="27" xfId="0" applyFont="1" applyBorder="1"/>
    <xf numFmtId="43" fontId="23" fillId="0" borderId="26" xfId="0" applyNumberFormat="1" applyFont="1" applyBorder="1"/>
    <xf numFmtId="164" fontId="1" fillId="0" borderId="0" xfId="1" applyNumberFormat="1" applyFont="1" applyFill="1" applyBorder="1"/>
    <xf numFmtId="164" fontId="1" fillId="0" borderId="10" xfId="1" applyNumberFormat="1" applyFont="1" applyFill="1" applyBorder="1"/>
    <xf numFmtId="164" fontId="1" fillId="0" borderId="0" xfId="0" applyNumberFormat="1" applyFont="1"/>
    <xf numFmtId="164" fontId="1" fillId="0" borderId="10" xfId="0" applyNumberFormat="1" applyFont="1" applyBorder="1"/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9" fontId="22" fillId="0" borderId="8" xfId="159" applyFont="1" applyBorder="1" applyAlignment="1">
      <alignment horizontal="left" wrapText="1" indent="1"/>
    </xf>
    <xf numFmtId="39" fontId="22" fillId="0" borderId="26" xfId="159" applyFont="1" applyBorder="1" applyAlignment="1">
      <alignment horizontal="left" wrapText="1" indent="1"/>
    </xf>
    <xf numFmtId="0" fontId="22" fillId="0" borderId="38" xfId="0" applyFont="1" applyBorder="1" applyAlignment="1">
      <alignment horizontal="left" vertical="top"/>
    </xf>
    <xf numFmtId="0" fontId="22" fillId="0" borderId="37" xfId="0" applyFont="1" applyBorder="1" applyAlignment="1">
      <alignment horizontal="left" vertical="top"/>
    </xf>
    <xf numFmtId="0" fontId="29" fillId="0" borderId="38" xfId="0" applyFont="1" applyBorder="1" applyAlignment="1">
      <alignment horizontal="center" vertical="top"/>
    </xf>
    <xf numFmtId="0" fontId="29" fillId="0" borderId="36" xfId="0" applyFont="1" applyBorder="1" applyAlignment="1">
      <alignment horizontal="center" vertical="top"/>
    </xf>
    <xf numFmtId="0" fontId="29" fillId="0" borderId="37" xfId="0" applyFont="1" applyBorder="1" applyAlignment="1">
      <alignment horizontal="center" vertical="top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34" fillId="0" borderId="0" xfId="0" applyFont="1" applyAlignment="1">
      <alignment horizontal="center"/>
    </xf>
  </cellXfs>
  <cellStyles count="182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2 3" xfId="181" xr:uid="{91F38DA9-2A2D-41F7-AE4B-E06424B17AC9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B956D085-9343-4477-9640-9392042112B3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93345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tabSelected="1" zoomScaleNormal="100" zoomScaleSheetLayoutView="100" workbookViewId="0">
      <selection activeCell="B20" sqref="B20:D20"/>
    </sheetView>
  </sheetViews>
  <sheetFormatPr defaultColWidth="9.140625" defaultRowHeight="14.45"/>
  <cols>
    <col min="1" max="1" width="20.140625" style="1" bestFit="1" customWidth="1"/>
    <col min="2" max="3" width="11.5703125" style="1" bestFit="1" customWidth="1"/>
    <col min="4" max="4" width="11.85546875" style="1" bestFit="1" customWidth="1"/>
    <col min="5" max="5" width="2.28515625" style="1" customWidth="1"/>
    <col min="6" max="6" width="14" style="1" customWidth="1"/>
    <col min="7" max="7" width="13.5703125" style="1" bestFit="1" customWidth="1"/>
    <col min="8" max="8" width="13.28515625" style="1" customWidth="1"/>
    <col min="9" max="9" width="3.7109375" style="1" customWidth="1"/>
    <col min="10" max="16384" width="9.140625" style="1"/>
  </cols>
  <sheetData>
    <row r="1" spans="1:11">
      <c r="A1" s="159" t="s">
        <v>0</v>
      </c>
      <c r="B1" s="159"/>
      <c r="C1" s="159"/>
      <c r="D1" s="159"/>
      <c r="E1" s="159"/>
      <c r="F1" s="159"/>
      <c r="G1" s="159"/>
      <c r="H1" s="159"/>
    </row>
    <row r="2" spans="1:11">
      <c r="A2" s="160" t="s">
        <v>1</v>
      </c>
      <c r="B2" s="160"/>
      <c r="C2" s="160"/>
      <c r="D2" s="160"/>
      <c r="E2" s="160"/>
      <c r="F2" s="160"/>
      <c r="G2" s="160"/>
      <c r="H2" s="160"/>
    </row>
    <row r="3" spans="1:11">
      <c r="A3" s="160" t="s">
        <v>2</v>
      </c>
      <c r="B3" s="160"/>
      <c r="C3" s="160"/>
      <c r="D3" s="160"/>
      <c r="E3" s="160"/>
      <c r="F3" s="160"/>
      <c r="G3" s="160"/>
      <c r="H3" s="160"/>
    </row>
    <row r="4" spans="1:11">
      <c r="A4" s="2"/>
    </row>
    <row r="5" spans="1:11">
      <c r="B5" s="159" t="s">
        <v>3</v>
      </c>
      <c r="C5" s="159"/>
      <c r="D5" s="159"/>
      <c r="E5" s="159"/>
      <c r="F5" s="159"/>
      <c r="G5" s="159"/>
      <c r="H5" s="159"/>
    </row>
    <row r="6" spans="1:11">
      <c r="A6" s="5"/>
      <c r="B6" s="156" t="s">
        <v>4</v>
      </c>
      <c r="C6" s="157"/>
      <c r="D6" s="158"/>
      <c r="F6" s="8" t="s">
        <v>5</v>
      </c>
      <c r="G6" s="6"/>
      <c r="H6" s="7"/>
      <c r="K6" s="3"/>
    </row>
    <row r="7" spans="1:11">
      <c r="B7" s="118">
        <f>+C7-31</f>
        <v>45229</v>
      </c>
      <c r="C7" s="118">
        <f>+D7-31</f>
        <v>45260</v>
      </c>
      <c r="D7" s="118">
        <f>+StatementDate</f>
        <v>45291</v>
      </c>
      <c r="F7" s="118">
        <f>+B7</f>
        <v>45229</v>
      </c>
      <c r="G7" s="118">
        <f>+C7</f>
        <v>45260</v>
      </c>
      <c r="H7" s="118">
        <f>+D7</f>
        <v>45291</v>
      </c>
      <c r="K7" s="3"/>
    </row>
    <row r="8" spans="1:11">
      <c r="A8" s="5"/>
      <c r="B8" s="119">
        <f>+C8</f>
        <v>2023</v>
      </c>
      <c r="C8" s="120">
        <f>+D8</f>
        <v>2023</v>
      </c>
      <c r="D8" s="120">
        <f>YEAR(StatementDate)</f>
        <v>2023</v>
      </c>
      <c r="F8" s="119">
        <f t="shared" ref="F8:H8" si="0">+B8</f>
        <v>2023</v>
      </c>
      <c r="G8" s="120">
        <f t="shared" si="0"/>
        <v>2023</v>
      </c>
      <c r="H8" s="120">
        <f t="shared" si="0"/>
        <v>2023</v>
      </c>
    </row>
    <row r="9" spans="1:11" ht="15" customHeight="1">
      <c r="A9" s="2" t="s">
        <v>6</v>
      </c>
      <c r="B9" s="11">
        <f>+'Copy Other Data Here'!K6</f>
        <v>8301482</v>
      </c>
      <c r="C9" s="11">
        <f>+'Copy Other Data Here'!L6</f>
        <v>16563910</v>
      </c>
      <c r="D9" s="11">
        <f>+'Copy Other Data Here'!M6</f>
        <v>17765095</v>
      </c>
      <c r="F9" s="76">
        <f>+'Copy Other Data Here'!K12</f>
        <v>136991843</v>
      </c>
      <c r="G9" s="76">
        <f>+'Copy Other Data Here'!L12</f>
        <v>133210257</v>
      </c>
      <c r="H9" s="76">
        <f>+'Copy Other Data Here'!M12</f>
        <v>125222746</v>
      </c>
      <c r="J9" s="53"/>
    </row>
    <row r="10" spans="1:11" ht="14.25" customHeight="1">
      <c r="A10" s="2" t="s">
        <v>7</v>
      </c>
      <c r="B10" s="76">
        <f>+'Copy Other Data Here'!K7</f>
        <v>7422611</v>
      </c>
      <c r="C10" s="76">
        <f>+'Copy Other Data Here'!L7</f>
        <v>12018329</v>
      </c>
      <c r="D10" s="76">
        <f>+'Copy Other Data Here'!M7</f>
        <v>13740151</v>
      </c>
      <c r="F10" s="76">
        <f>+'Copy Other Data Here'!K13</f>
        <v>111262812</v>
      </c>
      <c r="G10" s="76">
        <f>+'Copy Other Data Here'!L13</f>
        <v>109129461</v>
      </c>
      <c r="H10" s="76">
        <f>+'Copy Other Data Here'!M13</f>
        <v>103053033</v>
      </c>
      <c r="J10" s="53"/>
    </row>
    <row r="11" spans="1:11" ht="15" customHeight="1">
      <c r="A11" s="2" t="s">
        <v>8</v>
      </c>
      <c r="B11" s="76">
        <f>+'Copy Other Data Here'!K8</f>
        <v>1258827</v>
      </c>
      <c r="C11" s="76">
        <f>+'Copy Other Data Here'!L8</f>
        <v>1278023</v>
      </c>
      <c r="D11" s="76">
        <f>+'Copy Other Data Here'!M8</f>
        <v>1732486</v>
      </c>
      <c r="F11" s="76">
        <f>+'Copy Other Data Here'!K14</f>
        <v>17870583</v>
      </c>
      <c r="G11" s="76">
        <f>+'Copy Other Data Here'!L14</f>
        <v>17754622</v>
      </c>
      <c r="H11" s="76">
        <f>+'Copy Other Data Here'!M14</f>
        <v>17143057</v>
      </c>
      <c r="J11" s="53"/>
    </row>
    <row r="12" spans="1:11" ht="15" customHeight="1">
      <c r="A12" s="2" t="s">
        <v>9</v>
      </c>
      <c r="B12" s="76">
        <f>+'Copy Other Data Here'!K9</f>
        <v>169608</v>
      </c>
      <c r="C12" s="76">
        <f>+'Copy Other Data Here'!L9</f>
        <v>236897</v>
      </c>
      <c r="D12" s="76">
        <f>+'Copy Other Data Here'!M9</f>
        <v>249527</v>
      </c>
      <c r="F12" s="76">
        <f>+'Copy Other Data Here'!K15</f>
        <v>2142905</v>
      </c>
      <c r="G12" s="76">
        <f>+'Copy Other Data Here'!L15</f>
        <v>2131110</v>
      </c>
      <c r="H12" s="76">
        <f>+'Copy Other Data Here'!M15</f>
        <v>2097598</v>
      </c>
      <c r="J12" s="53"/>
    </row>
    <row r="13" spans="1:11" ht="15" customHeight="1">
      <c r="A13" s="2" t="s">
        <v>10</v>
      </c>
      <c r="B13" s="77">
        <f>+'Copy Other Data Here'!K10</f>
        <v>91297080</v>
      </c>
      <c r="C13" s="77">
        <f>+'Copy Other Data Here'!L10</f>
        <v>102078322</v>
      </c>
      <c r="D13" s="77">
        <f>+'Copy Other Data Here'!M10</f>
        <v>106874528</v>
      </c>
      <c r="F13" s="76">
        <f>+'Copy Other Data Here'!K16</f>
        <v>995232041</v>
      </c>
      <c r="G13" s="76">
        <f>+'Copy Other Data Here'!L16</f>
        <v>1010691423</v>
      </c>
      <c r="H13" s="76">
        <f>+'Copy Other Data Here'!M16</f>
        <v>1040285355</v>
      </c>
      <c r="J13" s="78"/>
      <c r="K13" s="9"/>
    </row>
    <row r="14" spans="1:11" ht="15" customHeight="1">
      <c r="A14" s="2" t="s">
        <v>11</v>
      </c>
      <c r="B14" s="79">
        <f>SUM(B9:B13)</f>
        <v>108449608</v>
      </c>
      <c r="C14" s="79">
        <f>SUM(C9:C13)</f>
        <v>132175481</v>
      </c>
      <c r="D14" s="79">
        <f>SUM(D9:D13)</f>
        <v>140361787</v>
      </c>
      <c r="F14" s="80">
        <f>SUM(F9:F13)</f>
        <v>1263500184</v>
      </c>
      <c r="G14" s="80">
        <f>SUM(G9:G13)</f>
        <v>1272916873</v>
      </c>
      <c r="H14" s="79">
        <f>SUM(H9:H13)</f>
        <v>1287801789</v>
      </c>
      <c r="J14" s="10"/>
      <c r="K14" s="9"/>
    </row>
    <row r="15" spans="1:11">
      <c r="K15" s="9"/>
    </row>
    <row r="16" spans="1:11">
      <c r="J16" s="54"/>
    </row>
    <row r="17" spans="1:11">
      <c r="J17" s="54"/>
    </row>
    <row r="18" spans="1:11">
      <c r="J18" s="54"/>
    </row>
    <row r="19" spans="1:11">
      <c r="F19" s="4"/>
      <c r="G19" s="4"/>
      <c r="H19" s="4"/>
      <c r="J19" s="12"/>
    </row>
    <row r="20" spans="1:11">
      <c r="B20" s="156" t="s">
        <v>12</v>
      </c>
      <c r="C20" s="157"/>
      <c r="D20" s="158"/>
      <c r="F20" s="4"/>
      <c r="G20" s="4"/>
      <c r="H20" s="4"/>
      <c r="J20" s="55"/>
    </row>
    <row r="21" spans="1:11">
      <c r="B21" s="118">
        <f>+B7</f>
        <v>45229</v>
      </c>
      <c r="C21" s="118">
        <f>+C7</f>
        <v>45260</v>
      </c>
      <c r="D21" s="118">
        <f>+D7</f>
        <v>45291</v>
      </c>
      <c r="G21" s="5"/>
      <c r="H21" s="9"/>
      <c r="J21" s="56"/>
    </row>
    <row r="22" spans="1:11">
      <c r="B22" s="119">
        <f t="shared" ref="B22:D22" si="1">+B8</f>
        <v>2023</v>
      </c>
      <c r="C22" s="120">
        <f t="shared" si="1"/>
        <v>2023</v>
      </c>
      <c r="D22" s="120">
        <f t="shared" si="1"/>
        <v>2023</v>
      </c>
      <c r="F22" s="9"/>
      <c r="G22" s="9"/>
      <c r="J22" s="13"/>
    </row>
    <row r="23" spans="1:11">
      <c r="A23" s="2" t="s">
        <v>6</v>
      </c>
      <c r="B23" s="76">
        <f>+'Copy Other Data Here'!K20</f>
        <v>203699</v>
      </c>
      <c r="C23" s="76">
        <f>+'Copy Other Data Here'!L20</f>
        <v>204249</v>
      </c>
      <c r="D23" s="76">
        <f>+'Copy Other Data Here'!M20</f>
        <v>204516</v>
      </c>
      <c r="F23" s="10"/>
      <c r="G23" s="10"/>
    </row>
    <row r="24" spans="1:11">
      <c r="A24" s="2" t="s">
        <v>7</v>
      </c>
      <c r="B24" s="76">
        <f>+'Copy Other Data Here'!K21</f>
        <v>27528</v>
      </c>
      <c r="C24" s="76">
        <f>+'Copy Other Data Here'!L21</f>
        <v>27664</v>
      </c>
      <c r="D24" s="76">
        <f>+'Copy Other Data Here'!M21</f>
        <v>27728</v>
      </c>
      <c r="F24" s="10"/>
      <c r="G24" s="10"/>
      <c r="J24" s="56"/>
    </row>
    <row r="25" spans="1:11">
      <c r="A25" s="2" t="s">
        <v>8</v>
      </c>
      <c r="B25" s="76">
        <f>+'Copy Other Data Here'!K22</f>
        <v>515</v>
      </c>
      <c r="C25" s="76">
        <f>+'Copy Other Data Here'!L22</f>
        <v>518</v>
      </c>
      <c r="D25" s="76">
        <f>+'Copy Other Data Here'!M22</f>
        <v>522</v>
      </c>
      <c r="F25" s="10"/>
      <c r="G25" s="10"/>
      <c r="J25" s="3"/>
    </row>
    <row r="26" spans="1:11">
      <c r="A26" s="2" t="s">
        <v>9</v>
      </c>
      <c r="B26" s="76">
        <f>+'Copy Other Data Here'!K23</f>
        <v>7</v>
      </c>
      <c r="C26" s="76">
        <f>+'Copy Other Data Here'!L23</f>
        <v>7</v>
      </c>
      <c r="D26" s="76">
        <f>+'Copy Other Data Here'!M23</f>
        <v>7</v>
      </c>
      <c r="F26" s="10"/>
      <c r="G26" s="10"/>
      <c r="J26" s="13"/>
    </row>
    <row r="27" spans="1:11">
      <c r="A27" s="2" t="s">
        <v>10</v>
      </c>
      <c r="B27" s="76">
        <f>+'Copy Other Data Here'!K24</f>
        <v>199</v>
      </c>
      <c r="C27" s="76">
        <f>+'Copy Other Data Here'!L24</f>
        <v>199</v>
      </c>
      <c r="D27" s="76">
        <f>+'Copy Other Data Here'!M24</f>
        <v>200</v>
      </c>
      <c r="F27" s="10"/>
      <c r="G27" s="10"/>
      <c r="J27" s="53"/>
      <c r="K27" s="9"/>
    </row>
    <row r="28" spans="1:11">
      <c r="A28" s="2" t="s">
        <v>11</v>
      </c>
      <c r="B28" s="79">
        <f>SUM(B23:B27)</f>
        <v>231948</v>
      </c>
      <c r="C28" s="79">
        <f>SUM(C23:C27)</f>
        <v>232637</v>
      </c>
      <c r="D28" s="79">
        <f>SUM(D23:D27)</f>
        <v>232973</v>
      </c>
      <c r="F28" s="10"/>
      <c r="G28" s="10"/>
      <c r="H28" s="10"/>
      <c r="J28" s="3"/>
    </row>
    <row r="29" spans="1:11">
      <c r="J29" s="3"/>
    </row>
  </sheetData>
  <mergeCells count="6">
    <mergeCell ref="B20:D20"/>
    <mergeCell ref="B5:H5"/>
    <mergeCell ref="B6:D6"/>
    <mergeCell ref="A2:H2"/>
    <mergeCell ref="A1:H1"/>
    <mergeCell ref="A3:H3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6"/>
  <sheetViews>
    <sheetView topLeftCell="A23" zoomScaleNormal="100" zoomScaleSheetLayoutView="85" workbookViewId="0">
      <selection activeCell="D43" sqref="D43"/>
    </sheetView>
  </sheetViews>
  <sheetFormatPr defaultColWidth="9.140625" defaultRowHeight="14.45"/>
  <cols>
    <col min="1" max="1" width="6.42578125" style="1" customWidth="1"/>
    <col min="2" max="2" width="7.7109375" style="1" customWidth="1"/>
    <col min="3" max="3" width="34.28515625" style="1" customWidth="1"/>
    <col min="4" max="4" width="16.28515625" style="81" customWidth="1"/>
    <col min="5" max="5" width="16.28515625" style="83" customWidth="1"/>
    <col min="6" max="16384" width="9.140625" style="1"/>
  </cols>
  <sheetData>
    <row r="1" spans="1:5" ht="21" customHeight="1">
      <c r="E1" s="82"/>
    </row>
    <row r="2" spans="1:5" ht="18.75" customHeight="1">
      <c r="A2" s="4" t="s">
        <v>13</v>
      </c>
      <c r="B2" s="4"/>
      <c r="C2" s="4"/>
      <c r="D2" s="48"/>
      <c r="E2" s="48"/>
    </row>
    <row r="3" spans="1:5" ht="18" customHeight="1">
      <c r="A3" s="4" t="s">
        <v>14</v>
      </c>
      <c r="B3" s="4"/>
      <c r="C3" s="4"/>
      <c r="D3" s="48"/>
      <c r="E3" s="48"/>
    </row>
    <row r="4" spans="1:5">
      <c r="A4" s="4" t="s">
        <v>15</v>
      </c>
      <c r="B4" s="4"/>
      <c r="C4" s="4"/>
      <c r="D4" s="48"/>
      <c r="E4" s="48"/>
    </row>
    <row r="5" spans="1:5">
      <c r="A5" s="159" t="str">
        <f>"Month and Twelve Months Ended " &amp; TEXT(DATE(YEAR(StatementDate),MONTH(StatementDate)-1,1)-1,"m/d/yyy")</f>
        <v>Month and Twelve Months Ended 10/31/2023</v>
      </c>
      <c r="B5" s="159"/>
      <c r="C5" s="159"/>
      <c r="D5" s="159"/>
      <c r="E5" s="159"/>
    </row>
    <row r="6" spans="1:5">
      <c r="A6" s="16"/>
      <c r="D6" s="17"/>
      <c r="E6" s="17"/>
    </row>
    <row r="7" spans="1:5" ht="15" thickBot="1">
      <c r="A7" s="4"/>
      <c r="B7" s="14"/>
      <c r="C7" s="14"/>
      <c r="D7" s="15"/>
      <c r="E7" s="15"/>
    </row>
    <row r="8" spans="1:5">
      <c r="A8" s="18"/>
      <c r="B8" s="19"/>
      <c r="C8" s="19"/>
      <c r="D8" s="20" t="s">
        <v>16</v>
      </c>
      <c r="E8" s="21" t="s">
        <v>17</v>
      </c>
    </row>
    <row r="9" spans="1:5">
      <c r="A9" s="22" t="s">
        <v>18</v>
      </c>
      <c r="D9" s="1"/>
      <c r="E9" s="23"/>
    </row>
    <row r="10" spans="1:5">
      <c r="A10" s="22"/>
      <c r="B10" s="1" t="s">
        <v>19</v>
      </c>
      <c r="D10" s="24">
        <f>ROUND(+'Copy Allocation Report Here'!C10,0)</f>
        <v>23490785</v>
      </c>
      <c r="E10" s="25">
        <f>ROUND(+'Copy Allocation Report Here'!F10,0)</f>
        <v>360441550</v>
      </c>
    </row>
    <row r="11" spans="1:5">
      <c r="A11" s="22"/>
      <c r="B11" s="1" t="s">
        <v>20</v>
      </c>
      <c r="D11" s="24">
        <f>+ROUND('Copy Allocation Report Here'!C14,0)</f>
        <v>2687903</v>
      </c>
      <c r="E11" s="25">
        <f>+ROUND('Copy Allocation Report Here'!F14,0)</f>
        <v>30012280</v>
      </c>
    </row>
    <row r="12" spans="1:5">
      <c r="A12" s="22"/>
      <c r="B12" s="1" t="s">
        <v>21</v>
      </c>
      <c r="D12" s="26">
        <f>ROUND(+'Copy Allocation Report Here'!C20-'Copy Allocation Report Here'!C14,0)</f>
        <v>-37503</v>
      </c>
      <c r="E12" s="27">
        <f>ROUND(+'Copy Allocation Report Here'!F20-'Copy Allocation Report Here'!F14,0)</f>
        <v>2331845</v>
      </c>
    </row>
    <row r="13" spans="1:5">
      <c r="A13" s="22"/>
      <c r="D13" s="28">
        <f>SUM(D10:D12)</f>
        <v>26141185</v>
      </c>
      <c r="E13" s="23">
        <f>SUM(E10:E12)</f>
        <v>392785675</v>
      </c>
    </row>
    <row r="14" spans="1:5">
      <c r="A14" s="22" t="s">
        <v>22</v>
      </c>
      <c r="B14" s="1" t="s">
        <v>23</v>
      </c>
      <c r="D14" s="24">
        <f>ROUND(+'Copy Allocation Report Here'!C30+'Copy Allocation Report Here'!C44,0)</f>
        <v>14764314</v>
      </c>
      <c r="E14" s="25">
        <f>ROUND(+'Copy Allocation Report Here'!F30+'Copy Allocation Report Here'!F44,0)</f>
        <v>230291538</v>
      </c>
    </row>
    <row r="15" spans="1:5">
      <c r="A15" s="22"/>
      <c r="B15" s="1" t="s">
        <v>24</v>
      </c>
      <c r="D15" s="24">
        <f>ROUND(+'Copy Allocation Report Here'!C46,0)</f>
        <v>1767322</v>
      </c>
      <c r="E15" s="25">
        <f>ROUND(+'Copy Allocation Report Here'!F46,0)</f>
        <v>34306836</v>
      </c>
    </row>
    <row r="16" spans="1:5">
      <c r="A16" s="22" t="s">
        <v>25</v>
      </c>
      <c r="D16" s="29">
        <f>D13-D14-D15</f>
        <v>9609549</v>
      </c>
      <c r="E16" s="30">
        <f>E13-E14-E15</f>
        <v>128187301</v>
      </c>
    </row>
    <row r="17" spans="1:5">
      <c r="A17" s="22" t="s">
        <v>26</v>
      </c>
      <c r="D17" s="28"/>
      <c r="E17" s="23"/>
    </row>
    <row r="18" spans="1:5">
      <c r="A18" s="22"/>
      <c r="B18" s="1" t="s">
        <v>27</v>
      </c>
      <c r="D18" s="28">
        <f>ROUND('Copy Allocation Report Here'!C50,0)</f>
        <v>37600</v>
      </c>
      <c r="E18" s="23">
        <f>ROUND('Copy Allocation Report Here'!F50,0)</f>
        <v>565042</v>
      </c>
    </row>
    <row r="19" spans="1:5">
      <c r="A19" s="22"/>
      <c r="B19" s="1" t="s">
        <v>28</v>
      </c>
      <c r="D19" s="24">
        <f>ROUND(+'Copy Allocation Report Here'!C80,0)</f>
        <v>1548702</v>
      </c>
      <c r="E19" s="25">
        <f>ROUND(+'Copy Allocation Report Here'!F80,0)</f>
        <v>21915082</v>
      </c>
    </row>
    <row r="20" spans="1:5">
      <c r="A20" s="22"/>
      <c r="B20" s="1" t="s">
        <v>29</v>
      </c>
      <c r="D20" s="24">
        <f>ROUND(+'Copy Allocation Report Here'!C88,0)</f>
        <v>608032</v>
      </c>
      <c r="E20" s="25">
        <f>ROUND(+'Copy Allocation Report Here'!F88,0)</f>
        <v>7365288</v>
      </c>
    </row>
    <row r="21" spans="1:5">
      <c r="A21" s="22"/>
      <c r="B21" s="1" t="s">
        <v>30</v>
      </c>
      <c r="D21" s="24">
        <f>ROUND(+'Copy Allocation Report Here'!C95,0)</f>
        <v>512278</v>
      </c>
      <c r="E21" s="25">
        <f>ROUND(+'Copy Allocation Report Here'!F95,0)</f>
        <v>7571751</v>
      </c>
    </row>
    <row r="22" spans="1:5">
      <c r="A22" s="22"/>
      <c r="B22" s="1" t="s">
        <v>31</v>
      </c>
      <c r="D22" s="24">
        <f>ROUND(+'Copy Allocation Report Here'!C102,0)</f>
        <v>1410</v>
      </c>
      <c r="E22" s="25">
        <f>ROUND(+'Copy Allocation Report Here'!F102,0)</f>
        <v>11849</v>
      </c>
    </row>
    <row r="23" spans="1:5">
      <c r="A23" s="22"/>
      <c r="B23" s="1" t="s">
        <v>32</v>
      </c>
      <c r="D23" s="24">
        <f>ROUND(+'Copy Allocation Report Here'!C118,0)</f>
        <v>1905171</v>
      </c>
      <c r="E23" s="25">
        <f>ROUND(+'Copy Allocation Report Here'!F118,0)</f>
        <v>23685225</v>
      </c>
    </row>
    <row r="24" spans="1:5">
      <c r="A24" s="22"/>
      <c r="B24" s="1" t="s">
        <v>33</v>
      </c>
      <c r="D24" s="24">
        <f>ROUND(+'Copy Allocation Report Here'!C130,0)</f>
        <v>2639298</v>
      </c>
      <c r="E24" s="25">
        <f>ROUND(+'Copy Allocation Report Here'!F130,0)</f>
        <v>30766741</v>
      </c>
    </row>
    <row r="25" spans="1:5">
      <c r="A25" s="22"/>
      <c r="B25" s="1" t="s">
        <v>34</v>
      </c>
      <c r="D25" s="24">
        <f>ROUND(+'Copy Allocation Report Here'!C135,0)</f>
        <v>365273</v>
      </c>
      <c r="E25" s="25">
        <f>ROUND(+'Copy Allocation Report Here'!F135,0)</f>
        <v>4375616</v>
      </c>
    </row>
    <row r="26" spans="1:5">
      <c r="A26" s="22"/>
      <c r="B26" s="1" t="s">
        <v>35</v>
      </c>
      <c r="D26" s="24">
        <f>ROUND(+'Copy Allocation Report Here'!C144,0)</f>
        <v>-179607</v>
      </c>
      <c r="E26" s="25">
        <f>ROUND(+'Copy Allocation Report Here'!F144,0)</f>
        <v>-2031420</v>
      </c>
    </row>
    <row r="27" spans="1:5">
      <c r="A27" s="22"/>
      <c r="C27" s="1" t="s">
        <v>36</v>
      </c>
      <c r="D27" s="29">
        <f>SUM(D18:D26)</f>
        <v>7438157</v>
      </c>
      <c r="E27" s="30">
        <f>SUM(E18:E26)</f>
        <v>94225174</v>
      </c>
    </row>
    <row r="28" spans="1:5" ht="15" thickBot="1">
      <c r="A28" s="22" t="s">
        <v>37</v>
      </c>
      <c r="D28" s="31">
        <f>D16-D27</f>
        <v>2171392</v>
      </c>
      <c r="E28" s="32">
        <f>E16-E27</f>
        <v>33962127</v>
      </c>
    </row>
    <row r="29" spans="1:5" ht="15" thickTop="1">
      <c r="A29" s="22"/>
      <c r="D29" s="28"/>
      <c r="E29" s="23"/>
    </row>
    <row r="30" spans="1:5" ht="15" thickBot="1">
      <c r="A30" s="22" t="s">
        <v>38</v>
      </c>
      <c r="D30" s="33">
        <f>D47</f>
        <v>605931825</v>
      </c>
      <c r="E30" s="34">
        <f>E47</f>
        <v>570831738</v>
      </c>
    </row>
    <row r="31" spans="1:5" ht="15" thickTop="1">
      <c r="A31" s="22"/>
      <c r="D31" s="28"/>
      <c r="E31" s="23"/>
    </row>
    <row r="32" spans="1:5" ht="15" thickBot="1">
      <c r="A32" s="35" t="s">
        <v>39</v>
      </c>
      <c r="B32" s="36"/>
      <c r="C32" s="36"/>
      <c r="D32" s="37">
        <f>D28/D30</f>
        <v>3.5835582658164554E-3</v>
      </c>
      <c r="E32" s="38">
        <f>E28/E30</f>
        <v>5.9495863210044568E-2</v>
      </c>
    </row>
    <row r="33" spans="1:5" ht="15.6" thickTop="1" thickBot="1">
      <c r="A33" s="39"/>
      <c r="B33" s="40"/>
      <c r="C33" s="40"/>
      <c r="D33" s="41"/>
      <c r="E33" s="42"/>
    </row>
    <row r="34" spans="1:5">
      <c r="D34" s="17"/>
      <c r="E34" s="17"/>
    </row>
    <row r="35" spans="1:5">
      <c r="A35" s="1" t="s">
        <v>40</v>
      </c>
      <c r="D35" s="17"/>
      <c r="E35" s="17"/>
    </row>
    <row r="36" spans="1:5" ht="15" thickBot="1">
      <c r="D36" s="65" t="s">
        <v>16</v>
      </c>
      <c r="E36" s="65" t="s">
        <v>17</v>
      </c>
    </row>
    <row r="37" spans="1:5">
      <c r="A37" s="44" t="s">
        <v>41</v>
      </c>
      <c r="B37" s="45"/>
      <c r="C37" s="45"/>
      <c r="D37" s="51">
        <f>ROUND('Copy Other Data Here'!C6,0)</f>
        <v>1123484081</v>
      </c>
      <c r="E37" s="52">
        <f>ROUND(+'Copy Other Data Here'!C19,0)</f>
        <v>1079639139</v>
      </c>
    </row>
    <row r="38" spans="1:5">
      <c r="A38" s="22" t="s">
        <v>42</v>
      </c>
      <c r="D38" s="26">
        <f>ROUND('Copy Other Data Here'!C7,0)</f>
        <v>-477833193</v>
      </c>
      <c r="E38" s="27">
        <f>ROUND(+'Copy Other Data Here'!C20,0)</f>
        <v>-466434723</v>
      </c>
    </row>
    <row r="39" spans="1:5">
      <c r="A39" s="22" t="s">
        <v>43</v>
      </c>
      <c r="D39" s="28">
        <f>D37+D38</f>
        <v>645650888</v>
      </c>
      <c r="E39" s="23">
        <f>E37+E38</f>
        <v>613204416</v>
      </c>
    </row>
    <row r="40" spans="1:5">
      <c r="A40" s="22"/>
      <c r="D40" s="28"/>
      <c r="E40" s="23"/>
    </row>
    <row r="41" spans="1:5">
      <c r="A41" s="22" t="s">
        <v>44</v>
      </c>
      <c r="D41" s="28"/>
      <c r="E41" s="23"/>
    </row>
    <row r="42" spans="1:5">
      <c r="A42" s="22"/>
      <c r="B42" s="1" t="s">
        <v>45</v>
      </c>
      <c r="D42" s="24">
        <f>ROUND('Copy Other Data Here'!C9,0)</f>
        <v>-34072</v>
      </c>
      <c r="E42" s="25">
        <f>ROUND(+'Copy Other Data Here'!C22,0)</f>
        <v>-60307</v>
      </c>
    </row>
    <row r="43" spans="1:5">
      <c r="A43" s="22"/>
      <c r="B43" s="1" t="s">
        <v>46</v>
      </c>
      <c r="D43" s="26">
        <f>ROUND('Copy Other Data Here'!C10,0)</f>
        <v>-76933733</v>
      </c>
      <c r="E43" s="27">
        <f>ROUND(+'Copy Other Data Here'!C23,0)</f>
        <v>-77388615</v>
      </c>
    </row>
    <row r="44" spans="1:5">
      <c r="A44" s="22"/>
      <c r="C44" s="1" t="s">
        <v>47</v>
      </c>
      <c r="D44" s="28">
        <f>D39+SUM(D42:D43)</f>
        <v>568683083</v>
      </c>
      <c r="E44" s="23">
        <f>E39+SUM(E42:E43)</f>
        <v>535755494</v>
      </c>
    </row>
    <row r="45" spans="1:5">
      <c r="A45" s="22"/>
      <c r="D45" s="28"/>
      <c r="E45" s="23"/>
    </row>
    <row r="46" spans="1:5">
      <c r="A46" s="22" t="s">
        <v>48</v>
      </c>
      <c r="D46" s="26">
        <f>ROUND('Copy Other Data Here'!C12,0)</f>
        <v>37248742</v>
      </c>
      <c r="E46" s="27">
        <f>ROUND('Copy Other Data Here'!C25,0)</f>
        <v>35076244</v>
      </c>
    </row>
    <row r="47" spans="1:5" ht="15" thickBot="1">
      <c r="A47" s="39" t="s">
        <v>49</v>
      </c>
      <c r="B47" s="40"/>
      <c r="C47" s="40"/>
      <c r="D47" s="46">
        <f>D44+D46</f>
        <v>605931825</v>
      </c>
      <c r="E47" s="47">
        <f>E44+E46</f>
        <v>570831738</v>
      </c>
    </row>
    <row r="48" spans="1:5">
      <c r="D48" s="17"/>
      <c r="E48" s="17"/>
    </row>
    <row r="49" spans="1:5">
      <c r="A49" s="1" t="s">
        <v>50</v>
      </c>
      <c r="D49" s="17"/>
      <c r="E49" s="17"/>
    </row>
    <row r="50" spans="1:5">
      <c r="D50" s="17"/>
      <c r="E50" s="17"/>
    </row>
    <row r="51" spans="1:5">
      <c r="D51" s="17"/>
      <c r="E51" s="17"/>
    </row>
    <row r="52" spans="1:5">
      <c r="D52" s="17"/>
      <c r="E52" s="17"/>
    </row>
    <row r="53" spans="1:5">
      <c r="D53" s="17"/>
      <c r="E53" s="17"/>
    </row>
    <row r="54" spans="1:5">
      <c r="D54" s="17"/>
      <c r="E54" s="17"/>
    </row>
    <row r="55" spans="1:5">
      <c r="D55" s="17"/>
      <c r="E55" s="17"/>
    </row>
    <row r="56" spans="1:5">
      <c r="D56" s="17"/>
      <c r="E56" s="17"/>
    </row>
  </sheetData>
  <mergeCells count="1">
    <mergeCell ref="A5:E5"/>
  </mergeCells>
  <printOptions horizontalCentered="1"/>
  <pageMargins left="0.5" right="0.5" top="1" bottom="1" header="0.5" footer="0.5"/>
  <pageSetup scale="88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56"/>
  <sheetViews>
    <sheetView topLeftCell="A20" zoomScaleNormal="100" zoomScaleSheetLayoutView="70" workbookViewId="0">
      <selection activeCell="E47" sqref="E47"/>
    </sheetView>
  </sheetViews>
  <sheetFormatPr defaultColWidth="9.140625" defaultRowHeight="14.45"/>
  <cols>
    <col min="1" max="1" width="6.42578125" style="1" customWidth="1"/>
    <col min="2" max="2" width="7.7109375" style="1" customWidth="1"/>
    <col min="3" max="3" width="34.28515625" style="1" customWidth="1"/>
    <col min="4" max="4" width="17.5703125" style="81" customWidth="1"/>
    <col min="5" max="5" width="17.5703125" style="83" customWidth="1"/>
    <col min="6" max="16384" width="9.140625" style="1"/>
  </cols>
  <sheetData>
    <row r="1" spans="1:5" ht="21" customHeight="1">
      <c r="E1" s="82"/>
    </row>
    <row r="2" spans="1:5" ht="18.75" customHeight="1">
      <c r="A2" s="4" t="s">
        <v>13</v>
      </c>
      <c r="B2" s="4"/>
      <c r="C2" s="4"/>
      <c r="D2" s="48"/>
      <c r="E2" s="48"/>
    </row>
    <row r="3" spans="1:5" ht="18" customHeight="1">
      <c r="A3" s="4" t="s">
        <v>14</v>
      </c>
      <c r="B3" s="4"/>
      <c r="C3" s="4"/>
      <c r="D3" s="48"/>
      <c r="E3" s="48"/>
    </row>
    <row r="4" spans="1:5">
      <c r="A4" s="4" t="s">
        <v>15</v>
      </c>
      <c r="B4" s="4"/>
      <c r="C4" s="4"/>
      <c r="D4" s="48"/>
      <c r="E4" s="48"/>
    </row>
    <row r="5" spans="1:5">
      <c r="A5" s="159" t="str">
        <f>"Month and Twelve Months Ended " &amp; TEXT(DATE(YEAR(StatementDate),MONTH(StatementDate),1)-1,"m/d/yyy")</f>
        <v>Month and Twelve Months Ended 11/30/2023</v>
      </c>
      <c r="B5" s="159"/>
      <c r="C5" s="159"/>
      <c r="D5" s="159"/>
      <c r="E5" s="159"/>
    </row>
    <row r="6" spans="1:5">
      <c r="A6" s="16"/>
      <c r="D6" s="17"/>
      <c r="E6" s="17"/>
    </row>
    <row r="7" spans="1:5" ht="15" thickBot="1">
      <c r="A7" s="4"/>
      <c r="B7" s="14"/>
      <c r="C7" s="14"/>
      <c r="D7" s="15"/>
      <c r="E7" s="15"/>
    </row>
    <row r="8" spans="1:5">
      <c r="A8" s="18"/>
      <c r="B8" s="19"/>
      <c r="C8" s="19"/>
      <c r="D8" s="20" t="s">
        <v>16</v>
      </c>
      <c r="E8" s="21" t="s">
        <v>17</v>
      </c>
    </row>
    <row r="9" spans="1:5">
      <c r="A9" s="22" t="s">
        <v>18</v>
      </c>
      <c r="D9" s="1"/>
      <c r="E9" s="23"/>
    </row>
    <row r="10" spans="1:5">
      <c r="A10" s="22"/>
      <c r="B10" s="1" t="s">
        <v>19</v>
      </c>
      <c r="D10" s="24">
        <f>ROUND(+'Copy Allocation Report Here'!D10,0)</f>
        <v>40588476</v>
      </c>
      <c r="E10" s="25">
        <f>ROUND(+'Copy Allocation Report Here'!G10,0)</f>
        <v>356432027</v>
      </c>
    </row>
    <row r="11" spans="1:5">
      <c r="A11" s="22"/>
      <c r="B11" s="1" t="s">
        <v>20</v>
      </c>
      <c r="D11" s="24">
        <f>ROUND(+'Copy Allocation Report Here'!D14,0)</f>
        <v>2883685</v>
      </c>
      <c r="E11" s="25">
        <f>ROUND(+'Copy Allocation Report Here'!G14,0)</f>
        <v>30257148</v>
      </c>
    </row>
    <row r="12" spans="1:5">
      <c r="A12" s="22"/>
      <c r="B12" s="1" t="s">
        <v>21</v>
      </c>
      <c r="D12" s="26">
        <f>ROUND(+'Copy Allocation Report Here'!D20-'Copy Allocation Report Here'!D14,0)</f>
        <v>88121</v>
      </c>
      <c r="E12" s="27">
        <f>ROUND(+'Copy Allocation Report Here'!G20-'Copy Allocation Report Here'!G14,0)</f>
        <v>2245657</v>
      </c>
    </row>
    <row r="13" spans="1:5">
      <c r="A13" s="22"/>
      <c r="D13" s="28">
        <f>SUM(D10:D12)</f>
        <v>43560282</v>
      </c>
      <c r="E13" s="23">
        <f>SUM(E10:E12)</f>
        <v>388934832</v>
      </c>
    </row>
    <row r="14" spans="1:5">
      <c r="A14" s="22" t="s">
        <v>22</v>
      </c>
      <c r="B14" s="1" t="s">
        <v>23</v>
      </c>
      <c r="D14" s="24">
        <f>ROUND(+'Copy Allocation Report Here'!D30+'Copy Allocation Report Here'!D44,0)</f>
        <v>25844449</v>
      </c>
      <c r="E14" s="25">
        <f>ROUND(+'Copy Allocation Report Here'!G30+'Copy Allocation Report Here'!G44,0)</f>
        <v>225633626</v>
      </c>
    </row>
    <row r="15" spans="1:5">
      <c r="A15" s="22"/>
      <c r="B15" s="1" t="s">
        <v>24</v>
      </c>
      <c r="D15" s="24">
        <f>ROUND(+'Copy Allocation Report Here'!D46,0)</f>
        <v>2983492</v>
      </c>
      <c r="E15" s="25">
        <f>ROUND(+'Copy Allocation Report Here'!G46,0)</f>
        <v>34240639</v>
      </c>
    </row>
    <row r="16" spans="1:5">
      <c r="A16" s="22" t="s">
        <v>25</v>
      </c>
      <c r="D16" s="29">
        <f>D13-D14-D15</f>
        <v>14732341</v>
      </c>
      <c r="E16" s="30">
        <f>E13-E14-E15</f>
        <v>129060567</v>
      </c>
    </row>
    <row r="17" spans="1:5">
      <c r="A17" s="22" t="s">
        <v>26</v>
      </c>
      <c r="D17" s="28"/>
      <c r="E17" s="23"/>
    </row>
    <row r="18" spans="1:5">
      <c r="A18" s="22"/>
      <c r="B18" s="1" t="s">
        <v>27</v>
      </c>
      <c r="D18" s="28">
        <f>ROUND('Copy Allocation Report Here'!D50,0)</f>
        <v>32768</v>
      </c>
      <c r="E18" s="23">
        <f>ROUND('Copy Allocation Report Here'!G50,0)</f>
        <v>574741</v>
      </c>
    </row>
    <row r="19" spans="1:5">
      <c r="A19" s="22"/>
      <c r="B19" s="1" t="s">
        <v>28</v>
      </c>
      <c r="D19" s="24">
        <f>ROUND(+'Copy Allocation Report Here'!D80,0)</f>
        <v>2059552</v>
      </c>
      <c r="E19" s="25">
        <f>ROUND(+'Copy Allocation Report Here'!G80,0)</f>
        <v>22143219</v>
      </c>
    </row>
    <row r="20" spans="1:5">
      <c r="A20" s="22"/>
      <c r="B20" s="1" t="s">
        <v>29</v>
      </c>
      <c r="D20" s="24">
        <f>ROUND(+'Copy Allocation Report Here'!D88,0)</f>
        <v>866900</v>
      </c>
      <c r="E20" s="25">
        <f>ROUND(+'Copy Allocation Report Here'!G88,0)</f>
        <v>7661957</v>
      </c>
    </row>
    <row r="21" spans="1:5">
      <c r="A21" s="22"/>
      <c r="B21" s="1" t="s">
        <v>30</v>
      </c>
      <c r="D21" s="24">
        <f>ROUND(+'Copy Allocation Report Here'!D95,0)</f>
        <v>1350140</v>
      </c>
      <c r="E21" s="25">
        <f>ROUND(+'Copy Allocation Report Here'!G95,0)</f>
        <v>7853712</v>
      </c>
    </row>
    <row r="22" spans="1:5">
      <c r="A22" s="22"/>
      <c r="B22" s="1" t="s">
        <v>31</v>
      </c>
      <c r="D22" s="24">
        <f>ROUND(+'Copy Allocation Report Here'!D102,0)</f>
        <v>1363</v>
      </c>
      <c r="E22" s="25">
        <f>ROUND(+'Copy Allocation Report Here'!G102,0)</f>
        <v>9500</v>
      </c>
    </row>
    <row r="23" spans="1:5">
      <c r="A23" s="22"/>
      <c r="B23" s="1" t="s">
        <v>32</v>
      </c>
      <c r="D23" s="24">
        <f>ROUND(+'Copy Allocation Report Here'!D118,0)-1</f>
        <v>1734908</v>
      </c>
      <c r="E23" s="25">
        <f>ROUND(+'Copy Allocation Report Here'!G118,0)</f>
        <v>23698441</v>
      </c>
    </row>
    <row r="24" spans="1:5">
      <c r="A24" s="22"/>
      <c r="B24" s="1" t="s">
        <v>33</v>
      </c>
      <c r="D24" s="24">
        <f>ROUND(+'Copy Allocation Report Here'!D130,0)</f>
        <v>2651860</v>
      </c>
      <c r="E24" s="25">
        <f>ROUND(+'Copy Allocation Report Here'!G130,0)</f>
        <v>30924338</v>
      </c>
    </row>
    <row r="25" spans="1:5">
      <c r="A25" s="22"/>
      <c r="B25" s="1" t="s">
        <v>34</v>
      </c>
      <c r="D25" s="24">
        <f>ROUND(+'Copy Allocation Report Here'!D135,0)</f>
        <v>378406</v>
      </c>
      <c r="E25" s="25">
        <f>ROUND(+'Copy Allocation Report Here'!G135,0)</f>
        <v>4299537</v>
      </c>
    </row>
    <row r="26" spans="1:5">
      <c r="A26" s="22"/>
      <c r="B26" s="1" t="s">
        <v>35</v>
      </c>
      <c r="D26" s="24">
        <f>ROUND(+'Copy Allocation Report Here'!D144,0)</f>
        <v>581068</v>
      </c>
      <c r="E26" s="25">
        <f>ROUND(+'Copy Allocation Report Here'!G144,0)</f>
        <v>-217456</v>
      </c>
    </row>
    <row r="27" spans="1:5">
      <c r="A27" s="22"/>
      <c r="C27" s="1" t="s">
        <v>36</v>
      </c>
      <c r="D27" s="29">
        <f>SUM(D18:D26)</f>
        <v>9656965</v>
      </c>
      <c r="E27" s="30">
        <f>SUM(E18:E26)</f>
        <v>96947989</v>
      </c>
    </row>
    <row r="28" spans="1:5" ht="15" thickBot="1">
      <c r="A28" s="22" t="s">
        <v>37</v>
      </c>
      <c r="D28" s="31">
        <f>D16-D27</f>
        <v>5075376</v>
      </c>
      <c r="E28" s="32">
        <f>E16-E27</f>
        <v>32112578</v>
      </c>
    </row>
    <row r="29" spans="1:5" ht="15" thickTop="1">
      <c r="A29" s="22"/>
      <c r="D29" s="28"/>
      <c r="E29" s="23"/>
    </row>
    <row r="30" spans="1:5" ht="15" thickBot="1">
      <c r="A30" s="22" t="s">
        <v>38</v>
      </c>
      <c r="D30" s="33">
        <f>D47</f>
        <v>610814720</v>
      </c>
      <c r="E30" s="34">
        <f>E47</f>
        <v>578929513</v>
      </c>
    </row>
    <row r="31" spans="1:5" ht="15" thickTop="1">
      <c r="A31" s="22"/>
      <c r="D31" s="28"/>
      <c r="E31" s="23"/>
    </row>
    <row r="32" spans="1:5" ht="15" thickBot="1">
      <c r="A32" s="35" t="s">
        <v>39</v>
      </c>
      <c r="B32" s="36"/>
      <c r="C32" s="36"/>
      <c r="D32" s="37">
        <f>D28/D30</f>
        <v>8.3091907149847339E-3</v>
      </c>
      <c r="E32" s="38">
        <f>E28/E30</f>
        <v>5.546889090796793E-2</v>
      </c>
    </row>
    <row r="33" spans="1:5" ht="15.6" thickTop="1" thickBot="1">
      <c r="A33" s="39"/>
      <c r="B33" s="40"/>
      <c r="C33" s="40"/>
      <c r="D33" s="41"/>
      <c r="E33" s="42"/>
    </row>
    <row r="34" spans="1:5">
      <c r="D34" s="17"/>
      <c r="E34" s="17"/>
    </row>
    <row r="35" spans="1:5">
      <c r="A35" s="1" t="s">
        <v>40</v>
      </c>
      <c r="D35" s="17"/>
      <c r="E35" s="17"/>
    </row>
    <row r="36" spans="1:5" ht="15" thickBot="1">
      <c r="D36" s="65" t="s">
        <v>16</v>
      </c>
      <c r="E36" s="65" t="s">
        <v>17</v>
      </c>
    </row>
    <row r="37" spans="1:5">
      <c r="A37" s="44" t="s">
        <v>41</v>
      </c>
      <c r="B37" s="45"/>
      <c r="C37" s="45"/>
      <c r="D37" s="51">
        <f>ROUND('Copy Other Data Here'!D6,0)</f>
        <v>1128071211</v>
      </c>
      <c r="E37" s="52">
        <f>ROUND(+'Copy Other Data Here'!D19,0)</f>
        <v>1086497622</v>
      </c>
    </row>
    <row r="38" spans="1:5">
      <c r="A38" s="22" t="s">
        <v>42</v>
      </c>
      <c r="D38" s="26">
        <f>ROUND('Copy Other Data Here'!D7,0)</f>
        <v>-480494744</v>
      </c>
      <c r="E38" s="27">
        <f>ROUND(+'Copy Other Data Here'!D20,0)</f>
        <v>-468405359</v>
      </c>
    </row>
    <row r="39" spans="1:5">
      <c r="A39" s="22" t="s">
        <v>43</v>
      </c>
      <c r="D39" s="28">
        <f>D37+D38</f>
        <v>647576467</v>
      </c>
      <c r="E39" s="23">
        <f>E37+E38</f>
        <v>618092263</v>
      </c>
    </row>
    <row r="40" spans="1:5">
      <c r="A40" s="22"/>
      <c r="D40" s="28"/>
      <c r="E40" s="23"/>
    </row>
    <row r="41" spans="1:5">
      <c r="A41" s="22" t="s">
        <v>44</v>
      </c>
      <c r="D41" s="28"/>
      <c r="E41" s="23"/>
    </row>
    <row r="42" spans="1:5">
      <c r="A42" s="22"/>
      <c r="B42" s="1" t="s">
        <v>45</v>
      </c>
      <c r="D42" s="24">
        <f>ROUND('Copy Other Data Here'!D9,0)</f>
        <v>-34072</v>
      </c>
      <c r="E42" s="25">
        <f>ROUND(+'Copy Other Data Here'!D22,0)</f>
        <v>-56605</v>
      </c>
    </row>
    <row r="43" spans="1:5">
      <c r="A43" s="22"/>
      <c r="B43" s="1" t="s">
        <v>46</v>
      </c>
      <c r="D43" s="26">
        <f>ROUND('Copy Other Data Here'!D10,0)</f>
        <v>-77060729</v>
      </c>
      <c r="E43" s="27">
        <f>ROUND(+'Copy Other Data Here'!D23,0)+1</f>
        <v>-77315422</v>
      </c>
    </row>
    <row r="44" spans="1:5">
      <c r="A44" s="22"/>
      <c r="C44" s="1" t="s">
        <v>47</v>
      </c>
      <c r="D44" s="28">
        <f>D39+SUM(D42:D43)</f>
        <v>570481666</v>
      </c>
      <c r="E44" s="23">
        <f>E39+SUM(E42:E43)</f>
        <v>540720236</v>
      </c>
    </row>
    <row r="45" spans="1:5">
      <c r="A45" s="22"/>
      <c r="D45" s="28"/>
      <c r="E45" s="23"/>
    </row>
    <row r="46" spans="1:5">
      <c r="A46" s="22" t="s">
        <v>48</v>
      </c>
      <c r="D46" s="26">
        <f>ROUND('Copy Other Data Here'!D12,0)</f>
        <v>40333054</v>
      </c>
      <c r="E46" s="27">
        <f>ROUND(+'Copy Other Data Here'!D25,0)</f>
        <v>38209277</v>
      </c>
    </row>
    <row r="47" spans="1:5" ht="15" thickBot="1">
      <c r="A47" s="39" t="s">
        <v>49</v>
      </c>
      <c r="B47" s="40"/>
      <c r="C47" s="40"/>
      <c r="D47" s="46">
        <f>D44+D46</f>
        <v>610814720</v>
      </c>
      <c r="E47" s="47">
        <f>E44+E46</f>
        <v>578929513</v>
      </c>
    </row>
    <row r="48" spans="1:5">
      <c r="D48" s="17"/>
      <c r="E48" s="17"/>
    </row>
    <row r="49" spans="1:5">
      <c r="A49" s="1" t="s">
        <v>50</v>
      </c>
      <c r="D49" s="17"/>
      <c r="E49" s="17"/>
    </row>
    <row r="50" spans="1:5">
      <c r="D50" s="17"/>
      <c r="E50" s="17"/>
    </row>
    <row r="51" spans="1:5">
      <c r="D51" s="17"/>
      <c r="E51" s="17"/>
    </row>
    <row r="52" spans="1:5">
      <c r="D52" s="17"/>
      <c r="E52" s="17"/>
    </row>
    <row r="53" spans="1:5">
      <c r="D53" s="17"/>
      <c r="E53" s="17"/>
    </row>
    <row r="54" spans="1:5">
      <c r="D54" s="17"/>
      <c r="E54" s="17"/>
    </row>
    <row r="55" spans="1:5">
      <c r="D55" s="17"/>
      <c r="E55" s="17"/>
    </row>
    <row r="56" spans="1:5">
      <c r="D56" s="17"/>
      <c r="E56" s="17"/>
    </row>
  </sheetData>
  <mergeCells count="1">
    <mergeCell ref="A5:E5"/>
  </mergeCells>
  <printOptions horizontalCentered="1"/>
  <pageMargins left="0.5" right="0.5" top="1" bottom="1" header="0.5" footer="0.5"/>
  <pageSetup scale="88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56"/>
  <sheetViews>
    <sheetView zoomScaleNormal="100" zoomScaleSheetLayoutView="80" workbookViewId="0">
      <selection activeCell="E28" sqref="E28"/>
    </sheetView>
  </sheetViews>
  <sheetFormatPr defaultColWidth="9.140625" defaultRowHeight="14.45"/>
  <cols>
    <col min="1" max="1" width="6.42578125" style="1" customWidth="1"/>
    <col min="2" max="2" width="7.7109375" style="1" customWidth="1"/>
    <col min="3" max="3" width="34.28515625" style="1" customWidth="1"/>
    <col min="4" max="4" width="17.7109375" style="81" customWidth="1"/>
    <col min="5" max="5" width="17.7109375" style="83" customWidth="1"/>
    <col min="6" max="16384" width="9.140625" style="1"/>
  </cols>
  <sheetData>
    <row r="1" spans="1:5" ht="21" customHeight="1">
      <c r="E1" s="82"/>
    </row>
    <row r="2" spans="1:5" ht="18.75" customHeight="1">
      <c r="A2" s="4" t="s">
        <v>13</v>
      </c>
      <c r="B2" s="4"/>
      <c r="C2" s="4"/>
      <c r="D2" s="48"/>
      <c r="E2" s="48"/>
    </row>
    <row r="3" spans="1:5" ht="18" customHeight="1">
      <c r="A3" s="4" t="s">
        <v>14</v>
      </c>
      <c r="B3" s="4"/>
      <c r="C3" s="4"/>
      <c r="D3" s="48"/>
      <c r="E3" s="48"/>
    </row>
    <row r="4" spans="1:5">
      <c r="A4" s="4" t="s">
        <v>15</v>
      </c>
      <c r="B4" s="4"/>
      <c r="C4" s="4"/>
      <c r="D4" s="48"/>
      <c r="E4" s="48"/>
    </row>
    <row r="5" spans="1:5">
      <c r="A5" s="159" t="str">
        <f>"Month and Twelve Months Ended " &amp; TEXT(StatementDate,"m/d/yyy")</f>
        <v>Month and Twelve Months Ended 12/31/2023</v>
      </c>
      <c r="B5" s="159"/>
      <c r="C5" s="159"/>
      <c r="D5" s="159"/>
      <c r="E5" s="159"/>
    </row>
    <row r="6" spans="1:5">
      <c r="A6" s="49"/>
      <c r="B6" s="50"/>
      <c r="C6" s="50"/>
      <c r="D6" s="43"/>
      <c r="E6" s="43"/>
    </row>
    <row r="7" spans="1:5" ht="15" thickBot="1">
      <c r="A7" s="4"/>
      <c r="B7" s="14"/>
      <c r="C7" s="14"/>
      <c r="D7" s="15"/>
      <c r="E7" s="15"/>
    </row>
    <row r="8" spans="1:5">
      <c r="A8" s="18"/>
      <c r="B8" s="19"/>
      <c r="C8" s="19"/>
      <c r="D8" s="20" t="s">
        <v>16</v>
      </c>
      <c r="E8" s="21" t="s">
        <v>17</v>
      </c>
    </row>
    <row r="9" spans="1:5">
      <c r="A9" s="22" t="s">
        <v>18</v>
      </c>
      <c r="D9" s="1"/>
      <c r="E9" s="23"/>
    </row>
    <row r="10" spans="1:5">
      <c r="A10" s="22"/>
      <c r="B10" s="1" t="s">
        <v>19</v>
      </c>
      <c r="D10" s="24">
        <f>ROUND(+'Copy Allocation Report Here'!E10,0)</f>
        <v>47615518</v>
      </c>
      <c r="E10" s="25">
        <f>ROUND(+'Copy Allocation Report Here'!H10,0)</f>
        <v>343212024</v>
      </c>
    </row>
    <row r="11" spans="1:5">
      <c r="A11" s="22"/>
      <c r="B11" s="1" t="s">
        <v>20</v>
      </c>
      <c r="D11" s="24">
        <f>ROUND(+'Copy Allocation Report Here'!E14,0)</f>
        <v>2891561</v>
      </c>
      <c r="E11" s="25">
        <f>ROUND(+'Copy Allocation Report Here'!H14,0)</f>
        <v>30892186</v>
      </c>
    </row>
    <row r="12" spans="1:5">
      <c r="A12" s="22"/>
      <c r="B12" s="1" t="s">
        <v>21</v>
      </c>
      <c r="D12" s="26">
        <f>ROUND(+'Copy Allocation Report Here'!E20-'Copy Allocation Report Here'!E14,0)</f>
        <v>119815</v>
      </c>
      <c r="E12" s="27">
        <f>ROUND(+'Copy Allocation Report Here'!H20-'Copy Allocation Report Here'!H14,0)</f>
        <v>2145650</v>
      </c>
    </row>
    <row r="13" spans="1:5">
      <c r="A13" s="22"/>
      <c r="D13" s="28">
        <f>SUM(D10:D12)</f>
        <v>50626894</v>
      </c>
      <c r="E13" s="23">
        <f>SUM(E10:E12)</f>
        <v>376249860</v>
      </c>
    </row>
    <row r="14" spans="1:5">
      <c r="A14" s="22" t="s">
        <v>22</v>
      </c>
      <c r="B14" s="1" t="s">
        <v>23</v>
      </c>
      <c r="D14" s="24">
        <f>ROUND(+'Copy Allocation Report Here'!E30+'Copy Allocation Report Here'!E44,0)</f>
        <v>28733017</v>
      </c>
      <c r="E14" s="25">
        <f>ROUND(+'Copy Allocation Report Here'!H30+'Copy Allocation Report Here'!H44,0)</f>
        <v>212859302</v>
      </c>
    </row>
    <row r="15" spans="1:5">
      <c r="A15" s="22"/>
      <c r="B15" s="1" t="s">
        <v>24</v>
      </c>
      <c r="D15" s="24">
        <f>ROUND(+'Copy Allocation Report Here'!E46,0)</f>
        <v>4156600</v>
      </c>
      <c r="E15" s="25">
        <f>ROUND(+'Copy Allocation Report Here'!H46,0)</f>
        <v>32918616</v>
      </c>
    </row>
    <row r="16" spans="1:5">
      <c r="A16" s="22" t="s">
        <v>25</v>
      </c>
      <c r="D16" s="29">
        <f>D13-D14-D15</f>
        <v>17737277</v>
      </c>
      <c r="E16" s="30">
        <f>E13-E14-E15</f>
        <v>130471942</v>
      </c>
    </row>
    <row r="17" spans="1:5">
      <c r="A17" s="22" t="s">
        <v>26</v>
      </c>
      <c r="D17" s="28"/>
      <c r="E17" s="23"/>
    </row>
    <row r="18" spans="1:5">
      <c r="A18" s="22"/>
      <c r="B18" s="1" t="s">
        <v>27</v>
      </c>
      <c r="D18" s="28">
        <f>ROUND('Copy Allocation Report Here'!E50,0)</f>
        <v>32604</v>
      </c>
      <c r="E18" s="23">
        <f>ROUND('Copy Allocation Report Here'!H50,0)</f>
        <v>585410</v>
      </c>
    </row>
    <row r="19" spans="1:5">
      <c r="A19" s="22"/>
      <c r="B19" s="1" t="s">
        <v>28</v>
      </c>
      <c r="D19" s="24">
        <f>ROUND(+'Copy Allocation Report Here'!E80,0)</f>
        <v>2068714</v>
      </c>
      <c r="E19" s="25">
        <f>ROUND(+'Copy Allocation Report Here'!H80,0)</f>
        <v>22556598</v>
      </c>
    </row>
    <row r="20" spans="1:5">
      <c r="A20" s="22"/>
      <c r="B20" s="1" t="s">
        <v>29</v>
      </c>
      <c r="D20" s="24">
        <f>ROUND(+'Copy Allocation Report Here'!E88,0)</f>
        <v>955470</v>
      </c>
      <c r="E20" s="25">
        <f>ROUND(+'Copy Allocation Report Here'!H88,0)</f>
        <v>7918413</v>
      </c>
    </row>
    <row r="21" spans="1:5">
      <c r="A21" s="22"/>
      <c r="B21" s="1" t="s">
        <v>30</v>
      </c>
      <c r="D21" s="24">
        <f>ROUND(+'Copy Allocation Report Here'!E95,0)</f>
        <v>1494178</v>
      </c>
      <c r="E21" s="25">
        <f>ROUND(+'Copy Allocation Report Here'!H95,0)</f>
        <v>8284400</v>
      </c>
    </row>
    <row r="22" spans="1:5">
      <c r="A22" s="22"/>
      <c r="B22" s="1" t="s">
        <v>31</v>
      </c>
      <c r="D22" s="24">
        <f>ROUND(+'Copy Allocation Report Here'!E102,0)</f>
        <v>1301</v>
      </c>
      <c r="E22" s="25">
        <f>ROUND(+'Copy Allocation Report Here'!H102,0)</f>
        <v>18969</v>
      </c>
    </row>
    <row r="23" spans="1:5">
      <c r="A23" s="22"/>
      <c r="B23" s="1" t="s">
        <v>32</v>
      </c>
      <c r="D23" s="24">
        <f>ROUND(+'Copy Allocation Report Here'!E118,0)+2</f>
        <v>1719781</v>
      </c>
      <c r="E23" s="25">
        <f>ROUND(+'Copy Allocation Report Here'!H118,0)-2</f>
        <v>23529876</v>
      </c>
    </row>
    <row r="24" spans="1:5">
      <c r="A24" s="22"/>
      <c r="B24" s="1" t="s">
        <v>33</v>
      </c>
      <c r="D24" s="24">
        <f>ROUND(+'Copy Allocation Report Here'!E130,0)</f>
        <v>2662987</v>
      </c>
      <c r="E24" s="25">
        <f>ROUND(+'Copy Allocation Report Here'!H130,0)</f>
        <v>31072909</v>
      </c>
    </row>
    <row r="25" spans="1:5">
      <c r="A25" s="22"/>
      <c r="B25" s="1" t="s">
        <v>34</v>
      </c>
      <c r="D25" s="24">
        <f>ROUND(+'Copy Allocation Report Here'!E135,0)</f>
        <v>394134</v>
      </c>
      <c r="E25" s="25">
        <f>ROUND(+'Copy Allocation Report Here'!H135,0)</f>
        <v>4271897</v>
      </c>
    </row>
    <row r="26" spans="1:5">
      <c r="A26" s="22"/>
      <c r="B26" s="1" t="s">
        <v>35</v>
      </c>
      <c r="D26" s="24">
        <f>ROUND(+'Copy Allocation Report Here'!E144,0)</f>
        <v>1334170</v>
      </c>
      <c r="E26" s="25">
        <f>ROUND(+'Copy Allocation Report Here'!H144,0)</f>
        <v>-200205</v>
      </c>
    </row>
    <row r="27" spans="1:5">
      <c r="A27" s="22"/>
      <c r="C27" s="1" t="s">
        <v>36</v>
      </c>
      <c r="D27" s="29">
        <f>SUM(D18:D26)</f>
        <v>10663339</v>
      </c>
      <c r="E27" s="30">
        <f>SUM(E18:E26)</f>
        <v>98038267</v>
      </c>
    </row>
    <row r="28" spans="1:5" ht="15" thickBot="1">
      <c r="A28" s="22" t="s">
        <v>37</v>
      </c>
      <c r="D28" s="31">
        <f>D16-D27</f>
        <v>7073938</v>
      </c>
      <c r="E28" s="32">
        <f>E16-E27</f>
        <v>32433675</v>
      </c>
    </row>
    <row r="29" spans="1:5" ht="15" thickTop="1">
      <c r="A29" s="22"/>
      <c r="D29" s="28"/>
      <c r="E29" s="23"/>
    </row>
    <row r="30" spans="1:5" ht="15" thickBot="1">
      <c r="A30" s="22" t="s">
        <v>38</v>
      </c>
      <c r="D30" s="33">
        <f>D47</f>
        <v>621854866</v>
      </c>
      <c r="E30" s="34">
        <f>E47</f>
        <v>583520560</v>
      </c>
    </row>
    <row r="31" spans="1:5" ht="15" thickTop="1">
      <c r="A31" s="22"/>
      <c r="D31" s="28"/>
      <c r="E31" s="23"/>
    </row>
    <row r="32" spans="1:5" ht="15" thickBot="1">
      <c r="A32" s="35" t="s">
        <v>39</v>
      </c>
      <c r="B32" s="36"/>
      <c r="C32" s="36"/>
      <c r="D32" s="37">
        <f>D28/D30</f>
        <v>1.1375544981262557E-2</v>
      </c>
      <c r="E32" s="38">
        <f>E28/E30</f>
        <v>5.55827458761693E-2</v>
      </c>
    </row>
    <row r="33" spans="1:5" ht="15.6" thickTop="1" thickBot="1">
      <c r="A33" s="39"/>
      <c r="B33" s="40"/>
      <c r="C33" s="40"/>
      <c r="D33" s="41"/>
      <c r="E33" s="42"/>
    </row>
    <row r="34" spans="1:5">
      <c r="D34" s="17"/>
      <c r="E34" s="17"/>
    </row>
    <row r="35" spans="1:5">
      <c r="A35" s="1" t="s">
        <v>40</v>
      </c>
      <c r="D35" s="17"/>
      <c r="E35" s="17"/>
    </row>
    <row r="36" spans="1:5" ht="15" thickBot="1">
      <c r="D36" s="65" t="s">
        <v>16</v>
      </c>
      <c r="E36" s="65" t="s">
        <v>17</v>
      </c>
    </row>
    <row r="37" spans="1:5">
      <c r="A37" s="44" t="s">
        <v>41</v>
      </c>
      <c r="B37" s="45"/>
      <c r="C37" s="45"/>
      <c r="D37" s="51">
        <f>ROUND('Copy Other Data Here'!E6,0)</f>
        <v>1141765084</v>
      </c>
      <c r="E37" s="52">
        <f>ROUND(+'Copy Other Data Here'!E19,0)</f>
        <v>1093224989</v>
      </c>
    </row>
    <row r="38" spans="1:5">
      <c r="A38" s="22" t="s">
        <v>42</v>
      </c>
      <c r="D38" s="26">
        <f>ROUND('Copy Other Data Here'!E7,0)</f>
        <v>-482855823</v>
      </c>
      <c r="E38" s="27">
        <f>ROUND(+'Copy Other Data Here'!E20,0)</f>
        <v>-470425319</v>
      </c>
    </row>
    <row r="39" spans="1:5">
      <c r="A39" s="22" t="s">
        <v>43</v>
      </c>
      <c r="D39" s="28">
        <f>D37+D38</f>
        <v>658909261</v>
      </c>
      <c r="E39" s="23">
        <f>E37+E38</f>
        <v>622799670</v>
      </c>
    </row>
    <row r="40" spans="1:5">
      <c r="A40" s="22"/>
      <c r="D40" s="28"/>
      <c r="E40" s="23"/>
    </row>
    <row r="41" spans="1:5">
      <c r="A41" s="22" t="s">
        <v>44</v>
      </c>
      <c r="D41" s="28"/>
      <c r="E41" s="23"/>
    </row>
    <row r="42" spans="1:5">
      <c r="A42" s="22"/>
      <c r="B42" s="1" t="s">
        <v>45</v>
      </c>
      <c r="D42" s="24">
        <f>ROUND('Copy Other Data Here'!E9,0)</f>
        <v>-34072</v>
      </c>
      <c r="E42" s="25">
        <f>ROUND(+'Copy Other Data Here'!E22,0)</f>
        <v>-52942</v>
      </c>
    </row>
    <row r="43" spans="1:5">
      <c r="A43" s="22"/>
      <c r="B43" s="1" t="s">
        <v>46</v>
      </c>
      <c r="D43" s="26">
        <f>ROUND('Copy Other Data Here'!E10,0)+1</f>
        <v>-77593766</v>
      </c>
      <c r="E43" s="27">
        <f>ROUND(+'Copy Other Data Here'!E23,0)+1</f>
        <v>-77285664</v>
      </c>
    </row>
    <row r="44" spans="1:5">
      <c r="A44" s="22"/>
      <c r="C44" s="1" t="s">
        <v>47</v>
      </c>
      <c r="D44" s="28">
        <f>D39+SUM(D42:D43)</f>
        <v>581281423</v>
      </c>
      <c r="E44" s="23">
        <f>E39+SUM(E42:E43)</f>
        <v>545461064</v>
      </c>
    </row>
    <row r="45" spans="1:5">
      <c r="A45" s="22"/>
      <c r="D45" s="28"/>
      <c r="E45" s="23"/>
    </row>
    <row r="46" spans="1:5">
      <c r="A46" s="22" t="s">
        <v>48</v>
      </c>
      <c r="D46" s="26">
        <f>ROUND('Copy Other Data Here'!E12,0)</f>
        <v>40573443</v>
      </c>
      <c r="E46" s="27">
        <f>ROUND(+'Copy Other Data Here'!E25,0)</f>
        <v>38059496</v>
      </c>
    </row>
    <row r="47" spans="1:5" ht="15" thickBot="1">
      <c r="A47" s="39" t="s">
        <v>49</v>
      </c>
      <c r="B47" s="40"/>
      <c r="C47" s="40"/>
      <c r="D47" s="46">
        <f>D44+D46</f>
        <v>621854866</v>
      </c>
      <c r="E47" s="47">
        <f>E44+E46</f>
        <v>583520560</v>
      </c>
    </row>
    <row r="48" spans="1:5">
      <c r="D48" s="17"/>
      <c r="E48" s="17"/>
    </row>
    <row r="49" spans="1:5">
      <c r="A49" s="1" t="s">
        <v>50</v>
      </c>
      <c r="D49" s="17"/>
      <c r="E49" s="17"/>
    </row>
    <row r="50" spans="1:5">
      <c r="D50" s="17"/>
      <c r="E50" s="17"/>
    </row>
    <row r="51" spans="1:5">
      <c r="D51" s="17"/>
      <c r="E51" s="17"/>
    </row>
    <row r="52" spans="1:5">
      <c r="D52" s="17"/>
      <c r="E52" s="17"/>
    </row>
    <row r="53" spans="1:5">
      <c r="D53" s="17"/>
      <c r="E53" s="17"/>
    </row>
    <row r="54" spans="1:5">
      <c r="D54" s="17"/>
      <c r="E54" s="17"/>
    </row>
    <row r="55" spans="1:5">
      <c r="D55" s="17"/>
      <c r="E55" s="17"/>
    </row>
    <row r="56" spans="1:5">
      <c r="D56" s="17"/>
      <c r="E56" s="17"/>
    </row>
  </sheetData>
  <mergeCells count="1">
    <mergeCell ref="A5:E5"/>
  </mergeCells>
  <printOptions horizontalCentered="1"/>
  <pageMargins left="0.5" right="0.5" top="1" bottom="1" header="0.5" footer="0.5"/>
  <pageSetup scale="88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147"/>
  <sheetViews>
    <sheetView zoomScale="90" zoomScaleNormal="90" zoomScaleSheetLayoutView="100" workbookViewId="0">
      <pane xSplit="2" ySplit="6" topLeftCell="C135" activePane="bottomRight" state="frozen"/>
      <selection pane="bottomRight" activeCell="H146" sqref="H146"/>
      <selection pane="bottomLeft" activeCell="K40" sqref="K40"/>
      <selection pane="topRight"/>
    </sheetView>
  </sheetViews>
  <sheetFormatPr defaultColWidth="9.140625" defaultRowHeight="14.45"/>
  <cols>
    <col min="1" max="1" width="14.5703125" style="1" customWidth="1"/>
    <col min="2" max="2" width="33.5703125" style="1" bestFit="1" customWidth="1"/>
    <col min="3" max="3" width="15.28515625" style="1" bestFit="1" customWidth="1"/>
    <col min="4" max="4" width="15.7109375" style="1" bestFit="1" customWidth="1"/>
    <col min="5" max="5" width="15" style="1" bestFit="1" customWidth="1"/>
    <col min="6" max="6" width="16.85546875" style="1" bestFit="1" customWidth="1"/>
    <col min="7" max="7" width="17.140625" style="1" customWidth="1"/>
    <col min="8" max="8" width="16.85546875" style="1" bestFit="1" customWidth="1"/>
    <col min="9" max="9" width="9.140625" style="1"/>
    <col min="10" max="10" width="14.28515625" style="1" bestFit="1" customWidth="1"/>
    <col min="11" max="15" width="9.140625" style="1"/>
    <col min="16" max="16" width="19" style="1" bestFit="1" customWidth="1"/>
    <col min="17" max="17" width="28.140625" style="1" bestFit="1" customWidth="1"/>
    <col min="18" max="18" width="9.140625" style="1"/>
    <col min="19" max="19" width="13.5703125" style="1" bestFit="1" customWidth="1"/>
    <col min="20" max="20" width="13.42578125" style="1" customWidth="1"/>
    <col min="21" max="16384" width="9.140625" style="1"/>
  </cols>
  <sheetData>
    <row r="1" spans="1:20">
      <c r="A1" s="1" t="s">
        <v>13</v>
      </c>
    </row>
    <row r="2" spans="1:20">
      <c r="A2" s="1" t="s">
        <v>1</v>
      </c>
    </row>
    <row r="3" spans="1:20">
      <c r="A3" s="1" t="s">
        <v>51</v>
      </c>
      <c r="B3" s="96">
        <f>E6</f>
        <v>45291</v>
      </c>
      <c r="C3" s="57"/>
      <c r="D3" s="57"/>
      <c r="E3" s="57"/>
      <c r="F3" s="57"/>
      <c r="G3" s="57"/>
      <c r="H3" s="57"/>
    </row>
    <row r="4" spans="1:20" ht="15" thickBot="1">
      <c r="B4" s="96"/>
      <c r="C4" s="57"/>
      <c r="D4" s="57"/>
      <c r="E4" s="57"/>
      <c r="F4" s="57"/>
      <c r="G4" s="57"/>
      <c r="H4" s="57"/>
    </row>
    <row r="5" spans="1:20" ht="18.75" customHeight="1" thickBot="1">
      <c r="A5" s="168"/>
      <c r="B5" s="169"/>
      <c r="C5" s="165" t="s">
        <v>52</v>
      </c>
      <c r="D5" s="166"/>
      <c r="E5" s="167"/>
      <c r="F5" s="165" t="s">
        <v>53</v>
      </c>
      <c r="G5" s="166"/>
      <c r="H5" s="167"/>
    </row>
    <row r="6" spans="1:20" s="97" customFormat="1" ht="52.5" customHeight="1" thickBot="1">
      <c r="A6" s="163" t="s">
        <v>54</v>
      </c>
      <c r="B6" s="164"/>
      <c r="C6" s="140">
        <v>45230</v>
      </c>
      <c r="D6" s="140">
        <v>45260</v>
      </c>
      <c r="E6" s="140">
        <v>45291</v>
      </c>
      <c r="F6" s="141" t="s">
        <v>55</v>
      </c>
      <c r="G6" s="141" t="s">
        <v>56</v>
      </c>
      <c r="H6" s="142" t="s">
        <v>57</v>
      </c>
    </row>
    <row r="7" spans="1:20">
      <c r="A7" s="98" t="s">
        <v>58</v>
      </c>
      <c r="B7" s="99"/>
      <c r="C7" s="150"/>
      <c r="D7" s="84"/>
      <c r="E7" s="85"/>
      <c r="F7" s="150"/>
      <c r="G7" s="84"/>
      <c r="H7" s="86"/>
      <c r="S7" s="100"/>
      <c r="T7" s="100"/>
    </row>
    <row r="8" spans="1:20">
      <c r="A8" s="101" t="s">
        <v>59</v>
      </c>
      <c r="B8" s="102" t="s">
        <v>60</v>
      </c>
      <c r="C8" s="151">
        <v>12185614.609999999</v>
      </c>
      <c r="D8" s="151">
        <v>23368740.440000001</v>
      </c>
      <c r="E8" s="61">
        <v>26777751.890000001</v>
      </c>
      <c r="F8" s="59">
        <v>194533962.99000001</v>
      </c>
      <c r="G8" s="60">
        <v>191970890.91000003</v>
      </c>
      <c r="H8" s="63">
        <v>184788541.16999999</v>
      </c>
      <c r="S8" s="100"/>
      <c r="T8" s="100"/>
    </row>
    <row r="9" spans="1:20">
      <c r="A9" s="101" t="s">
        <v>61</v>
      </c>
      <c r="B9" s="102" t="s">
        <v>62</v>
      </c>
      <c r="C9" s="151">
        <v>11305170.73</v>
      </c>
      <c r="D9" s="151">
        <v>17219736.050000001</v>
      </c>
      <c r="E9" s="61">
        <v>20837766.48</v>
      </c>
      <c r="F9" s="59">
        <v>165907586.66</v>
      </c>
      <c r="G9" s="60">
        <v>164461136.29000002</v>
      </c>
      <c r="H9" s="63">
        <v>158423482.77000001</v>
      </c>
      <c r="S9" s="100"/>
      <c r="T9" s="100"/>
    </row>
    <row r="10" spans="1:20">
      <c r="A10" s="98" t="s">
        <v>63</v>
      </c>
      <c r="B10" s="99"/>
      <c r="C10" s="121">
        <f>+C8+C9</f>
        <v>23490785.34</v>
      </c>
      <c r="D10" s="121">
        <f t="shared" ref="D10:H10" si="0">+D8+D9</f>
        <v>40588476.490000002</v>
      </c>
      <c r="E10" s="121">
        <f t="shared" si="0"/>
        <v>47615518.370000005</v>
      </c>
      <c r="F10" s="121">
        <f t="shared" si="0"/>
        <v>360441549.64999998</v>
      </c>
      <c r="G10" s="121">
        <f t="shared" si="0"/>
        <v>356432027.20000005</v>
      </c>
      <c r="H10" s="136">
        <f t="shared" si="0"/>
        <v>343212023.94</v>
      </c>
      <c r="S10" s="100"/>
      <c r="T10" s="100"/>
    </row>
    <row r="11" spans="1:20">
      <c r="A11" s="103"/>
      <c r="B11" s="99"/>
      <c r="C11" s="59"/>
      <c r="D11" s="60"/>
      <c r="E11" s="61"/>
      <c r="F11" s="59"/>
      <c r="G11" s="60"/>
      <c r="H11" s="63"/>
      <c r="S11" s="100"/>
      <c r="T11" s="100"/>
    </row>
    <row r="12" spans="1:20">
      <c r="A12" s="98" t="s">
        <v>64</v>
      </c>
      <c r="B12" s="99"/>
      <c r="C12" s="59"/>
      <c r="D12" s="60"/>
      <c r="E12" s="61"/>
      <c r="F12" s="59"/>
      <c r="G12" s="60"/>
      <c r="H12" s="63"/>
      <c r="S12" s="100"/>
      <c r="T12" s="100"/>
    </row>
    <row r="13" spans="1:20">
      <c r="A13" s="101" t="s">
        <v>65</v>
      </c>
      <c r="B13" s="102" t="s">
        <v>66</v>
      </c>
      <c r="C13" s="59">
        <v>28339.98</v>
      </c>
      <c r="D13" s="60">
        <v>19873.990000000002</v>
      </c>
      <c r="E13" s="61">
        <v>23950.17</v>
      </c>
      <c r="F13" s="59">
        <v>365995.43000000005</v>
      </c>
      <c r="G13" s="60">
        <v>365115.24</v>
      </c>
      <c r="H13" s="63">
        <v>363239.85</v>
      </c>
      <c r="S13" s="100"/>
      <c r="T13" s="100"/>
    </row>
    <row r="14" spans="1:20">
      <c r="A14" s="104" t="s">
        <v>67</v>
      </c>
      <c r="B14" s="102" t="s">
        <v>68</v>
      </c>
      <c r="C14" s="59">
        <v>2687903</v>
      </c>
      <c r="D14" s="60">
        <v>2883684.54</v>
      </c>
      <c r="E14" s="61">
        <v>2891561.04</v>
      </c>
      <c r="F14" s="59">
        <v>30012279.73</v>
      </c>
      <c r="G14" s="60">
        <v>30257148.310000002</v>
      </c>
      <c r="H14" s="63">
        <v>30892186.289999999</v>
      </c>
      <c r="S14" s="100"/>
      <c r="T14" s="100"/>
    </row>
    <row r="15" spans="1:20">
      <c r="A15" s="104" t="s">
        <v>69</v>
      </c>
      <c r="B15" s="102" t="s">
        <v>70</v>
      </c>
      <c r="C15" s="59">
        <v>34602.769999999997</v>
      </c>
      <c r="D15" s="60">
        <v>33876.089999999997</v>
      </c>
      <c r="E15" s="61">
        <v>45487.17</v>
      </c>
      <c r="F15" s="59">
        <v>251146.84</v>
      </c>
      <c r="G15" s="60">
        <v>285022.93</v>
      </c>
      <c r="H15" s="63">
        <v>330510.09999999998</v>
      </c>
      <c r="S15" s="105"/>
      <c r="T15" s="105"/>
    </row>
    <row r="16" spans="1:20">
      <c r="A16" s="104" t="s">
        <v>71</v>
      </c>
      <c r="B16" s="102" t="s">
        <v>72</v>
      </c>
      <c r="C16" s="59">
        <v>8054.26</v>
      </c>
      <c r="D16" s="60">
        <v>8054.26</v>
      </c>
      <c r="E16" s="61">
        <v>8054.26</v>
      </c>
      <c r="F16" s="59">
        <v>103944.62</v>
      </c>
      <c r="G16" s="60">
        <v>96397.51999999999</v>
      </c>
      <c r="H16" s="63">
        <v>96651.1</v>
      </c>
    </row>
    <row r="17" spans="1:19">
      <c r="A17" s="104" t="s">
        <v>73</v>
      </c>
      <c r="B17" s="102" t="s">
        <v>74</v>
      </c>
      <c r="C17" s="59">
        <v>-101413.42</v>
      </c>
      <c r="D17" s="60">
        <v>4396.28</v>
      </c>
      <c r="E17" s="61">
        <v>11881.76</v>
      </c>
      <c r="F17" s="59">
        <v>134412.24</v>
      </c>
      <c r="G17" s="60">
        <v>133208.74</v>
      </c>
      <c r="H17" s="63">
        <v>140885.44999999998</v>
      </c>
    </row>
    <row r="18" spans="1:19">
      <c r="A18" s="101" t="s">
        <v>75</v>
      </c>
      <c r="B18" s="102" t="s">
        <v>76</v>
      </c>
      <c r="C18" s="59">
        <v>0</v>
      </c>
      <c r="D18" s="60">
        <v>0</v>
      </c>
      <c r="E18" s="61">
        <v>0</v>
      </c>
      <c r="F18" s="59">
        <v>0</v>
      </c>
      <c r="G18" s="60">
        <v>0</v>
      </c>
      <c r="H18" s="63">
        <v>0</v>
      </c>
      <c r="S18" s="106"/>
    </row>
    <row r="19" spans="1:19">
      <c r="A19" s="107">
        <v>4962</v>
      </c>
      <c r="B19" s="102" t="s">
        <v>77</v>
      </c>
      <c r="C19" s="59">
        <v>-7087.02</v>
      </c>
      <c r="D19" s="143">
        <v>21920.42</v>
      </c>
      <c r="E19" s="62">
        <v>30441.66</v>
      </c>
      <c r="F19" s="59">
        <v>1476346.21</v>
      </c>
      <c r="G19" s="143">
        <v>1365912.24</v>
      </c>
      <c r="H19" s="122">
        <v>1214363.21</v>
      </c>
      <c r="S19" s="106"/>
    </row>
    <row r="20" spans="1:19">
      <c r="A20" s="98" t="s">
        <v>78</v>
      </c>
      <c r="B20" s="99"/>
      <c r="C20" s="121">
        <f>SUM(C13:C19)</f>
        <v>2650399.5699999998</v>
      </c>
      <c r="D20" s="121">
        <f>SUM(D13:D19)</f>
        <v>2971805.5799999996</v>
      </c>
      <c r="E20" s="121">
        <f t="shared" ref="E20:H20" si="1">SUM(E13:E19)</f>
        <v>3011376.0599999996</v>
      </c>
      <c r="F20" s="121">
        <f t="shared" si="1"/>
        <v>32344125.07</v>
      </c>
      <c r="G20" s="121">
        <f>SUM(G13:G19)</f>
        <v>32502804.979999997</v>
      </c>
      <c r="H20" s="136">
        <f t="shared" si="1"/>
        <v>33037836.000000004</v>
      </c>
      <c r="S20" s="106"/>
    </row>
    <row r="21" spans="1:19" ht="15" thickBot="1">
      <c r="A21" s="98" t="s">
        <v>79</v>
      </c>
      <c r="B21" s="99"/>
      <c r="C21" s="123">
        <f>+C20+C10</f>
        <v>26141184.91</v>
      </c>
      <c r="D21" s="123">
        <f t="shared" ref="D21:H21" si="2">+D20+D10</f>
        <v>43560282.07</v>
      </c>
      <c r="E21" s="123">
        <f t="shared" si="2"/>
        <v>50626894.430000007</v>
      </c>
      <c r="F21" s="123">
        <f t="shared" si="2"/>
        <v>392785674.71999997</v>
      </c>
      <c r="G21" s="123">
        <f t="shared" si="2"/>
        <v>388934832.18000007</v>
      </c>
      <c r="H21" s="137">
        <f t="shared" si="2"/>
        <v>376249859.94</v>
      </c>
      <c r="S21" s="106"/>
    </row>
    <row r="22" spans="1:19" ht="15" thickTop="1">
      <c r="A22" s="108"/>
      <c r="B22" s="99"/>
      <c r="C22" s="59"/>
      <c r="D22" s="60"/>
      <c r="E22" s="61"/>
      <c r="F22" s="59"/>
      <c r="G22" s="60"/>
      <c r="H22" s="63"/>
      <c r="S22" s="106"/>
    </row>
    <row r="23" spans="1:19">
      <c r="A23" s="98" t="s">
        <v>80</v>
      </c>
      <c r="B23" s="99"/>
      <c r="C23" s="59"/>
      <c r="D23" s="60"/>
      <c r="E23" s="61"/>
      <c r="F23" s="59"/>
      <c r="G23" s="60"/>
      <c r="H23" s="63"/>
      <c r="S23" s="106"/>
    </row>
    <row r="24" spans="1:19">
      <c r="A24" s="101" t="s">
        <v>81</v>
      </c>
      <c r="B24" s="102" t="s">
        <v>82</v>
      </c>
      <c r="C24" s="59">
        <v>10982184.119999999</v>
      </c>
      <c r="D24" s="60">
        <v>18285671.25</v>
      </c>
      <c r="E24" s="61">
        <v>30378652.989999998</v>
      </c>
      <c r="F24" s="59">
        <v>316232909.31999999</v>
      </c>
      <c r="G24" s="60">
        <v>308844579.00999999</v>
      </c>
      <c r="H24" s="63">
        <v>291587555.47000003</v>
      </c>
      <c r="S24" s="106"/>
    </row>
    <row r="25" spans="1:19">
      <c r="A25" s="101" t="s">
        <v>83</v>
      </c>
      <c r="B25" s="102" t="s">
        <v>84</v>
      </c>
      <c r="C25" s="59">
        <v>0</v>
      </c>
      <c r="D25" s="60">
        <v>0</v>
      </c>
      <c r="E25" s="61">
        <v>0</v>
      </c>
      <c r="F25" s="59">
        <v>0</v>
      </c>
      <c r="G25" s="60">
        <v>0</v>
      </c>
      <c r="H25" s="63">
        <v>0</v>
      </c>
      <c r="S25" s="106"/>
    </row>
    <row r="26" spans="1:19">
      <c r="A26" s="101" t="s">
        <v>85</v>
      </c>
      <c r="B26" s="102" t="s">
        <v>86</v>
      </c>
      <c r="C26" s="59">
        <v>4094430.09</v>
      </c>
      <c r="D26" s="60">
        <v>6178549.6299999999</v>
      </c>
      <c r="E26" s="61">
        <v>-313364.94</v>
      </c>
      <c r="F26" s="59">
        <v>-91520002.049999997</v>
      </c>
      <c r="G26" s="60">
        <v>-87577756.190000013</v>
      </c>
      <c r="H26" s="63">
        <v>-77022264.359999999</v>
      </c>
      <c r="J26" s="87"/>
      <c r="S26" s="87"/>
    </row>
    <row r="27" spans="1:19">
      <c r="A27" s="101" t="s">
        <v>87</v>
      </c>
      <c r="B27" s="102" t="s">
        <v>88</v>
      </c>
      <c r="C27" s="59">
        <v>356713.79</v>
      </c>
      <c r="D27" s="60">
        <v>1837214.62</v>
      </c>
      <c r="E27" s="61">
        <v>155158.14000000001</v>
      </c>
      <c r="F27" s="59">
        <v>24077745.399999999</v>
      </c>
      <c r="G27" s="60">
        <v>23288136.869999997</v>
      </c>
      <c r="H27" s="63">
        <v>18052002</v>
      </c>
      <c r="J27" s="87"/>
    </row>
    <row r="28" spans="1:19">
      <c r="A28" s="101" t="s">
        <v>89</v>
      </c>
      <c r="B28" s="102" t="s">
        <v>90</v>
      </c>
      <c r="C28" s="59">
        <v>-660229.41</v>
      </c>
      <c r="D28" s="60">
        <v>-418808.87</v>
      </c>
      <c r="E28" s="61">
        <v>-1430901</v>
      </c>
      <c r="F28" s="59">
        <v>-18093960.019999996</v>
      </c>
      <c r="G28" s="60">
        <v>-18512768.889999997</v>
      </c>
      <c r="H28" s="63">
        <v>-19336006.359999999</v>
      </c>
      <c r="J28" s="87"/>
    </row>
    <row r="29" spans="1:19">
      <c r="A29" s="101" t="s">
        <v>91</v>
      </c>
      <c r="B29" s="102" t="s">
        <v>92</v>
      </c>
      <c r="C29" s="59">
        <v>-8784.9500000000007</v>
      </c>
      <c r="D29" s="60">
        <v>-38177.47</v>
      </c>
      <c r="E29" s="61">
        <v>-56528.05</v>
      </c>
      <c r="F29" s="59">
        <v>-405154.75</v>
      </c>
      <c r="G29" s="60">
        <v>-408564.79</v>
      </c>
      <c r="H29" s="63">
        <v>-421985.15</v>
      </c>
      <c r="J29" s="87"/>
    </row>
    <row r="30" spans="1:19">
      <c r="A30" s="98" t="s">
        <v>93</v>
      </c>
      <c r="B30" s="99"/>
      <c r="C30" s="121">
        <f>SUM(C24:C29)</f>
        <v>14764313.639999999</v>
      </c>
      <c r="D30" s="121">
        <f t="shared" ref="D30:E30" si="3">SUM(D24:D29)</f>
        <v>25844449.16</v>
      </c>
      <c r="E30" s="121">
        <f t="shared" si="3"/>
        <v>28733017.139999997</v>
      </c>
      <c r="F30" s="121">
        <f t="shared" ref="F30:H30" si="4">SUM(F24:F29)</f>
        <v>230291537.89999998</v>
      </c>
      <c r="G30" s="121">
        <f t="shared" si="4"/>
        <v>225633626.01000002</v>
      </c>
      <c r="H30" s="136">
        <f t="shared" si="4"/>
        <v>212859301.59999999</v>
      </c>
    </row>
    <row r="31" spans="1:19">
      <c r="A31" s="108"/>
      <c r="B31" s="99"/>
      <c r="C31" s="59"/>
      <c r="D31" s="60"/>
      <c r="E31" s="61"/>
      <c r="F31" s="59"/>
      <c r="G31" s="60"/>
      <c r="H31" s="63"/>
    </row>
    <row r="32" spans="1:19">
      <c r="A32" s="98" t="s">
        <v>94</v>
      </c>
      <c r="B32" s="99"/>
      <c r="C32" s="59"/>
      <c r="D32" s="60"/>
      <c r="E32" s="61"/>
      <c r="F32" s="59"/>
      <c r="G32" s="60"/>
      <c r="H32" s="63"/>
    </row>
    <row r="33" spans="1:20">
      <c r="A33" s="101" t="s">
        <v>95</v>
      </c>
      <c r="B33" s="102" t="s">
        <v>96</v>
      </c>
      <c r="C33" s="59">
        <v>0</v>
      </c>
      <c r="D33" s="60">
        <v>0</v>
      </c>
      <c r="E33" s="61">
        <v>0</v>
      </c>
      <c r="F33" s="59">
        <v>0</v>
      </c>
      <c r="G33" s="60">
        <v>0</v>
      </c>
      <c r="H33" s="63">
        <v>0</v>
      </c>
    </row>
    <row r="34" spans="1:20">
      <c r="A34" s="101" t="s">
        <v>97</v>
      </c>
      <c r="B34" s="102" t="s">
        <v>98</v>
      </c>
      <c r="C34" s="59">
        <v>0</v>
      </c>
      <c r="D34" s="60">
        <v>0</v>
      </c>
      <c r="E34" s="61">
        <v>0</v>
      </c>
      <c r="F34" s="59">
        <v>0</v>
      </c>
      <c r="G34" s="60">
        <v>0</v>
      </c>
      <c r="H34" s="63">
        <v>0</v>
      </c>
    </row>
    <row r="35" spans="1:20">
      <c r="A35" s="101" t="s">
        <v>99</v>
      </c>
      <c r="B35" s="102" t="s">
        <v>100</v>
      </c>
      <c r="C35" s="59">
        <v>0</v>
      </c>
      <c r="D35" s="60">
        <v>0</v>
      </c>
      <c r="E35" s="61">
        <v>0</v>
      </c>
      <c r="F35" s="59">
        <v>0</v>
      </c>
      <c r="G35" s="60">
        <v>0</v>
      </c>
      <c r="H35" s="63">
        <v>0</v>
      </c>
    </row>
    <row r="36" spans="1:20">
      <c r="A36" s="101" t="s">
        <v>101</v>
      </c>
      <c r="B36" s="102" t="s">
        <v>102</v>
      </c>
      <c r="C36" s="59">
        <v>0</v>
      </c>
      <c r="D36" s="60">
        <v>0</v>
      </c>
      <c r="E36" s="61">
        <v>0</v>
      </c>
      <c r="F36" s="59">
        <v>0</v>
      </c>
      <c r="G36" s="60">
        <v>0</v>
      </c>
      <c r="H36" s="63">
        <v>0</v>
      </c>
      <c r="T36" s="100"/>
    </row>
    <row r="37" spans="1:20">
      <c r="A37" s="101" t="s">
        <v>103</v>
      </c>
      <c r="B37" s="102" t="s">
        <v>104</v>
      </c>
      <c r="C37" s="59">
        <v>0</v>
      </c>
      <c r="D37" s="60">
        <v>0</v>
      </c>
      <c r="E37" s="61">
        <v>0</v>
      </c>
      <c r="F37" s="59">
        <v>0</v>
      </c>
      <c r="G37" s="60">
        <v>0</v>
      </c>
      <c r="H37" s="63">
        <v>0</v>
      </c>
      <c r="T37" s="100"/>
    </row>
    <row r="38" spans="1:20">
      <c r="A38" s="101" t="s">
        <v>105</v>
      </c>
      <c r="B38" s="102" t="s">
        <v>106</v>
      </c>
      <c r="C38" s="59">
        <v>0</v>
      </c>
      <c r="D38" s="60">
        <v>0</v>
      </c>
      <c r="E38" s="61">
        <v>0</v>
      </c>
      <c r="F38" s="59">
        <v>0</v>
      </c>
      <c r="G38" s="60">
        <v>0</v>
      </c>
      <c r="H38" s="63">
        <v>0</v>
      </c>
      <c r="T38" s="100"/>
    </row>
    <row r="39" spans="1:20">
      <c r="A39" s="101" t="s">
        <v>107</v>
      </c>
      <c r="B39" s="102" t="s">
        <v>108</v>
      </c>
      <c r="C39" s="59">
        <v>0</v>
      </c>
      <c r="D39" s="60">
        <v>0</v>
      </c>
      <c r="E39" s="61">
        <v>0</v>
      </c>
      <c r="F39" s="59">
        <v>0</v>
      </c>
      <c r="G39" s="60">
        <v>0</v>
      </c>
      <c r="H39" s="63">
        <v>0</v>
      </c>
      <c r="T39" s="100"/>
    </row>
    <row r="40" spans="1:20">
      <c r="A40" s="101" t="s">
        <v>109</v>
      </c>
      <c r="B40" s="102" t="s">
        <v>110</v>
      </c>
      <c r="C40" s="59">
        <v>0</v>
      </c>
      <c r="D40" s="60">
        <v>0</v>
      </c>
      <c r="E40" s="61">
        <v>0</v>
      </c>
      <c r="F40" s="59">
        <v>0</v>
      </c>
      <c r="G40" s="60">
        <v>0</v>
      </c>
      <c r="H40" s="63">
        <v>0</v>
      </c>
      <c r="T40" s="100"/>
    </row>
    <row r="41" spans="1:20">
      <c r="A41" s="101" t="s">
        <v>111</v>
      </c>
      <c r="B41" s="102" t="s">
        <v>112</v>
      </c>
      <c r="C41" s="59">
        <v>0</v>
      </c>
      <c r="D41" s="60">
        <v>0</v>
      </c>
      <c r="E41" s="61">
        <v>0</v>
      </c>
      <c r="F41" s="59">
        <v>0</v>
      </c>
      <c r="G41" s="60">
        <v>0</v>
      </c>
      <c r="H41" s="63">
        <v>0</v>
      </c>
      <c r="T41" s="100"/>
    </row>
    <row r="42" spans="1:20">
      <c r="A42" s="101" t="s">
        <v>113</v>
      </c>
      <c r="B42" s="102" t="s">
        <v>114</v>
      </c>
      <c r="C42" s="59">
        <v>0</v>
      </c>
      <c r="D42" s="60">
        <v>0</v>
      </c>
      <c r="E42" s="61">
        <v>0</v>
      </c>
      <c r="F42" s="59">
        <v>0</v>
      </c>
      <c r="G42" s="60">
        <v>0</v>
      </c>
      <c r="H42" s="63">
        <v>0</v>
      </c>
      <c r="T42" s="100"/>
    </row>
    <row r="43" spans="1:20">
      <c r="A43" s="101" t="s">
        <v>115</v>
      </c>
      <c r="B43" s="102" t="s">
        <v>116</v>
      </c>
      <c r="C43" s="59">
        <v>0</v>
      </c>
      <c r="D43" s="60">
        <v>0</v>
      </c>
      <c r="E43" s="61">
        <v>0</v>
      </c>
      <c r="F43" s="59">
        <v>0</v>
      </c>
      <c r="G43" s="60">
        <v>0</v>
      </c>
      <c r="H43" s="63">
        <v>0</v>
      </c>
      <c r="T43" s="100"/>
    </row>
    <row r="44" spans="1:20">
      <c r="A44" s="98" t="s">
        <v>117</v>
      </c>
      <c r="B44" s="109"/>
      <c r="C44" s="121">
        <v>0</v>
      </c>
      <c r="D44" s="124">
        <f>SUM(D33:D43)</f>
        <v>0</v>
      </c>
      <c r="E44" s="124">
        <f t="shared" ref="E44:H44" si="5">SUM(E33:E43)</f>
        <v>0</v>
      </c>
      <c r="F44" s="124">
        <f t="shared" si="5"/>
        <v>0</v>
      </c>
      <c r="G44" s="124">
        <f t="shared" si="5"/>
        <v>0</v>
      </c>
      <c r="H44" s="136">
        <f t="shared" si="5"/>
        <v>0</v>
      </c>
    </row>
    <row r="45" spans="1:20">
      <c r="A45" s="108"/>
      <c r="B45" s="99"/>
      <c r="C45" s="59"/>
      <c r="D45" s="60"/>
      <c r="E45" s="61"/>
      <c r="F45" s="59"/>
      <c r="G45" s="60"/>
      <c r="H45" s="63"/>
    </row>
    <row r="46" spans="1:20">
      <c r="A46" s="101" t="s">
        <v>118</v>
      </c>
      <c r="B46" s="102" t="s">
        <v>24</v>
      </c>
      <c r="C46" s="125">
        <v>1767322.28</v>
      </c>
      <c r="D46" s="143">
        <v>2983492.48</v>
      </c>
      <c r="E46" s="144">
        <v>4156600.2</v>
      </c>
      <c r="F46" s="125">
        <v>34306835.920000002</v>
      </c>
      <c r="G46" s="143">
        <v>34240639.049999997</v>
      </c>
      <c r="H46" s="145">
        <v>32918615.609999999</v>
      </c>
      <c r="J46" s="87"/>
    </row>
    <row r="47" spans="1:20" ht="15" thickBot="1">
      <c r="A47" s="98" t="s">
        <v>119</v>
      </c>
      <c r="B47" s="99"/>
      <c r="C47" s="123">
        <f>+C21-C30-C46</f>
        <v>9609548.9900000021</v>
      </c>
      <c r="D47" s="123">
        <f t="shared" ref="D47:H47" si="6">+D21-D30-D46</f>
        <v>14732340.43</v>
      </c>
      <c r="E47" s="123">
        <f t="shared" si="6"/>
        <v>17737277.090000011</v>
      </c>
      <c r="F47" s="123">
        <f t="shared" si="6"/>
        <v>128187300.89999999</v>
      </c>
      <c r="G47" s="123">
        <f t="shared" si="6"/>
        <v>129060567.12000005</v>
      </c>
      <c r="H47" s="138">
        <f t="shared" si="6"/>
        <v>130471942.73</v>
      </c>
    </row>
    <row r="48" spans="1:20" ht="15" thickTop="1">
      <c r="A48" s="98"/>
      <c r="B48" s="99"/>
      <c r="C48" s="59"/>
      <c r="D48" s="60"/>
      <c r="E48" s="62"/>
      <c r="F48" s="59"/>
      <c r="G48" s="60"/>
      <c r="H48" s="63"/>
    </row>
    <row r="49" spans="1:10">
      <c r="A49" s="98" t="s">
        <v>120</v>
      </c>
      <c r="B49" s="99"/>
      <c r="C49" s="59"/>
      <c r="D49" s="60"/>
      <c r="E49" s="62"/>
      <c r="F49" s="59"/>
      <c r="G49" s="60"/>
      <c r="H49" s="63"/>
    </row>
    <row r="50" spans="1:10">
      <c r="A50" s="110">
        <v>813</v>
      </c>
      <c r="B50" s="102" t="s">
        <v>121</v>
      </c>
      <c r="C50" s="59">
        <v>37600.230000000003</v>
      </c>
      <c r="D50" s="60">
        <v>32767.79</v>
      </c>
      <c r="E50" s="144">
        <v>32603.93</v>
      </c>
      <c r="F50" s="59">
        <v>565042.23</v>
      </c>
      <c r="G50" s="60">
        <v>574741.32999999996</v>
      </c>
      <c r="H50" s="63">
        <v>585410.31000000006</v>
      </c>
      <c r="J50" s="87"/>
    </row>
    <row r="51" spans="1:10">
      <c r="A51" s="108"/>
      <c r="B51" s="99"/>
      <c r="C51" s="59"/>
      <c r="D51" s="60"/>
      <c r="E51" s="61"/>
      <c r="F51" s="59"/>
      <c r="G51" s="60"/>
      <c r="H51" s="63"/>
    </row>
    <row r="52" spans="1:10">
      <c r="A52" s="98" t="s">
        <v>122</v>
      </c>
      <c r="B52" s="99"/>
      <c r="C52" s="59"/>
      <c r="D52" s="60"/>
      <c r="E52" s="61"/>
      <c r="F52" s="59"/>
      <c r="G52" s="60"/>
      <c r="H52" s="63"/>
    </row>
    <row r="53" spans="1:10">
      <c r="A53" s="98" t="s">
        <v>123</v>
      </c>
      <c r="B53" s="99"/>
      <c r="C53" s="59"/>
      <c r="D53" s="60"/>
      <c r="E53" s="61"/>
      <c r="F53" s="59"/>
      <c r="G53" s="60"/>
      <c r="H53" s="63"/>
    </row>
    <row r="54" spans="1:10">
      <c r="A54" s="101" t="s">
        <v>124</v>
      </c>
      <c r="B54" s="102" t="s">
        <v>125</v>
      </c>
      <c r="C54" s="59">
        <v>308437.88</v>
      </c>
      <c r="D54" s="60">
        <v>283335.99</v>
      </c>
      <c r="E54" s="61">
        <v>286386.05000000005</v>
      </c>
      <c r="F54" s="59">
        <v>2701380.82</v>
      </c>
      <c r="G54" s="60">
        <v>2801006.7199999997</v>
      </c>
      <c r="H54" s="63">
        <v>2880277.23</v>
      </c>
      <c r="J54" s="87"/>
    </row>
    <row r="55" spans="1:10">
      <c r="A55" s="101" t="s">
        <v>126</v>
      </c>
      <c r="B55" s="102" t="s">
        <v>127</v>
      </c>
      <c r="C55" s="59">
        <v>23802.13</v>
      </c>
      <c r="D55" s="60">
        <v>20821.34</v>
      </c>
      <c r="E55" s="61">
        <v>19932</v>
      </c>
      <c r="F55" s="59">
        <v>217427.83000000002</v>
      </c>
      <c r="G55" s="60">
        <v>220618.87</v>
      </c>
      <c r="H55" s="63">
        <v>229323.69999999998</v>
      </c>
    </row>
    <row r="56" spans="1:10">
      <c r="A56" s="104" t="s">
        <v>128</v>
      </c>
      <c r="B56" s="102" t="s">
        <v>129</v>
      </c>
      <c r="C56" s="59">
        <v>4401.83</v>
      </c>
      <c r="D56" s="60">
        <v>5850.03</v>
      </c>
      <c r="E56" s="61">
        <v>3610.44</v>
      </c>
      <c r="F56" s="59">
        <v>77731.349999999991</v>
      </c>
      <c r="G56" s="60">
        <v>74123.209999999992</v>
      </c>
      <c r="H56" s="63">
        <v>74444.14</v>
      </c>
    </row>
    <row r="57" spans="1:10">
      <c r="A57" s="104" t="s">
        <v>130</v>
      </c>
      <c r="B57" s="102" t="s">
        <v>131</v>
      </c>
      <c r="C57" s="59">
        <v>278794.34999999998</v>
      </c>
      <c r="D57" s="60">
        <v>244539.6</v>
      </c>
      <c r="E57" s="61">
        <v>203125.74999999997</v>
      </c>
      <c r="F57" s="59">
        <v>3277028.96</v>
      </c>
      <c r="G57" s="60">
        <v>3289223.1199999996</v>
      </c>
      <c r="H57" s="63">
        <v>3251427.07</v>
      </c>
    </row>
    <row r="58" spans="1:10">
      <c r="A58" s="101" t="s">
        <v>132</v>
      </c>
      <c r="B58" s="102" t="s">
        <v>133</v>
      </c>
      <c r="C58" s="59">
        <v>42574.97</v>
      </c>
      <c r="D58" s="60">
        <v>53853.54</v>
      </c>
      <c r="E58" s="61">
        <v>66826.16</v>
      </c>
      <c r="F58" s="59">
        <v>619698.82999999996</v>
      </c>
      <c r="G58" s="60">
        <v>605530.73</v>
      </c>
      <c r="H58" s="63">
        <v>593850.21</v>
      </c>
    </row>
    <row r="59" spans="1:10">
      <c r="A59" s="101" t="s">
        <v>134</v>
      </c>
      <c r="B59" s="102" t="s">
        <v>135</v>
      </c>
      <c r="C59" s="59">
        <v>55272.759999999995</v>
      </c>
      <c r="D59" s="60">
        <v>59168.270000000004</v>
      </c>
      <c r="E59" s="61">
        <v>55195.7</v>
      </c>
      <c r="F59" s="59">
        <v>605127.71</v>
      </c>
      <c r="G59" s="60">
        <v>615522.56000000006</v>
      </c>
      <c r="H59" s="63">
        <v>601354.73999999987</v>
      </c>
    </row>
    <row r="60" spans="1:10">
      <c r="A60" s="101">
        <v>877</v>
      </c>
      <c r="B60" s="102" t="s">
        <v>136</v>
      </c>
      <c r="C60" s="59">
        <v>8668.9500000000007</v>
      </c>
      <c r="D60" s="60">
        <v>11288.480000000001</v>
      </c>
      <c r="E60" s="61">
        <v>12852.630000000001</v>
      </c>
      <c r="F60" s="59">
        <v>60858.899999999994</v>
      </c>
      <c r="G60" s="60">
        <v>72147.38</v>
      </c>
      <c r="H60" s="63">
        <v>85000.01</v>
      </c>
    </row>
    <row r="61" spans="1:10">
      <c r="A61" s="101" t="s">
        <v>137</v>
      </c>
      <c r="B61" s="102" t="s">
        <v>138</v>
      </c>
      <c r="C61" s="59">
        <v>-37355.660000000003</v>
      </c>
      <c r="D61" s="60">
        <v>2851.8600000000006</v>
      </c>
      <c r="E61" s="61">
        <v>465297.38</v>
      </c>
      <c r="F61" s="59">
        <v>-994248.31</v>
      </c>
      <c r="G61" s="60">
        <v>-939066.03</v>
      </c>
      <c r="H61" s="63">
        <v>-218316.13</v>
      </c>
    </row>
    <row r="62" spans="1:10">
      <c r="A62" s="101" t="s">
        <v>139</v>
      </c>
      <c r="B62" s="102" t="s">
        <v>140</v>
      </c>
      <c r="C62" s="59">
        <v>33963.599999999999</v>
      </c>
      <c r="D62" s="60">
        <v>39574.36</v>
      </c>
      <c r="E62" s="61">
        <v>16393.8</v>
      </c>
      <c r="F62" s="59">
        <v>413968.63</v>
      </c>
      <c r="G62" s="60">
        <v>413148.42</v>
      </c>
      <c r="H62" s="63">
        <v>392583.16</v>
      </c>
    </row>
    <row r="63" spans="1:10">
      <c r="A63" s="101" t="s">
        <v>141</v>
      </c>
      <c r="B63" s="102" t="s">
        <v>142</v>
      </c>
      <c r="C63" s="59">
        <v>338948.6</v>
      </c>
      <c r="D63" s="60">
        <v>411101.61000000004</v>
      </c>
      <c r="E63" s="61">
        <v>420081.11</v>
      </c>
      <c r="F63" s="59">
        <v>5733435.8499999996</v>
      </c>
      <c r="G63" s="60">
        <v>5555931.2299999995</v>
      </c>
      <c r="H63" s="63">
        <v>5459121.4300000006</v>
      </c>
    </row>
    <row r="64" spans="1:10">
      <c r="A64" s="101" t="s">
        <v>143</v>
      </c>
      <c r="B64" s="102" t="s">
        <v>144</v>
      </c>
      <c r="C64" s="59">
        <v>20603.16</v>
      </c>
      <c r="D64" s="60">
        <v>14482.880000000001</v>
      </c>
      <c r="E64" s="61">
        <v>48689.170000000006</v>
      </c>
      <c r="F64" s="59">
        <v>181124.83</v>
      </c>
      <c r="G64" s="60">
        <v>187225.68</v>
      </c>
      <c r="H64" s="63">
        <v>216918.48</v>
      </c>
    </row>
    <row r="65" spans="1:8">
      <c r="A65" s="101" t="s">
        <v>145</v>
      </c>
      <c r="B65" s="102" t="s">
        <v>146</v>
      </c>
      <c r="C65" s="59">
        <v>0</v>
      </c>
      <c r="D65" s="60">
        <v>0</v>
      </c>
      <c r="E65" s="61">
        <v>0</v>
      </c>
      <c r="F65" s="59">
        <v>0</v>
      </c>
      <c r="G65" s="60">
        <v>0</v>
      </c>
      <c r="H65" s="63">
        <v>0</v>
      </c>
    </row>
    <row r="66" spans="1:8">
      <c r="A66" s="108"/>
      <c r="B66" s="111" t="s">
        <v>147</v>
      </c>
      <c r="C66" s="121">
        <f>SUM(C54:C65)</f>
        <v>1078112.5699999996</v>
      </c>
      <c r="D66" s="121">
        <f t="shared" ref="D66:H66" si="7">SUM(D54:D65)</f>
        <v>1146867.96</v>
      </c>
      <c r="E66" s="121">
        <f t="shared" si="7"/>
        <v>1598390.19</v>
      </c>
      <c r="F66" s="121">
        <f t="shared" si="7"/>
        <v>12893535.4</v>
      </c>
      <c r="G66" s="121">
        <f t="shared" si="7"/>
        <v>12895411.890000001</v>
      </c>
      <c r="H66" s="136">
        <f t="shared" si="7"/>
        <v>13565984.040000003</v>
      </c>
    </row>
    <row r="67" spans="1:8">
      <c r="A67" s="108"/>
      <c r="B67" s="99"/>
      <c r="C67" s="59"/>
      <c r="D67" s="60"/>
      <c r="E67" s="61"/>
      <c r="F67" s="59"/>
      <c r="G67" s="60"/>
      <c r="H67" s="63"/>
    </row>
    <row r="68" spans="1:8">
      <c r="A68" s="98" t="s">
        <v>148</v>
      </c>
      <c r="B68" s="99"/>
      <c r="C68" s="59"/>
      <c r="D68" s="60"/>
      <c r="E68" s="61"/>
      <c r="F68" s="59"/>
      <c r="G68" s="60"/>
      <c r="H68" s="63"/>
    </row>
    <row r="69" spans="1:8">
      <c r="A69" s="101" t="s">
        <v>149</v>
      </c>
      <c r="B69" s="102" t="s">
        <v>150</v>
      </c>
      <c r="C69" s="59">
        <v>127404.64</v>
      </c>
      <c r="D69" s="60">
        <v>100800.51</v>
      </c>
      <c r="E69" s="61">
        <v>75061.099999999991</v>
      </c>
      <c r="F69" s="59">
        <v>1165269</v>
      </c>
      <c r="G69" s="60">
        <v>1175323.5999999999</v>
      </c>
      <c r="H69" s="63">
        <v>1154263.98</v>
      </c>
    </row>
    <row r="70" spans="1:8">
      <c r="A70" s="101" t="s">
        <v>151</v>
      </c>
      <c r="B70" s="102" t="s">
        <v>152</v>
      </c>
      <c r="C70" s="59">
        <v>0</v>
      </c>
      <c r="D70" s="60">
        <v>376.99</v>
      </c>
      <c r="E70" s="61">
        <v>2134.91</v>
      </c>
      <c r="F70" s="59">
        <v>19817.21</v>
      </c>
      <c r="G70" s="60">
        <v>20194.199999999997</v>
      </c>
      <c r="H70" s="63">
        <v>5181.9700000000012</v>
      </c>
    </row>
    <row r="71" spans="1:8">
      <c r="A71" s="101" t="s">
        <v>153</v>
      </c>
      <c r="B71" s="102" t="s">
        <v>154</v>
      </c>
      <c r="C71" s="59">
        <v>152291.85</v>
      </c>
      <c r="D71" s="60">
        <v>228445.69</v>
      </c>
      <c r="E71" s="61">
        <v>146125.29999999999</v>
      </c>
      <c r="F71" s="59">
        <v>2842726.67</v>
      </c>
      <c r="G71" s="60">
        <v>2851179.77</v>
      </c>
      <c r="H71" s="63">
        <v>2746004.21</v>
      </c>
    </row>
    <row r="72" spans="1:8">
      <c r="A72" s="104" t="s">
        <v>155</v>
      </c>
      <c r="B72" s="102" t="s">
        <v>129</v>
      </c>
      <c r="C72" s="59">
        <v>43061.97</v>
      </c>
      <c r="D72" s="60">
        <v>69826.8</v>
      </c>
      <c r="E72" s="61">
        <v>45283.11</v>
      </c>
      <c r="F72" s="59">
        <v>468797</v>
      </c>
      <c r="G72" s="60">
        <v>471158.62</v>
      </c>
      <c r="H72" s="63">
        <v>474768.2</v>
      </c>
    </row>
    <row r="73" spans="1:8">
      <c r="A73" s="101" t="s">
        <v>156</v>
      </c>
      <c r="B73" s="102" t="s">
        <v>157</v>
      </c>
      <c r="C73" s="59">
        <v>28424.82</v>
      </c>
      <c r="D73" s="60">
        <v>15062.7</v>
      </c>
      <c r="E73" s="61">
        <v>11181.69</v>
      </c>
      <c r="F73" s="59">
        <v>290221.15999999997</v>
      </c>
      <c r="G73" s="60">
        <v>289347.12</v>
      </c>
      <c r="H73" s="63">
        <v>288648.95</v>
      </c>
    </row>
    <row r="74" spans="1:8">
      <c r="A74" s="101" t="s">
        <v>158</v>
      </c>
      <c r="B74" s="102" t="s">
        <v>159</v>
      </c>
      <c r="C74" s="59">
        <v>23455.17</v>
      </c>
      <c r="D74" s="60">
        <v>15886.31</v>
      </c>
      <c r="E74" s="61">
        <v>17780.810000000001</v>
      </c>
      <c r="F74" s="59">
        <v>338017.85000000009</v>
      </c>
      <c r="G74" s="60">
        <v>349518.56</v>
      </c>
      <c r="H74" s="63">
        <v>356838.82</v>
      </c>
    </row>
    <row r="75" spans="1:8">
      <c r="A75" s="117">
        <v>891</v>
      </c>
      <c r="B75" s="102" t="s">
        <v>159</v>
      </c>
      <c r="C75" s="59">
        <v>11303.01</v>
      </c>
      <c r="D75" s="60">
        <v>6676.07</v>
      </c>
      <c r="E75" s="61">
        <v>19992.87</v>
      </c>
      <c r="F75" s="59">
        <v>88550.050000000017</v>
      </c>
      <c r="G75" s="60">
        <v>95226.12</v>
      </c>
      <c r="H75" s="63">
        <v>115218.98999999999</v>
      </c>
    </row>
    <row r="76" spans="1:8">
      <c r="A76" s="101" t="s">
        <v>160</v>
      </c>
      <c r="B76" s="102" t="s">
        <v>161</v>
      </c>
      <c r="C76" s="59">
        <v>85462.58</v>
      </c>
      <c r="D76" s="60">
        <v>237168.57</v>
      </c>
      <c r="E76" s="61">
        <v>-68544.610000000015</v>
      </c>
      <c r="F76" s="59">
        <v>1001033.53</v>
      </c>
      <c r="G76" s="60">
        <v>1185833.3900000001</v>
      </c>
      <c r="H76" s="63">
        <v>1064198.2100000002</v>
      </c>
    </row>
    <row r="77" spans="1:8">
      <c r="A77" s="101" t="s">
        <v>162</v>
      </c>
      <c r="B77" s="102" t="s">
        <v>163</v>
      </c>
      <c r="C77" s="59">
        <v>102247.01000000001</v>
      </c>
      <c r="D77" s="60">
        <v>131962.21000000002</v>
      </c>
      <c r="E77" s="61">
        <v>98162.65</v>
      </c>
      <c r="F77" s="59">
        <v>1355461.27</v>
      </c>
      <c r="G77" s="60">
        <v>1407717.9999999995</v>
      </c>
      <c r="H77" s="63">
        <v>1417725.8</v>
      </c>
    </row>
    <row r="78" spans="1:8">
      <c r="A78" s="101" t="s">
        <v>164</v>
      </c>
      <c r="B78" s="102" t="s">
        <v>165</v>
      </c>
      <c r="C78" s="59">
        <v>-103061.93</v>
      </c>
      <c r="D78" s="60">
        <v>106477.71000000002</v>
      </c>
      <c r="E78" s="61">
        <v>123146.2</v>
      </c>
      <c r="F78" s="59">
        <v>1451653.22</v>
      </c>
      <c r="G78" s="60">
        <v>1402307.6400000001</v>
      </c>
      <c r="H78" s="63">
        <v>1367764.3599999999</v>
      </c>
    </row>
    <row r="79" spans="1:8">
      <c r="A79" s="108"/>
      <c r="B79" s="111" t="s">
        <v>166</v>
      </c>
      <c r="C79" s="121">
        <f>SUM(C69:C78)</f>
        <v>470589.12000000005</v>
      </c>
      <c r="D79" s="121">
        <f t="shared" ref="D79:H79" si="8">SUM(D69:D78)</f>
        <v>912683.56</v>
      </c>
      <c r="E79" s="121">
        <f t="shared" si="8"/>
        <v>470324.02999999997</v>
      </c>
      <c r="F79" s="121">
        <f t="shared" si="8"/>
        <v>9021546.9600000009</v>
      </c>
      <c r="G79" s="121">
        <f t="shared" si="8"/>
        <v>9247807.0199999996</v>
      </c>
      <c r="H79" s="136">
        <f t="shared" si="8"/>
        <v>8990613.4900000002</v>
      </c>
    </row>
    <row r="80" spans="1:8">
      <c r="A80" s="98" t="s">
        <v>167</v>
      </c>
      <c r="B80" s="99"/>
      <c r="C80" s="125">
        <f>+C79+C66</f>
        <v>1548701.6899999997</v>
      </c>
      <c r="D80" s="125">
        <f t="shared" ref="D80:H80" si="9">+D79+D66</f>
        <v>2059551.52</v>
      </c>
      <c r="E80" s="125">
        <f t="shared" si="9"/>
        <v>2068714.22</v>
      </c>
      <c r="F80" s="125">
        <f t="shared" si="9"/>
        <v>21915082.359999999</v>
      </c>
      <c r="G80" s="125">
        <f t="shared" si="9"/>
        <v>22143218.91</v>
      </c>
      <c r="H80" s="122">
        <f t="shared" si="9"/>
        <v>22556597.530000001</v>
      </c>
    </row>
    <row r="81" spans="1:8">
      <c r="A81" s="108"/>
      <c r="B81" s="99"/>
      <c r="C81" s="59"/>
      <c r="D81" s="60"/>
      <c r="E81" s="61"/>
      <c r="F81" s="59"/>
      <c r="G81" s="60"/>
      <c r="H81" s="63"/>
    </row>
    <row r="82" spans="1:8">
      <c r="A82" s="98" t="s">
        <v>168</v>
      </c>
      <c r="B82" s="99"/>
      <c r="C82" s="59"/>
      <c r="D82" s="60"/>
      <c r="E82" s="61"/>
      <c r="F82" s="59"/>
      <c r="G82" s="60"/>
      <c r="H82" s="63"/>
    </row>
    <row r="83" spans="1:8">
      <c r="A83" s="101" t="s">
        <v>169</v>
      </c>
      <c r="B83" s="102" t="s">
        <v>170</v>
      </c>
      <c r="C83" s="59">
        <v>13290.53</v>
      </c>
      <c r="D83" s="60">
        <v>10983.97</v>
      </c>
      <c r="E83" s="61">
        <v>9566.1500000000015</v>
      </c>
      <c r="F83" s="59">
        <v>120013.20000000001</v>
      </c>
      <c r="G83" s="60">
        <v>122272.91</v>
      </c>
      <c r="H83" s="63">
        <v>121992.08</v>
      </c>
    </row>
    <row r="84" spans="1:8">
      <c r="A84" s="101" t="s">
        <v>171</v>
      </c>
      <c r="B84" s="102" t="s">
        <v>172</v>
      </c>
      <c r="C84" s="59">
        <v>44090.5</v>
      </c>
      <c r="D84" s="60">
        <v>53264.36</v>
      </c>
      <c r="E84" s="61">
        <v>44756.770000000004</v>
      </c>
      <c r="F84" s="59">
        <v>510107.50999999995</v>
      </c>
      <c r="G84" s="60">
        <v>517642.12</v>
      </c>
      <c r="H84" s="63">
        <v>520745.67</v>
      </c>
    </row>
    <row r="85" spans="1:8">
      <c r="A85" s="101" t="s">
        <v>173</v>
      </c>
      <c r="B85" s="102" t="s">
        <v>174</v>
      </c>
      <c r="C85" s="59">
        <v>440033.76999999996</v>
      </c>
      <c r="D85" s="60">
        <v>405305.51</v>
      </c>
      <c r="E85" s="61">
        <v>406791.33999999997</v>
      </c>
      <c r="F85" s="59">
        <v>4711707.5</v>
      </c>
      <c r="G85" s="60">
        <v>4707596.25</v>
      </c>
      <c r="H85" s="63">
        <v>4747284.0699999994</v>
      </c>
    </row>
    <row r="86" spans="1:8">
      <c r="A86" s="101" t="s">
        <v>175</v>
      </c>
      <c r="B86" s="102" t="s">
        <v>176</v>
      </c>
      <c r="C86" s="59">
        <v>110616.71</v>
      </c>
      <c r="D86" s="60">
        <v>397345.85</v>
      </c>
      <c r="E86" s="61">
        <v>494355.92</v>
      </c>
      <c r="F86" s="59">
        <v>2021039.89</v>
      </c>
      <c r="G86" s="60">
        <v>2314023.9800000004</v>
      </c>
      <c r="H86" s="63">
        <v>2527969.04</v>
      </c>
    </row>
    <row r="87" spans="1:8">
      <c r="A87" s="101" t="s">
        <v>177</v>
      </c>
      <c r="B87" s="102" t="s">
        <v>178</v>
      </c>
      <c r="C87" s="59">
        <v>0</v>
      </c>
      <c r="D87" s="60">
        <v>0</v>
      </c>
      <c r="E87" s="61">
        <v>0</v>
      </c>
      <c r="F87" s="59">
        <v>2419.4500000000003</v>
      </c>
      <c r="G87" s="60">
        <v>422.05000000000018</v>
      </c>
      <c r="H87" s="63">
        <v>422.05000000000018</v>
      </c>
    </row>
    <row r="88" spans="1:8">
      <c r="A88" s="98" t="s">
        <v>179</v>
      </c>
      <c r="B88" s="99"/>
      <c r="C88" s="121">
        <f>SUM(C83:C87)</f>
        <v>608031.50999999989</v>
      </c>
      <c r="D88" s="121">
        <f t="shared" ref="D88:H88" si="10">SUM(D83:D87)</f>
        <v>866899.69</v>
      </c>
      <c r="E88" s="121">
        <f t="shared" si="10"/>
        <v>955470.17999999993</v>
      </c>
      <c r="F88" s="121">
        <f t="shared" si="10"/>
        <v>7365287.5499999998</v>
      </c>
      <c r="G88" s="121">
        <f t="shared" si="10"/>
        <v>7661957.3100000005</v>
      </c>
      <c r="H88" s="136">
        <f t="shared" si="10"/>
        <v>7918412.9099999992</v>
      </c>
    </row>
    <row r="89" spans="1:8">
      <c r="A89" s="108"/>
      <c r="B89" s="99"/>
      <c r="C89" s="59"/>
      <c r="D89" s="60"/>
      <c r="E89" s="61"/>
      <c r="F89" s="59"/>
      <c r="G89" s="60"/>
      <c r="H89" s="63"/>
    </row>
    <row r="90" spans="1:8">
      <c r="A90" s="98" t="s">
        <v>180</v>
      </c>
      <c r="B90" s="99"/>
      <c r="C90" s="59"/>
      <c r="D90" s="60"/>
      <c r="E90" s="61"/>
      <c r="F90" s="59"/>
      <c r="G90" s="60"/>
      <c r="H90" s="63"/>
    </row>
    <row r="91" spans="1:8">
      <c r="A91" s="101" t="s">
        <v>181</v>
      </c>
      <c r="B91" s="102" t="s">
        <v>170</v>
      </c>
      <c r="C91" s="59">
        <v>0</v>
      </c>
      <c r="D91" s="60">
        <v>0</v>
      </c>
      <c r="E91" s="61">
        <v>0</v>
      </c>
      <c r="F91" s="59">
        <v>0</v>
      </c>
      <c r="G91" s="60">
        <v>0</v>
      </c>
      <c r="H91" s="63">
        <v>0</v>
      </c>
    </row>
    <row r="92" spans="1:8">
      <c r="A92" s="101" t="s">
        <v>182</v>
      </c>
      <c r="B92" s="102" t="s">
        <v>183</v>
      </c>
      <c r="C92" s="59">
        <v>485714.14999999997</v>
      </c>
      <c r="D92" s="60">
        <v>1334268.02</v>
      </c>
      <c r="E92" s="61">
        <v>1474791.4</v>
      </c>
      <c r="F92" s="59">
        <v>7316655.2499999991</v>
      </c>
      <c r="G92" s="60">
        <v>7618090.7399999993</v>
      </c>
      <c r="H92" s="63">
        <v>8055449.5399999991</v>
      </c>
    </row>
    <row r="93" spans="1:8">
      <c r="A93" s="101" t="s">
        <v>184</v>
      </c>
      <c r="B93" s="102" t="s">
        <v>185</v>
      </c>
      <c r="C93" s="59">
        <v>7316.9</v>
      </c>
      <c r="D93" s="60">
        <v>50.800000000000182</v>
      </c>
      <c r="E93" s="61">
        <v>3078.29</v>
      </c>
      <c r="F93" s="59">
        <v>92613.959999999992</v>
      </c>
      <c r="G93" s="60">
        <v>76202.38</v>
      </c>
      <c r="H93" s="63">
        <v>66640.58</v>
      </c>
    </row>
    <row r="94" spans="1:8">
      <c r="A94" s="112" t="s">
        <v>186</v>
      </c>
      <c r="B94" s="102" t="s">
        <v>187</v>
      </c>
      <c r="C94" s="59">
        <v>19247.09</v>
      </c>
      <c r="D94" s="60">
        <v>15820.94</v>
      </c>
      <c r="E94" s="61">
        <v>16308.79</v>
      </c>
      <c r="F94" s="59">
        <v>162481.67000000001</v>
      </c>
      <c r="G94" s="60">
        <v>159419.05000000002</v>
      </c>
      <c r="H94" s="63">
        <v>162309.67000000001</v>
      </c>
    </row>
    <row r="95" spans="1:8">
      <c r="A95" s="103" t="s">
        <v>188</v>
      </c>
      <c r="B95" s="99"/>
      <c r="C95" s="121">
        <f>SUM(C91:C94)</f>
        <v>512278.14</v>
      </c>
      <c r="D95" s="121">
        <f t="shared" ref="D95:H95" si="11">SUM(D91:D94)</f>
        <v>1350139.76</v>
      </c>
      <c r="E95" s="121">
        <f t="shared" si="11"/>
        <v>1494178.48</v>
      </c>
      <c r="F95" s="121">
        <f t="shared" si="11"/>
        <v>7571750.879999999</v>
      </c>
      <c r="G95" s="121">
        <f t="shared" si="11"/>
        <v>7853712.169999999</v>
      </c>
      <c r="H95" s="136">
        <f t="shared" si="11"/>
        <v>8284399.7899999991</v>
      </c>
    </row>
    <row r="96" spans="1:8">
      <c r="A96" s="108"/>
      <c r="B96" s="99"/>
      <c r="C96" s="59"/>
      <c r="D96" s="60"/>
      <c r="E96" s="61"/>
      <c r="F96" s="59"/>
      <c r="G96" s="60"/>
      <c r="H96" s="63"/>
    </row>
    <row r="97" spans="1:8">
      <c r="A97" s="98" t="s">
        <v>189</v>
      </c>
      <c r="B97" s="99"/>
      <c r="C97" s="59"/>
      <c r="D97" s="60"/>
      <c r="E97" s="61"/>
      <c r="F97" s="59"/>
      <c r="G97" s="60"/>
      <c r="H97" s="63"/>
    </row>
    <row r="98" spans="1:8">
      <c r="A98" s="101" t="s">
        <v>190</v>
      </c>
      <c r="B98" s="102" t="s">
        <v>170</v>
      </c>
      <c r="C98" s="59">
        <v>0</v>
      </c>
      <c r="D98" s="60">
        <v>0</v>
      </c>
      <c r="E98" s="61">
        <v>0</v>
      </c>
      <c r="F98" s="59">
        <v>0</v>
      </c>
      <c r="G98" s="60">
        <v>0</v>
      </c>
      <c r="H98" s="63">
        <v>0</v>
      </c>
    </row>
    <row r="99" spans="1:8">
      <c r="A99" s="101" t="s">
        <v>191</v>
      </c>
      <c r="B99" s="102" t="s">
        <v>192</v>
      </c>
      <c r="C99" s="59">
        <v>1410.25</v>
      </c>
      <c r="D99" s="60">
        <v>1362.84</v>
      </c>
      <c r="E99" s="61">
        <v>1301.44</v>
      </c>
      <c r="F99" s="59">
        <v>19969.449999999997</v>
      </c>
      <c r="G99" s="60">
        <v>19499.629999999997</v>
      </c>
      <c r="H99" s="63">
        <v>18968.669999999998</v>
      </c>
    </row>
    <row r="100" spans="1:8">
      <c r="A100" s="101" t="s">
        <v>193</v>
      </c>
      <c r="B100" s="102" t="s">
        <v>194</v>
      </c>
      <c r="C100" s="59">
        <v>0</v>
      </c>
      <c r="D100" s="60">
        <v>0</v>
      </c>
      <c r="E100" s="61">
        <v>0</v>
      </c>
      <c r="F100" s="59">
        <v>-8120.5</v>
      </c>
      <c r="G100" s="60">
        <v>-10000</v>
      </c>
      <c r="H100" s="63">
        <v>0</v>
      </c>
    </row>
    <row r="101" spans="1:8">
      <c r="A101" s="101" t="s">
        <v>195</v>
      </c>
      <c r="B101" s="102" t="s">
        <v>196</v>
      </c>
      <c r="C101" s="59">
        <v>0</v>
      </c>
      <c r="D101" s="60">
        <v>0</v>
      </c>
      <c r="E101" s="61">
        <v>0</v>
      </c>
      <c r="F101" s="59">
        <v>0</v>
      </c>
      <c r="G101" s="60">
        <v>0</v>
      </c>
      <c r="H101" s="63">
        <v>0</v>
      </c>
    </row>
    <row r="102" spans="1:8">
      <c r="A102" s="98" t="s">
        <v>197</v>
      </c>
      <c r="B102" s="99"/>
      <c r="C102" s="121">
        <f>SUM(C98:C101)</f>
        <v>1410.25</v>
      </c>
      <c r="D102" s="121">
        <f t="shared" ref="D102:H102" si="12">SUM(D98:D101)</f>
        <v>1362.84</v>
      </c>
      <c r="E102" s="121">
        <f t="shared" si="12"/>
        <v>1301.44</v>
      </c>
      <c r="F102" s="121">
        <f t="shared" si="12"/>
        <v>11848.949999999997</v>
      </c>
      <c r="G102" s="121">
        <f t="shared" si="12"/>
        <v>9499.6299999999974</v>
      </c>
      <c r="H102" s="136">
        <f t="shared" si="12"/>
        <v>18968.669999999998</v>
      </c>
    </row>
    <row r="103" spans="1:8">
      <c r="A103" s="108"/>
      <c r="B103" s="99"/>
      <c r="C103" s="59"/>
      <c r="D103" s="60"/>
      <c r="E103" s="61"/>
      <c r="F103" s="59"/>
      <c r="G103" s="60"/>
      <c r="H103" s="63"/>
    </row>
    <row r="104" spans="1:8">
      <c r="A104" s="98" t="s">
        <v>198</v>
      </c>
      <c r="B104" s="99"/>
      <c r="C104" s="59"/>
      <c r="D104" s="60"/>
      <c r="E104" s="61"/>
      <c r="F104" s="59"/>
      <c r="G104" s="60"/>
      <c r="H104" s="63"/>
    </row>
    <row r="105" spans="1:8">
      <c r="A105" s="101" t="s">
        <v>199</v>
      </c>
      <c r="B105" s="102" t="s">
        <v>200</v>
      </c>
      <c r="C105" s="59">
        <v>717875.89</v>
      </c>
      <c r="D105" s="60">
        <v>800590.94</v>
      </c>
      <c r="E105" s="61">
        <v>913948.58</v>
      </c>
      <c r="F105" s="59">
        <v>9115648.9100000001</v>
      </c>
      <c r="G105" s="60">
        <v>9238138.4899999984</v>
      </c>
      <c r="H105" s="63">
        <v>9401904.8599999994</v>
      </c>
    </row>
    <row r="106" spans="1:8">
      <c r="A106" s="101" t="s">
        <v>201</v>
      </c>
      <c r="B106" s="102" t="s">
        <v>202</v>
      </c>
      <c r="C106" s="59">
        <v>243913.74999999997</v>
      </c>
      <c r="D106" s="60">
        <v>-29745.879999999976</v>
      </c>
      <c r="E106" s="61">
        <v>-90245.659999999974</v>
      </c>
      <c r="F106" s="59">
        <v>3674894.1999999993</v>
      </c>
      <c r="G106" s="60">
        <v>3430024.3499999996</v>
      </c>
      <c r="H106" s="63">
        <v>3175378.32</v>
      </c>
    </row>
    <row r="107" spans="1:8">
      <c r="A107" s="101" t="s">
        <v>203</v>
      </c>
      <c r="B107" s="102" t="s">
        <v>204</v>
      </c>
      <c r="C107" s="59">
        <v>50368.759999999995</v>
      </c>
      <c r="D107" s="60">
        <v>192301.17</v>
      </c>
      <c r="E107" s="61">
        <v>114156.81</v>
      </c>
      <c r="F107" s="59">
        <v>1427405.17</v>
      </c>
      <c r="G107" s="60">
        <v>1476455.5</v>
      </c>
      <c r="H107" s="63">
        <v>1250376.3799999999</v>
      </c>
    </row>
    <row r="108" spans="1:8">
      <c r="A108" s="101" t="s">
        <v>205</v>
      </c>
      <c r="B108" s="102" t="s">
        <v>206</v>
      </c>
      <c r="C108" s="59">
        <v>8088.81</v>
      </c>
      <c r="D108" s="60">
        <v>8221.52</v>
      </c>
      <c r="E108" s="61">
        <v>8221.52</v>
      </c>
      <c r="F108" s="59">
        <v>96597.23000000001</v>
      </c>
      <c r="G108" s="60">
        <v>96942.8</v>
      </c>
      <c r="H108" s="63">
        <v>97331.09</v>
      </c>
    </row>
    <row r="109" spans="1:8">
      <c r="A109" s="101" t="s">
        <v>207</v>
      </c>
      <c r="B109" s="102" t="s">
        <v>208</v>
      </c>
      <c r="C109" s="59">
        <v>225238.99</v>
      </c>
      <c r="D109" s="60">
        <v>249138.41999999998</v>
      </c>
      <c r="E109" s="61">
        <v>203444.51</v>
      </c>
      <c r="F109" s="59">
        <v>1877482.92</v>
      </c>
      <c r="G109" s="60">
        <v>1980310.63</v>
      </c>
      <c r="H109" s="63">
        <v>1998980.68</v>
      </c>
    </row>
    <row r="110" spans="1:8">
      <c r="A110" s="101" t="s">
        <v>209</v>
      </c>
      <c r="B110" s="102" t="s">
        <v>210</v>
      </c>
      <c r="C110" s="59">
        <v>466129.08999999997</v>
      </c>
      <c r="D110" s="60">
        <v>284468.3</v>
      </c>
      <c r="E110" s="61">
        <v>343441.86</v>
      </c>
      <c r="F110" s="59">
        <v>5367588.1400000006</v>
      </c>
      <c r="G110" s="60">
        <v>5274902.2200000007</v>
      </c>
      <c r="H110" s="63">
        <v>5353322.57</v>
      </c>
    </row>
    <row r="111" spans="1:8">
      <c r="A111" s="101" t="s">
        <v>211</v>
      </c>
      <c r="B111" s="102" t="s">
        <v>212</v>
      </c>
      <c r="C111" s="59">
        <v>0</v>
      </c>
      <c r="D111" s="60">
        <v>0</v>
      </c>
      <c r="E111" s="61">
        <v>0</v>
      </c>
      <c r="F111" s="59">
        <v>0</v>
      </c>
      <c r="G111" s="60">
        <v>0</v>
      </c>
      <c r="H111" s="63">
        <v>0</v>
      </c>
    </row>
    <row r="112" spans="1:8">
      <c r="A112" s="101" t="s">
        <v>213</v>
      </c>
      <c r="B112" s="102" t="s">
        <v>214</v>
      </c>
      <c r="C112" s="59">
        <v>6614.67</v>
      </c>
      <c r="D112" s="60">
        <v>534.91999999999996</v>
      </c>
      <c r="E112" s="61">
        <v>6353.28</v>
      </c>
      <c r="F112" s="59">
        <v>38956.79</v>
      </c>
      <c r="G112" s="60">
        <v>38618.33</v>
      </c>
      <c r="H112" s="63">
        <v>36573.93</v>
      </c>
    </row>
    <row r="113" spans="1:8">
      <c r="A113" s="101" t="s">
        <v>215</v>
      </c>
      <c r="B113" s="102" t="s">
        <v>216</v>
      </c>
      <c r="C113" s="59">
        <v>36869.020000000004</v>
      </c>
      <c r="D113" s="60">
        <v>11843.59</v>
      </c>
      <c r="E113" s="61">
        <v>34022.11</v>
      </c>
      <c r="F113" s="59">
        <v>565300.43000000017</v>
      </c>
      <c r="G113" s="60">
        <v>538522.85</v>
      </c>
      <c r="H113" s="63">
        <v>512871.74</v>
      </c>
    </row>
    <row r="114" spans="1:8">
      <c r="A114" s="101" t="s">
        <v>217</v>
      </c>
      <c r="B114" s="102" t="s">
        <v>144</v>
      </c>
      <c r="C114" s="59">
        <v>136743.63</v>
      </c>
      <c r="D114" s="60">
        <v>215037.27</v>
      </c>
      <c r="E114" s="61">
        <v>175588.49</v>
      </c>
      <c r="F114" s="59">
        <v>1413503.3299999998</v>
      </c>
      <c r="G114" s="60">
        <v>1532064.55</v>
      </c>
      <c r="H114" s="63">
        <v>1611424.68</v>
      </c>
    </row>
    <row r="115" spans="1:8">
      <c r="A115" s="101" t="s">
        <v>218</v>
      </c>
      <c r="B115" s="102" t="s">
        <v>219</v>
      </c>
      <c r="C115" s="125">
        <v>13328.43</v>
      </c>
      <c r="D115" s="143">
        <v>2518.7800000000002</v>
      </c>
      <c r="E115" s="144">
        <v>10847.98</v>
      </c>
      <c r="F115" s="125">
        <v>107848.08</v>
      </c>
      <c r="G115" s="143">
        <v>92461.420000000013</v>
      </c>
      <c r="H115" s="145">
        <v>91713.5</v>
      </c>
    </row>
    <row r="116" spans="1:8">
      <c r="A116" s="108"/>
      <c r="B116" s="99"/>
      <c r="C116" s="126">
        <f>SUM(C105:C115)</f>
        <v>1905171.0399999998</v>
      </c>
      <c r="D116" s="126">
        <f t="shared" ref="D116:H116" si="13">SUM(D105:D115)</f>
        <v>1734909.03</v>
      </c>
      <c r="E116" s="126">
        <f t="shared" si="13"/>
        <v>1719779.4800000002</v>
      </c>
      <c r="F116" s="126">
        <f t="shared" si="13"/>
        <v>23685225.199999996</v>
      </c>
      <c r="G116" s="126">
        <f t="shared" si="13"/>
        <v>23698441.140000004</v>
      </c>
      <c r="H116" s="139">
        <f t="shared" si="13"/>
        <v>23529877.749999996</v>
      </c>
    </row>
    <row r="117" spans="1:8">
      <c r="A117" s="101" t="s">
        <v>220</v>
      </c>
      <c r="B117" s="102" t="s">
        <v>221</v>
      </c>
      <c r="C117" s="59">
        <v>0</v>
      </c>
      <c r="D117" s="59">
        <v>0</v>
      </c>
      <c r="E117" s="59">
        <v>0</v>
      </c>
      <c r="F117" s="59">
        <v>0</v>
      </c>
      <c r="G117" s="59">
        <v>0</v>
      </c>
      <c r="H117" s="127">
        <v>0</v>
      </c>
    </row>
    <row r="118" spans="1:8">
      <c r="A118" s="98" t="s">
        <v>222</v>
      </c>
      <c r="B118" s="99"/>
      <c r="C118" s="121">
        <f>+C116+C117</f>
        <v>1905171.0399999998</v>
      </c>
      <c r="D118" s="121">
        <f t="shared" ref="D118:H118" si="14">+D116+D117</f>
        <v>1734909.03</v>
      </c>
      <c r="E118" s="121">
        <f t="shared" si="14"/>
        <v>1719779.4800000002</v>
      </c>
      <c r="F118" s="121">
        <f t="shared" si="14"/>
        <v>23685225.199999996</v>
      </c>
      <c r="G118" s="121">
        <f t="shared" si="14"/>
        <v>23698441.140000004</v>
      </c>
      <c r="H118" s="136">
        <f t="shared" si="14"/>
        <v>23529877.749999996</v>
      </c>
    </row>
    <row r="119" spans="1:8" ht="13.5" customHeight="1">
      <c r="A119" s="108"/>
      <c r="B119" s="99"/>
      <c r="C119" s="59"/>
      <c r="D119" s="60"/>
      <c r="E119" s="61"/>
      <c r="F119" s="59"/>
      <c r="G119" s="60"/>
      <c r="H119" s="63"/>
    </row>
    <row r="120" spans="1:8" ht="13.5" customHeight="1" thickBot="1">
      <c r="A120" s="161" t="s">
        <v>223</v>
      </c>
      <c r="B120" s="162"/>
      <c r="C120" s="123">
        <f>C118+C102+C95+C88+C80+C50</f>
        <v>4613192.8599999994</v>
      </c>
      <c r="D120" s="123">
        <f t="shared" ref="D120:H120" si="15">D118+D102+D95+D88+D80+D50</f>
        <v>6045630.6299999999</v>
      </c>
      <c r="E120" s="123">
        <f t="shared" si="15"/>
        <v>6272047.7299999995</v>
      </c>
      <c r="F120" s="123">
        <f t="shared" si="15"/>
        <v>61114237.169999987</v>
      </c>
      <c r="G120" s="123">
        <f t="shared" si="15"/>
        <v>61941570.489999995</v>
      </c>
      <c r="H120" s="137">
        <f t="shared" si="15"/>
        <v>62893666.960000001</v>
      </c>
    </row>
    <row r="121" spans="1:8" ht="15" thickTop="1">
      <c r="A121" s="108"/>
      <c r="B121" s="99"/>
      <c r="C121" s="59"/>
      <c r="D121" s="60"/>
      <c r="E121" s="61"/>
      <c r="F121" s="59"/>
      <c r="G121" s="60"/>
      <c r="H121" s="63"/>
    </row>
    <row r="122" spans="1:8">
      <c r="A122" s="98" t="s">
        <v>224</v>
      </c>
      <c r="B122" s="99"/>
      <c r="C122" s="59"/>
      <c r="D122" s="60"/>
      <c r="E122" s="61"/>
      <c r="F122" s="59"/>
      <c r="G122" s="60"/>
      <c r="H122" s="63"/>
    </row>
    <row r="123" spans="1:8">
      <c r="A123" s="101" t="s">
        <v>225</v>
      </c>
      <c r="B123" s="102" t="s">
        <v>226</v>
      </c>
      <c r="C123" s="59">
        <v>2639298.12</v>
      </c>
      <c r="D123" s="60">
        <v>2651859.94</v>
      </c>
      <c r="E123" s="61">
        <v>2662987.14</v>
      </c>
      <c r="F123" s="59">
        <v>30766741.439999998</v>
      </c>
      <c r="G123" s="60">
        <v>30924337.640000001</v>
      </c>
      <c r="H123" s="63">
        <v>31072909.050000001</v>
      </c>
    </row>
    <row r="124" spans="1:8">
      <c r="A124" s="108"/>
      <c r="B124" s="102" t="s">
        <v>227</v>
      </c>
      <c r="C124" s="59">
        <v>0</v>
      </c>
      <c r="D124" s="60">
        <v>0</v>
      </c>
      <c r="E124" s="61">
        <v>0</v>
      </c>
      <c r="F124" s="59">
        <v>0</v>
      </c>
      <c r="G124" s="60">
        <v>0</v>
      </c>
      <c r="H124" s="63">
        <v>0</v>
      </c>
    </row>
    <row r="125" spans="1:8">
      <c r="A125" s="108"/>
      <c r="B125" s="102" t="s">
        <v>228</v>
      </c>
      <c r="C125" s="59">
        <v>0</v>
      </c>
      <c r="D125" s="60">
        <v>0</v>
      </c>
      <c r="E125" s="61">
        <v>0</v>
      </c>
      <c r="F125" s="59">
        <v>0</v>
      </c>
      <c r="G125" s="60">
        <v>0</v>
      </c>
      <c r="H125" s="63">
        <v>0</v>
      </c>
    </row>
    <row r="126" spans="1:8">
      <c r="A126" s="108"/>
      <c r="B126" s="102" t="s">
        <v>229</v>
      </c>
      <c r="C126" s="59">
        <v>0</v>
      </c>
      <c r="D126" s="60">
        <v>0</v>
      </c>
      <c r="E126" s="61">
        <v>0</v>
      </c>
      <c r="F126" s="59">
        <v>0</v>
      </c>
      <c r="G126" s="60">
        <v>0</v>
      </c>
      <c r="H126" s="63">
        <v>0</v>
      </c>
    </row>
    <row r="127" spans="1:8">
      <c r="A127" s="108"/>
      <c r="B127" s="102" t="s">
        <v>230</v>
      </c>
      <c r="C127" s="59">
        <v>0</v>
      </c>
      <c r="D127" s="60">
        <v>0</v>
      </c>
      <c r="E127" s="61">
        <v>0</v>
      </c>
      <c r="F127" s="59">
        <v>0</v>
      </c>
      <c r="G127" s="60">
        <v>0</v>
      </c>
      <c r="H127" s="63">
        <v>0</v>
      </c>
    </row>
    <row r="128" spans="1:8">
      <c r="A128" s="108"/>
      <c r="B128" s="102" t="s">
        <v>231</v>
      </c>
      <c r="C128" s="59">
        <v>0</v>
      </c>
      <c r="D128" s="60">
        <v>0</v>
      </c>
      <c r="E128" s="61">
        <v>0</v>
      </c>
      <c r="F128" s="59">
        <v>0</v>
      </c>
      <c r="G128" s="60">
        <v>0</v>
      </c>
      <c r="H128" s="63">
        <v>0</v>
      </c>
    </row>
    <row r="129" spans="1:8">
      <c r="A129" s="101" t="s">
        <v>232</v>
      </c>
      <c r="B129" s="102" t="s">
        <v>233</v>
      </c>
      <c r="C129" s="59">
        <v>0</v>
      </c>
      <c r="D129" s="60">
        <v>0</v>
      </c>
      <c r="E129" s="61">
        <v>0</v>
      </c>
      <c r="F129" s="59">
        <v>0</v>
      </c>
      <c r="G129" s="60">
        <v>0</v>
      </c>
      <c r="H129" s="63">
        <v>0</v>
      </c>
    </row>
    <row r="130" spans="1:8">
      <c r="A130" s="98" t="s">
        <v>234</v>
      </c>
      <c r="B130" s="99"/>
      <c r="C130" s="121">
        <f>SUM(C123:C129)</f>
        <v>2639298.12</v>
      </c>
      <c r="D130" s="121">
        <f t="shared" ref="D130:H130" si="16">SUM(D123:D129)</f>
        <v>2651859.94</v>
      </c>
      <c r="E130" s="121">
        <f t="shared" si="16"/>
        <v>2662987.14</v>
      </c>
      <c r="F130" s="121">
        <f t="shared" si="16"/>
        <v>30766741.439999998</v>
      </c>
      <c r="G130" s="121">
        <f t="shared" si="16"/>
        <v>30924337.640000001</v>
      </c>
      <c r="H130" s="136">
        <f t="shared" si="16"/>
        <v>31072909.050000001</v>
      </c>
    </row>
    <row r="131" spans="1:8">
      <c r="A131" s="108"/>
      <c r="B131" s="99"/>
      <c r="C131" s="59"/>
      <c r="D131" s="60"/>
      <c r="E131" s="61"/>
      <c r="F131" s="59"/>
      <c r="G131" s="60"/>
      <c r="H131" s="63"/>
    </row>
    <row r="132" spans="1:8">
      <c r="A132" s="104" t="s">
        <v>235</v>
      </c>
      <c r="B132" s="99" t="s">
        <v>236</v>
      </c>
      <c r="C132" s="59">
        <v>0</v>
      </c>
      <c r="D132" s="60">
        <v>0</v>
      </c>
      <c r="E132" s="61">
        <v>0</v>
      </c>
      <c r="F132" s="59">
        <v>0</v>
      </c>
      <c r="G132" s="60">
        <v>0</v>
      </c>
      <c r="H132" s="63">
        <v>0</v>
      </c>
    </row>
    <row r="133" spans="1:8">
      <c r="A133" s="108"/>
      <c r="B133" s="99"/>
      <c r="C133" s="59"/>
      <c r="D133" s="60"/>
      <c r="E133" s="61"/>
      <c r="F133" s="59"/>
      <c r="G133" s="60"/>
      <c r="H133" s="63"/>
    </row>
    <row r="134" spans="1:8">
      <c r="A134" s="98" t="s">
        <v>237</v>
      </c>
      <c r="B134" s="99"/>
      <c r="C134" s="59"/>
      <c r="D134" s="60"/>
      <c r="E134" s="61"/>
      <c r="F134" s="59"/>
      <c r="G134" s="60"/>
      <c r="H134" s="63"/>
    </row>
    <row r="135" spans="1:8">
      <c r="A135" s="101" t="s">
        <v>238</v>
      </c>
      <c r="B135" s="102" t="s">
        <v>239</v>
      </c>
      <c r="C135" s="125">
        <v>365272.6</v>
      </c>
      <c r="D135" s="143">
        <v>378406.36</v>
      </c>
      <c r="E135" s="146">
        <v>394133.67</v>
      </c>
      <c r="F135" s="125">
        <v>4375615.55</v>
      </c>
      <c r="G135" s="143">
        <v>4299536.8699999992</v>
      </c>
      <c r="H135" s="145">
        <v>4271896.63</v>
      </c>
    </row>
    <row r="136" spans="1:8">
      <c r="A136" s="108"/>
      <c r="B136" s="99"/>
      <c r="C136" s="59"/>
      <c r="D136" s="60"/>
      <c r="E136" s="61"/>
      <c r="F136" s="59"/>
      <c r="G136" s="60"/>
      <c r="H136" s="63"/>
    </row>
    <row r="137" spans="1:8">
      <c r="A137" s="98" t="s">
        <v>240</v>
      </c>
      <c r="B137" s="99"/>
      <c r="C137" s="59"/>
      <c r="D137" s="60"/>
      <c r="E137" s="61"/>
      <c r="F137" s="59"/>
      <c r="G137" s="60"/>
      <c r="H137" s="63"/>
    </row>
    <row r="138" spans="1:8">
      <c r="A138" s="101" t="s">
        <v>241</v>
      </c>
      <c r="B138" s="102" t="s">
        <v>242</v>
      </c>
      <c r="C138" s="59">
        <v>49048.97</v>
      </c>
      <c r="D138" s="60">
        <v>1327174.48</v>
      </c>
      <c r="E138" s="61">
        <v>6089122.0499999998</v>
      </c>
      <c r="F138" s="59">
        <v>-12416493.18</v>
      </c>
      <c r="G138" s="60">
        <v>-11001054.300000001</v>
      </c>
      <c r="H138" s="147">
        <v>-4656864.1900000004</v>
      </c>
    </row>
    <row r="139" spans="1:8">
      <c r="A139" s="101" t="s">
        <v>241</v>
      </c>
      <c r="B139" s="102" t="s">
        <v>243</v>
      </c>
      <c r="C139" s="59">
        <v>0</v>
      </c>
      <c r="D139" s="60">
        <v>0</v>
      </c>
      <c r="E139" s="61">
        <v>0</v>
      </c>
      <c r="F139" s="59">
        <v>0</v>
      </c>
      <c r="G139" s="60">
        <v>0</v>
      </c>
      <c r="H139" s="63">
        <v>0</v>
      </c>
    </row>
    <row r="140" spans="1:8">
      <c r="A140" s="101" t="s">
        <v>244</v>
      </c>
      <c r="B140" s="102" t="s">
        <v>245</v>
      </c>
      <c r="C140" s="59">
        <v>2407596.09</v>
      </c>
      <c r="D140" s="60">
        <v>5987286.1799999997</v>
      </c>
      <c r="E140" s="61">
        <v>2083331.54</v>
      </c>
      <c r="F140" s="59">
        <v>40049037.700000003</v>
      </c>
      <c r="G140" s="60">
        <v>44927398.659999996</v>
      </c>
      <c r="H140" s="63">
        <v>43294488.670000002</v>
      </c>
    </row>
    <row r="141" spans="1:8">
      <c r="A141" s="101" t="s">
        <v>244</v>
      </c>
      <c r="B141" s="102" t="s">
        <v>246</v>
      </c>
      <c r="C141" s="59">
        <v>0</v>
      </c>
      <c r="D141" s="60">
        <v>0</v>
      </c>
      <c r="E141" s="61">
        <v>0</v>
      </c>
      <c r="F141" s="59">
        <v>0</v>
      </c>
      <c r="G141" s="60">
        <v>0</v>
      </c>
      <c r="H141" s="63">
        <v>0</v>
      </c>
    </row>
    <row r="142" spans="1:8">
      <c r="A142" s="101" t="s">
        <v>247</v>
      </c>
      <c r="B142" s="102" t="s">
        <v>248</v>
      </c>
      <c r="C142" s="59">
        <v>-2633479.27</v>
      </c>
      <c r="D142" s="60">
        <v>-6730620.3600000003</v>
      </c>
      <c r="E142" s="61">
        <v>-6835510.9699999997</v>
      </c>
      <c r="F142" s="59">
        <v>-29630726.029999997</v>
      </c>
      <c r="G142" s="60">
        <v>-34110546.239999995</v>
      </c>
      <c r="H142" s="63">
        <v>-38804558.600000001</v>
      </c>
    </row>
    <row r="143" spans="1:8">
      <c r="A143" s="101" t="s">
        <v>249</v>
      </c>
      <c r="B143" s="102" t="s">
        <v>250</v>
      </c>
      <c r="C143" s="59">
        <v>-2772.55</v>
      </c>
      <c r="D143" s="60">
        <v>-2772.55</v>
      </c>
      <c r="E143" s="61">
        <v>-2772.55</v>
      </c>
      <c r="F143" s="59">
        <v>-33238.379999999997</v>
      </c>
      <c r="G143" s="60">
        <v>-33254.49</v>
      </c>
      <c r="H143" s="63">
        <v>-33270.6</v>
      </c>
    </row>
    <row r="144" spans="1:8">
      <c r="A144" s="98" t="s">
        <v>251</v>
      </c>
      <c r="B144" s="99"/>
      <c r="C144" s="121">
        <f>SUM(C138:C143)</f>
        <v>-179606.75999999995</v>
      </c>
      <c r="D144" s="121">
        <f t="shared" ref="D144:H144" si="17">SUM(D138:D143)</f>
        <v>581067.74999999977</v>
      </c>
      <c r="E144" s="121">
        <f t="shared" si="17"/>
        <v>1334170.07</v>
      </c>
      <c r="F144" s="121">
        <f t="shared" si="17"/>
        <v>-2031419.8899999941</v>
      </c>
      <c r="G144" s="121">
        <f t="shared" si="17"/>
        <v>-217456.36999999522</v>
      </c>
      <c r="H144" s="136">
        <f t="shared" si="17"/>
        <v>-200204.71999999732</v>
      </c>
    </row>
    <row r="145" spans="1:8">
      <c r="A145" s="98" t="s">
        <v>252</v>
      </c>
      <c r="B145" s="99"/>
      <c r="C145" s="59">
        <f>+C144+C135+C130+C120</f>
        <v>7438156.8199999994</v>
      </c>
      <c r="D145" s="59">
        <f t="shared" ref="D145:G145" si="18">+D144+D135+D130+D120</f>
        <v>9656964.6799999997</v>
      </c>
      <c r="E145" s="59">
        <f t="shared" si="18"/>
        <v>10663338.609999999</v>
      </c>
      <c r="F145" s="59">
        <f t="shared" si="18"/>
        <v>94225174.269999981</v>
      </c>
      <c r="G145" s="59">
        <f t="shared" si="18"/>
        <v>96947988.629999995</v>
      </c>
      <c r="H145" s="127">
        <f>+H144+H135+H130+H120</f>
        <v>98038267.920000002</v>
      </c>
    </row>
    <row r="146" spans="1:8" ht="15" thickBot="1">
      <c r="A146" s="113" t="s">
        <v>253</v>
      </c>
      <c r="B146" s="114"/>
      <c r="C146" s="128">
        <f>+C47-C145</f>
        <v>2171392.1700000027</v>
      </c>
      <c r="D146" s="128">
        <f t="shared" ref="D146:H146" si="19">+D47-D145</f>
        <v>5075375.75</v>
      </c>
      <c r="E146" s="128">
        <f t="shared" si="19"/>
        <v>7073938.4800000116</v>
      </c>
      <c r="F146" s="128">
        <f t="shared" si="19"/>
        <v>33962126.63000001</v>
      </c>
      <c r="G146" s="128">
        <f t="shared" si="19"/>
        <v>32112578.490000054</v>
      </c>
      <c r="H146" s="138">
        <f t="shared" si="19"/>
        <v>32433674.810000002</v>
      </c>
    </row>
    <row r="147" spans="1:8">
      <c r="A147" s="115"/>
      <c r="B147" s="116"/>
      <c r="C147" s="87"/>
      <c r="D147" s="87"/>
      <c r="E147" s="87"/>
      <c r="F147" s="87"/>
      <c r="G147" s="87"/>
      <c r="H147" s="87"/>
    </row>
  </sheetData>
  <mergeCells count="5">
    <mergeCell ref="A120:B120"/>
    <mergeCell ref="A6:B6"/>
    <mergeCell ref="C5:E5"/>
    <mergeCell ref="F5:H5"/>
    <mergeCell ref="A5:B5"/>
  </mergeCells>
  <conditionalFormatting sqref="W7:W32">
    <cfRule type="containsText" dxfId="0" priority="1" operator="containsText" text="WA">
      <formula>NOT(ISERROR(SEARCH("WA",W7)))</formula>
    </cfRule>
  </conditionalFormatting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6" max="16383" man="1"/>
    <brk id="1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W36"/>
  <sheetViews>
    <sheetView topLeftCell="A11" zoomScaleNormal="100" workbookViewId="0">
      <selection activeCell="E13" sqref="E13"/>
    </sheetView>
  </sheetViews>
  <sheetFormatPr defaultColWidth="9.140625" defaultRowHeight="12.6"/>
  <cols>
    <col min="1" max="1" width="1.140625" customWidth="1"/>
    <col min="2" max="2" width="33.5703125" bestFit="1" customWidth="1"/>
    <col min="3" max="3" width="15" bestFit="1" customWidth="1"/>
    <col min="4" max="5" width="14.5703125" bestFit="1" customWidth="1"/>
    <col min="6" max="8" width="1.28515625" customWidth="1"/>
    <col min="9" max="9" width="16.5703125" customWidth="1"/>
    <col min="10" max="10" width="13" customWidth="1"/>
    <col min="11" max="11" width="12.28515625" bestFit="1" customWidth="1"/>
    <col min="12" max="12" width="12.85546875" bestFit="1" customWidth="1"/>
    <col min="13" max="13" width="13.140625" bestFit="1" customWidth="1"/>
    <col min="16" max="18" width="11.85546875" bestFit="1" customWidth="1"/>
  </cols>
  <sheetData>
    <row r="1" spans="2:15" ht="26.1">
      <c r="B1" s="170" t="s">
        <v>254</v>
      </c>
      <c r="C1" s="170"/>
      <c r="D1" s="170"/>
      <c r="E1" s="170"/>
      <c r="F1" s="88"/>
      <c r="G1" s="88"/>
      <c r="H1" s="88"/>
      <c r="I1" s="170" t="s">
        <v>255</v>
      </c>
      <c r="J1" s="170"/>
      <c r="K1" s="170"/>
      <c r="L1" s="170"/>
      <c r="M1" s="170"/>
    </row>
    <row r="2" spans="2:15" ht="12" customHeight="1">
      <c r="B2" s="129"/>
      <c r="I2" s="89"/>
      <c r="J2" s="89"/>
      <c r="K2" s="89"/>
      <c r="L2" s="89"/>
      <c r="M2" s="89"/>
    </row>
    <row r="3" spans="2:15" ht="12.95">
      <c r="B3" s="130"/>
      <c r="I3" s="90"/>
      <c r="J3" s="90"/>
    </row>
    <row r="4" spans="2:15" ht="14.45">
      <c r="B4" s="73" t="s">
        <v>256</v>
      </c>
      <c r="C4" s="149" t="s">
        <v>257</v>
      </c>
      <c r="D4" s="149" t="s">
        <v>258</v>
      </c>
      <c r="E4" s="149" t="s">
        <v>259</v>
      </c>
      <c r="F4" s="1"/>
      <c r="G4" s="1"/>
      <c r="H4" s="1"/>
      <c r="I4" s="91" t="s">
        <v>260</v>
      </c>
      <c r="J4" s="1"/>
      <c r="K4" s="131" t="str">
        <f>C4</f>
        <v>October</v>
      </c>
      <c r="L4" s="131" t="str">
        <f>D4</f>
        <v>November</v>
      </c>
      <c r="M4" s="131" t="str">
        <f>E4</f>
        <v>December</v>
      </c>
    </row>
    <row r="5" spans="2:15" ht="14.4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5" ht="14.45">
      <c r="B6" s="73" t="s">
        <v>261</v>
      </c>
      <c r="C6" s="152">
        <v>1123484081.03</v>
      </c>
      <c r="D6" s="17">
        <v>1128071211.3199999</v>
      </c>
      <c r="E6" s="17">
        <v>1141765084.0599999</v>
      </c>
      <c r="F6" s="1"/>
      <c r="G6" s="1"/>
      <c r="H6" s="1"/>
      <c r="I6" s="69" t="s">
        <v>4</v>
      </c>
      <c r="J6" s="70" t="s">
        <v>262</v>
      </c>
      <c r="K6" s="71">
        <v>8301482</v>
      </c>
      <c r="L6" s="71">
        <v>16563910</v>
      </c>
      <c r="M6" s="71">
        <v>17765095</v>
      </c>
      <c r="O6" s="71"/>
    </row>
    <row r="7" spans="2:15" ht="14.45">
      <c r="B7" s="73" t="s">
        <v>263</v>
      </c>
      <c r="C7" s="153">
        <v>-477833192.62999994</v>
      </c>
      <c r="D7" s="148">
        <v>-480494744.41000003</v>
      </c>
      <c r="E7" s="148">
        <v>-482855822.85000002</v>
      </c>
      <c r="F7" s="1"/>
      <c r="G7" s="1"/>
      <c r="H7" s="1"/>
      <c r="I7" s="72"/>
      <c r="J7" s="70" t="s">
        <v>264</v>
      </c>
      <c r="K7" s="71">
        <v>7422611</v>
      </c>
      <c r="L7" s="71">
        <v>12018329</v>
      </c>
      <c r="M7" s="71">
        <v>13740151</v>
      </c>
    </row>
    <row r="8" spans="2:15" ht="14.45">
      <c r="B8" s="73" t="s">
        <v>265</v>
      </c>
      <c r="C8" s="17">
        <f>+C6+C7</f>
        <v>645650888.4000001</v>
      </c>
      <c r="D8" s="17">
        <f>+D6+D7</f>
        <v>647576466.90999985</v>
      </c>
      <c r="E8" s="17">
        <f>+E6+E7</f>
        <v>658909261.20999992</v>
      </c>
      <c r="F8" s="1"/>
      <c r="G8" s="1"/>
      <c r="H8" s="1"/>
      <c r="I8" s="72"/>
      <c r="J8" s="70" t="s">
        <v>266</v>
      </c>
      <c r="K8" s="71">
        <v>1258827</v>
      </c>
      <c r="L8" s="71">
        <v>1278023</v>
      </c>
      <c r="M8" s="71">
        <v>1732486</v>
      </c>
    </row>
    <row r="9" spans="2:15" ht="14.45">
      <c r="B9" s="73" t="s">
        <v>267</v>
      </c>
      <c r="C9" s="154">
        <v>-34072.21</v>
      </c>
      <c r="D9" s="17">
        <v>-34072.21</v>
      </c>
      <c r="E9" s="17">
        <v>-34072.21</v>
      </c>
      <c r="F9" s="1"/>
      <c r="G9" s="1"/>
      <c r="H9" s="1"/>
      <c r="I9" s="72"/>
      <c r="J9" s="70" t="s">
        <v>268</v>
      </c>
      <c r="K9" s="71">
        <v>169608</v>
      </c>
      <c r="L9" s="71">
        <v>236897</v>
      </c>
      <c r="M9" s="71">
        <v>249527</v>
      </c>
    </row>
    <row r="10" spans="2:15" ht="14.45">
      <c r="B10" s="73" t="s">
        <v>269</v>
      </c>
      <c r="C10" s="155">
        <v>-76933732.960000008</v>
      </c>
      <c r="D10" s="148">
        <v>-77060728.750000015</v>
      </c>
      <c r="E10" s="148">
        <v>-77593766.770000011</v>
      </c>
      <c r="F10" s="1"/>
      <c r="G10" s="1"/>
      <c r="H10" s="1"/>
      <c r="I10" s="72"/>
      <c r="J10" s="70" t="s">
        <v>270</v>
      </c>
      <c r="K10" s="71">
        <v>91297080</v>
      </c>
      <c r="L10" s="71">
        <v>102078322</v>
      </c>
      <c r="M10" s="71">
        <v>106874528</v>
      </c>
    </row>
    <row r="11" spans="2:15" ht="14.45">
      <c r="B11" s="73" t="s">
        <v>271</v>
      </c>
      <c r="C11" s="17">
        <f>SUM(C8:C10)</f>
        <v>568683083.23000002</v>
      </c>
      <c r="D11" s="17">
        <f>SUM(D8:D10)</f>
        <v>570481665.94999981</v>
      </c>
      <c r="E11" s="17">
        <f>SUM(E8:E10)</f>
        <v>581281422.2299999</v>
      </c>
      <c r="F11" s="1"/>
      <c r="G11" s="1"/>
      <c r="H11" s="1"/>
      <c r="I11" s="1"/>
      <c r="J11" s="5"/>
      <c r="K11" s="71"/>
      <c r="L11" s="71"/>
      <c r="M11" s="71"/>
    </row>
    <row r="12" spans="2:15" ht="14.45">
      <c r="B12" s="73" t="s">
        <v>272</v>
      </c>
      <c r="C12" s="148">
        <v>37248741.951565005</v>
      </c>
      <c r="D12" s="148">
        <v>40333053.782664984</v>
      </c>
      <c r="E12" s="148">
        <v>40573443.271653995</v>
      </c>
      <c r="F12" s="1"/>
      <c r="G12" s="1"/>
      <c r="H12" s="1"/>
      <c r="I12" s="69" t="s">
        <v>273</v>
      </c>
      <c r="J12" s="70" t="s">
        <v>262</v>
      </c>
      <c r="K12" s="71">
        <v>136991843</v>
      </c>
      <c r="L12" s="71">
        <v>133210257</v>
      </c>
      <c r="M12" s="71">
        <v>125222746</v>
      </c>
    </row>
    <row r="13" spans="2:15" ht="15" thickBot="1">
      <c r="B13" s="132" t="s">
        <v>274</v>
      </c>
      <c r="C13" s="133">
        <f>+C12+C11</f>
        <v>605931825.18156505</v>
      </c>
      <c r="D13" s="133">
        <f>+D12+D11</f>
        <v>610814719.73266482</v>
      </c>
      <c r="E13" s="133">
        <f>+E12+E11</f>
        <v>621854865.50165391</v>
      </c>
      <c r="F13" s="1"/>
      <c r="G13" s="1"/>
      <c r="H13" s="1"/>
      <c r="I13" s="72"/>
      <c r="J13" s="70" t="s">
        <v>264</v>
      </c>
      <c r="K13" s="71">
        <v>111262812</v>
      </c>
      <c r="L13" s="71">
        <v>109129461</v>
      </c>
      <c r="M13" s="71">
        <v>103053033</v>
      </c>
    </row>
    <row r="14" spans="2:15" ht="15" thickTop="1">
      <c r="B14" s="73"/>
      <c r="C14" s="73"/>
      <c r="D14" s="73"/>
      <c r="E14" s="73"/>
      <c r="F14" s="1"/>
      <c r="G14" s="1"/>
      <c r="H14" s="1"/>
      <c r="I14" s="72"/>
      <c r="J14" s="70" t="s">
        <v>266</v>
      </c>
      <c r="K14" s="71">
        <v>17870583</v>
      </c>
      <c r="L14" s="71">
        <v>17754622</v>
      </c>
      <c r="M14" s="71">
        <v>17143057</v>
      </c>
    </row>
    <row r="15" spans="2:15" ht="14.45">
      <c r="B15" s="1"/>
      <c r="C15" s="74"/>
      <c r="D15" s="74"/>
      <c r="E15" s="74"/>
      <c r="F15" s="1"/>
      <c r="G15" s="1"/>
      <c r="H15" s="1"/>
      <c r="I15" s="72"/>
      <c r="J15" s="70" t="s">
        <v>268</v>
      </c>
      <c r="K15" s="71">
        <v>2142905</v>
      </c>
      <c r="L15" s="71">
        <v>2131110</v>
      </c>
      <c r="M15" s="71">
        <v>2097598</v>
      </c>
    </row>
    <row r="16" spans="2:15" ht="14.45">
      <c r="F16" s="1"/>
      <c r="G16" s="1"/>
      <c r="H16" s="1"/>
      <c r="I16" s="72"/>
      <c r="J16" s="70" t="s">
        <v>270</v>
      </c>
      <c r="K16" s="71">
        <v>995232041</v>
      </c>
      <c r="L16" s="71">
        <v>1010691423</v>
      </c>
      <c r="M16" s="71">
        <v>1040285355</v>
      </c>
    </row>
    <row r="17" spans="2:23" ht="14.45">
      <c r="B17" s="73" t="s">
        <v>275</v>
      </c>
      <c r="C17" s="73"/>
      <c r="D17" s="73"/>
      <c r="E17" s="73"/>
      <c r="F17" s="1"/>
      <c r="G17" s="1"/>
      <c r="H17" s="1"/>
      <c r="I17" s="1"/>
      <c r="J17" s="1"/>
      <c r="K17" s="10"/>
      <c r="L17" s="10"/>
      <c r="M17" s="10"/>
    </row>
    <row r="18" spans="2:23" ht="14.45">
      <c r="B18" s="73"/>
      <c r="C18" s="73"/>
      <c r="D18" s="73"/>
      <c r="E18" s="73"/>
      <c r="F18" s="1"/>
      <c r="G18" s="1"/>
      <c r="H18" s="1"/>
      <c r="I18" s="1"/>
      <c r="J18" s="1"/>
      <c r="K18" s="1"/>
      <c r="L18" s="1"/>
      <c r="M18" s="1"/>
    </row>
    <row r="19" spans="2:23" ht="14.45">
      <c r="B19" s="73" t="s">
        <v>261</v>
      </c>
      <c r="C19" s="152">
        <v>1079639139.2562501</v>
      </c>
      <c r="D19" s="17">
        <v>1086497622.3850002</v>
      </c>
      <c r="E19" s="17">
        <v>1093224988.74875</v>
      </c>
      <c r="F19" s="1"/>
      <c r="G19" s="1"/>
      <c r="H19" s="1"/>
      <c r="I19" s="1" t="s">
        <v>276</v>
      </c>
      <c r="J19" s="1"/>
      <c r="K19" s="131" t="str">
        <f>C4</f>
        <v>October</v>
      </c>
      <c r="L19" s="131" t="str">
        <f>D4</f>
        <v>November</v>
      </c>
      <c r="M19" s="131" t="str">
        <f>E4</f>
        <v>December</v>
      </c>
      <c r="P19" s="134"/>
      <c r="Q19" s="134"/>
      <c r="R19" s="134"/>
      <c r="U19" s="134"/>
      <c r="V19" s="134"/>
      <c r="W19" s="134"/>
    </row>
    <row r="20" spans="2:23" ht="14.45">
      <c r="B20" s="73" t="s">
        <v>263</v>
      </c>
      <c r="C20" s="153">
        <v>-466434723.33583337</v>
      </c>
      <c r="D20" s="148">
        <v>-468405358.97041672</v>
      </c>
      <c r="E20" s="148">
        <v>-470425318.60166663</v>
      </c>
      <c r="F20" s="1"/>
      <c r="G20" s="1"/>
      <c r="H20" s="1"/>
      <c r="I20" s="1"/>
      <c r="J20" s="70" t="s">
        <v>262</v>
      </c>
      <c r="K20" s="71">
        <v>203699</v>
      </c>
      <c r="L20" s="71">
        <v>204249</v>
      </c>
      <c r="M20" s="71">
        <v>204516</v>
      </c>
      <c r="U20" s="134"/>
      <c r="V20" s="134"/>
      <c r="W20" s="134"/>
    </row>
    <row r="21" spans="2:23" ht="14.45">
      <c r="B21" s="73" t="s">
        <v>265</v>
      </c>
      <c r="C21" s="28">
        <f>+C20+C19</f>
        <v>613204415.92041683</v>
      </c>
      <c r="D21" s="28">
        <f>+D20+D19</f>
        <v>618092263.41458344</v>
      </c>
      <c r="E21" s="28">
        <f>+E20+E19</f>
        <v>622799670.14708328</v>
      </c>
      <c r="F21" s="1"/>
      <c r="G21" s="1"/>
      <c r="H21" s="1"/>
      <c r="I21" s="1"/>
      <c r="J21" s="70" t="s">
        <v>264</v>
      </c>
      <c r="K21" s="71">
        <v>27528</v>
      </c>
      <c r="L21" s="71">
        <v>27664</v>
      </c>
      <c r="M21" s="71">
        <v>27728</v>
      </c>
    </row>
    <row r="22" spans="2:23" ht="14.45">
      <c r="B22" s="73" t="s">
        <v>267</v>
      </c>
      <c r="C22" s="154">
        <v>-60307.002916666621</v>
      </c>
      <c r="D22" s="17">
        <v>-56604.660416666629</v>
      </c>
      <c r="E22" s="17">
        <v>-52941.692916666652</v>
      </c>
      <c r="F22" s="1"/>
      <c r="G22" s="1"/>
      <c r="H22" s="1"/>
      <c r="I22" s="1"/>
      <c r="J22" s="70" t="s">
        <v>266</v>
      </c>
      <c r="K22" s="71">
        <v>515</v>
      </c>
      <c r="L22" s="71">
        <v>518</v>
      </c>
      <c r="M22" s="71">
        <v>522</v>
      </c>
    </row>
    <row r="23" spans="2:23" ht="14.45">
      <c r="B23" s="73" t="s">
        <v>269</v>
      </c>
      <c r="C23" s="155">
        <v>-77388615.354583338</v>
      </c>
      <c r="D23" s="148">
        <v>-77315423.312916681</v>
      </c>
      <c r="E23" s="148">
        <v>-77285664.796666682</v>
      </c>
      <c r="F23" s="1"/>
      <c r="G23" s="1"/>
      <c r="H23" s="1"/>
      <c r="I23" s="1"/>
      <c r="J23" s="70" t="s">
        <v>268</v>
      </c>
      <c r="K23" s="71">
        <v>7</v>
      </c>
      <c r="L23" s="71">
        <v>7</v>
      </c>
      <c r="M23" s="71">
        <v>7</v>
      </c>
    </row>
    <row r="24" spans="2:23" ht="14.45">
      <c r="B24" s="73" t="s">
        <v>271</v>
      </c>
      <c r="C24" s="28">
        <f>SUM(C21:C23)</f>
        <v>535755493.56291682</v>
      </c>
      <c r="D24" s="28">
        <f>SUM(D21:D23)</f>
        <v>540720235.44125009</v>
      </c>
      <c r="E24" s="28">
        <f>SUM(E21:E23)</f>
        <v>545461063.65750003</v>
      </c>
      <c r="F24" s="1"/>
      <c r="G24" s="1"/>
      <c r="H24" s="1"/>
      <c r="I24" s="1"/>
      <c r="J24" s="70" t="s">
        <v>270</v>
      </c>
      <c r="K24" s="71">
        <v>199</v>
      </c>
      <c r="L24" s="71">
        <v>199</v>
      </c>
      <c r="M24" s="71">
        <v>200</v>
      </c>
    </row>
    <row r="25" spans="2:23" ht="14.45">
      <c r="B25" s="73" t="s">
        <v>272</v>
      </c>
      <c r="C25" s="148">
        <v>35076244.219999999</v>
      </c>
      <c r="D25" s="148">
        <v>38209277.369999997</v>
      </c>
      <c r="E25" s="148">
        <v>38059495.890000001</v>
      </c>
      <c r="F25" s="1"/>
      <c r="G25" s="1"/>
      <c r="H25" s="1"/>
      <c r="I25" s="1"/>
      <c r="J25" s="1"/>
      <c r="K25" s="75" t="s">
        <v>277</v>
      </c>
      <c r="L25" s="75" t="s">
        <v>277</v>
      </c>
      <c r="M25" s="75" t="s">
        <v>277</v>
      </c>
    </row>
    <row r="26" spans="2:23" ht="15" thickBot="1">
      <c r="B26" s="132" t="s">
        <v>278</v>
      </c>
      <c r="C26" s="133">
        <f>+C25+C24</f>
        <v>570831737.78291678</v>
      </c>
      <c r="D26" s="135">
        <f>+D25+D24</f>
        <v>578929512.81125009</v>
      </c>
      <c r="E26" s="135">
        <f>+E25+E24</f>
        <v>583520559.54750001</v>
      </c>
      <c r="F26" s="1"/>
      <c r="G26" s="1"/>
      <c r="H26" s="1"/>
      <c r="I26" s="1"/>
      <c r="J26" s="70" t="s">
        <v>279</v>
      </c>
      <c r="K26" s="10">
        <f>SUM(K20:K24)</f>
        <v>231948</v>
      </c>
      <c r="L26" s="10">
        <f t="shared" ref="L26:M26" si="0">SUM(L20:L24)</f>
        <v>232637</v>
      </c>
      <c r="M26" s="10">
        <f t="shared" si="0"/>
        <v>232973</v>
      </c>
    </row>
    <row r="27" spans="2:23" ht="15" thickTop="1">
      <c r="B27" s="67"/>
      <c r="C27" s="92"/>
      <c r="D27" s="93"/>
      <c r="E27" s="93"/>
      <c r="F27" s="1"/>
      <c r="G27" s="1"/>
      <c r="H27" s="1"/>
      <c r="I27" s="64"/>
      <c r="J27" s="67"/>
      <c r="K27" s="66"/>
      <c r="L27" s="66"/>
      <c r="M27" s="68"/>
    </row>
    <row r="28" spans="2:23" ht="12.95">
      <c r="K28" s="66"/>
      <c r="L28" s="66"/>
      <c r="M28" s="66"/>
    </row>
    <row r="29" spans="2:23" ht="12.95">
      <c r="I29" s="94"/>
      <c r="K29" s="66"/>
      <c r="L29" s="66"/>
      <c r="M29" s="66"/>
    </row>
    <row r="30" spans="2:23" ht="12.95">
      <c r="I30" s="58"/>
      <c r="K30" s="66"/>
      <c r="L30" s="66"/>
      <c r="M30" s="66"/>
    </row>
    <row r="31" spans="2:23">
      <c r="K31" s="95"/>
      <c r="L31" s="95"/>
      <c r="M31" s="95"/>
    </row>
    <row r="32" spans="2:23">
      <c r="I32" s="94"/>
    </row>
    <row r="33" spans="9:9">
      <c r="I33" s="58"/>
    </row>
    <row r="35" spans="9:9">
      <c r="I35" s="94"/>
    </row>
    <row r="36" spans="9:9">
      <c r="I36" s="58"/>
    </row>
  </sheetData>
  <mergeCells count="2">
    <mergeCell ref="I1:M1"/>
    <mergeCell ref="B1:E1"/>
  </mergeCells>
  <phoneticPr fontId="35" type="noConversion"/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1F4E0514178B4459815334D96D654A4" ma:contentTypeVersion="16" ma:contentTypeDescription="" ma:contentTypeScope="" ma:versionID="8e4a22671040dde2e96c27db4b0db5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2024-02-15T08:00:00+00:00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240101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5B1FB01-70C0-4126-9ADD-51B8E0615C7B}"/>
</file>

<file path=customXml/itemProps2.xml><?xml version="1.0" encoding="utf-8"?>
<ds:datastoreItem xmlns:ds="http://schemas.openxmlformats.org/officeDocument/2006/customXml" ds:itemID="{C66D0B3D-21C7-4F3C-8E04-DF07BBD915FB}"/>
</file>

<file path=customXml/itemProps3.xml><?xml version="1.0" encoding="utf-8"?>
<ds:datastoreItem xmlns:ds="http://schemas.openxmlformats.org/officeDocument/2006/customXml" ds:itemID="{902B2E10-7EDF-4F86-B7A2-5DB667D62A9E}"/>
</file>

<file path=customXml/itemProps4.xml><?xml version="1.0" encoding="utf-8"?>
<ds:datastoreItem xmlns:ds="http://schemas.openxmlformats.org/officeDocument/2006/customXml" ds:itemID="{A10C1132-1DF5-42D6-BBDE-9764A2A200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Cascade Natural Gas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Darrington, Jacob</cp:lastModifiedBy>
  <cp:revision/>
  <dcterms:created xsi:type="dcterms:W3CDTF">2004-02-03T00:32:55Z</dcterms:created>
  <dcterms:modified xsi:type="dcterms:W3CDTF">2024-02-08T17:50:37Z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0x0101006E56B4D1795A2E4DB2F0B01679ED314A0081F4E0514178B4459815334D96D654A4</vt:lpwstr>
  </property>
  <property fmtid="{D5CDD505-2E9C-101B-9397-08002B2CF9AE}" pid="3" name="_docset_NoMedatataSyncRequired">
    <vt:lpwstr>False</vt:lpwstr>
  </property>
</Properties>
</file>