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Columbia 2025\Fuel Surcharge G-51\2024\FSC CRD G-51 3.01.2024\"/>
    </mc:Choice>
  </mc:AlternateContent>
  <xr:revisionPtr revIDLastSave="0" documentId="8_{324BB0B7-BEE7-4EE9-811B-965C2F5F4B1F}" xr6:coauthVersionLast="47" xr6:coauthVersionMax="47" xr10:uidLastSave="{00000000-0000-0000-0000-000000000000}"/>
  <workbookProtection workbookAlgorithmName="SHA-512" workbookHashValue="SaJ8Nq+k7jFa6RL0yKxrnMbG5uN9APwcwM7gVAj/Isw+Lv4HPhANTymfIioriflWmbDZzRCw+1+SHVbK7L/zSQ==" workbookSaltValue="F/qqmc2QqFFtZDtzyih4+Q==" workbookSpinCount="100000" lockStructure="1"/>
  <bookViews>
    <workbookView xWindow="2868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7" l="1"/>
  <c r="F38" i="7"/>
  <c r="G53" i="7"/>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K76" i="7" l="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tc={2D2F4275-D88B-4028-9543-90D321C7940D}</author>
    <author>tc={264D76ED-A644-4272-BF03-8A4C410E3361}</author>
    <author>tc={A10D00E5-522F-4025-A975-B6DF061BF7AA}</author>
    <author>tc={30EE06FA-BAEB-4BE4-AB72-B1F353A19D7C}</author>
    <author>tc={09ECF883-AA35-4306-AE84-4DDBA98A6B34}</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Kent Meridian Disposal for G-60</t>
      </text>
    </comment>
    <comment ref="A46" authorId="2" shapeId="0" xr:uid="{2D2F4275-D88B-4028-9543-90D321C7940D}">
      <text>
        <t>[Threaded comment]
Your version of Excel allows you to read this threaded comment; however, any edits to it will get removed if the file is opened in a newer version of Excel. Learn more: https://go.microsoft.com/fwlink/?linkid=870924
Comment:
    Do not use; See Waste Connections of Oregon</t>
      </text>
    </comment>
    <comment ref="A53" authorId="3" shapeId="0" xr:uid="{264D76ED-A644-4272-BF03-8A4C410E3361}">
      <text>
        <t>[Threaded comment]
Your version of Excel allows you to read this threaded comment; however, any edits to it will get removed if the file is opened in a newer version of Excel. Learn more: https://go.microsoft.com/fwlink/?linkid=870924
Comment:
    Includes Fairchild AFB contract, but if contract costs are separated out in rate case, do not include revenue.</t>
      </text>
    </comment>
    <comment ref="G56" authorId="4"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5"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A58" authorId="6" shapeId="0" xr:uid="{09ECF883-AA35-4306-AE84-4DDBA98A6B34}">
      <text>
        <t>[Threaded comment]
Your version of Excel allows you to read this threaded comment; however, any edits to it will get removed if the file is opened in a newer version of Excel. Learn more: https://go.microsoft.com/fwlink/?linkid=870924
Comment:
    Do Not use; see American Disposal</t>
      </text>
    </comment>
    <comment ref="D68" authorId="7"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<sst xmlns="http://schemas.openxmlformats.org/spreadsheetml/2006/main" count="609" uniqueCount="293">
  <si>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</si>
  <si>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</si>
  <si>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</si>
  <si>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</si>
  <si>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</si>
  <si>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</si>
  <si>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</si>
  <si>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</si>
  <si>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</si>
  <si>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</si>
  <si>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</si>
  <si>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</si>
  <si>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</si>
  <si>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</si>
  <si>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</si>
  <si>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</si>
  <si>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</si>
  <si>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</si>
  <si>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</si>
  <si>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</si>
  <si>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</si>
  <si>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</si>
  <si>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</si>
  <si>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</si>
  <si>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</si>
  <si>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</si>
  <si>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</si>
  <si>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</si>
  <si>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</si>
  <si>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</si>
  <si>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</si>
  <si>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</si>
  <si>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</si>
  <si>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</si>
  <si>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</si>
  <si>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</si>
  <si>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</si>
  <si>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</si>
  <si>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</si>
  <si>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</si>
  <si>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</si>
  <si>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</si>
  <si>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</si>
  <si>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</si>
  <si>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</si>
  <si>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</si>
  <si>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</si>
  <si>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</si>
  <si>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</si>
  <si>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</si>
  <si>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</si>
  <si>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</si>
  <si>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</si>
  <si>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</si>
  <si>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</si>
  <si>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</si>
  <si>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</si>
  <si>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</si>
  <si>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</si>
  <si>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</si>
  <si>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</si>
  <si>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</si>
  <si>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</si>
  <si>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</si>
  <si>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</si>
  <si>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</si>
  <si>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</si>
  <si>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</si>
  <si>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</si>
  <si>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</si>
  <si>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</si>
  <si>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</si>
  <si>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</si>
  <si>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</si>
  <si>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</si>
  <si>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</si>
  <si>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</si>
  <si>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</si>
  <si>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</si>
  <si>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</si>
  <si>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</si>
  <si>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</si>
  <si>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</si>
  <si>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</si>
  <si>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</si>
  <si>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</si>
  <si>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</si>
  <si>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</si>
  <si>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</si>
  <si>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</si>
  <si>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</si>
  <si>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</si>
  <si>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</si>
  <si>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</si>
  <si>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</si>
  <si>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</si>
  <si>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</si>
  <si>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</si>
  <si>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</si>
  <si>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</si>
  <si>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</si>
  <si>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</si>
  <si>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</si>
  <si>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</si>
  <si>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</si>
  <si>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</si>
  <si>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</si>
  <si>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</si>
  <si>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</si>
  <si>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</si>
  <si>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</si>
  <si>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</si>
  <si>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</si>
  <si>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</si>
  <si>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</si>
  <si>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</si>
  <si>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</si>
  <si>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</si>
  <si>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</si>
  <si>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</si>
  <si>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</si>
  <si>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</si>
  <si>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</si>
  <si>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</si>
  <si>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</si>
  <si>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</si>
  <si>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</si>
  <si>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</si>
  <si>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</si>
  <si>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</si>
  <si>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</si>
  <si>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</si>
  <si>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</si>
  <si>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</si>
  <si>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</si>
  <si>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</si>
  <si>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</si>
  <si>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</si>
  <si>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</si>
  <si>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</si>
  <si>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</si>
  <si>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</si>
  <si>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</si>
  <si>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</si>
  <si>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</si>
  <si>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</si>
  <si>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</si>
  <si>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</si>
  <si>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</si>
  <si>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</si>
  <si>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</si>
  <si>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</si>
  <si>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</si>
  <si>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</si>
  <si>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</si>
  <si>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</si>
  <si>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</si>
  <si>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</si>
  <si>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</si>
  <si>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</si>
  <si>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</si>
  <si>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</si>
  <si>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</si>
  <si>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</si>
  <si>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</si>
  <si>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</si>
  <si>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</si>
  <si>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</si>
  <si>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</si>
  <si>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</si>
  <si>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</si>
  <si>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</si>
  <si>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</si>
  <si>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</si>
  <si>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</si>
  <si>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</si>
  <si>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</si>
  <si>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</si>
  <si>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</si>
  <si>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</si>
  <si>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</si>
  <si>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</si>
  <si>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</si>
  <si>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</si>
  <si>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</si>
  <si>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</si>
  <si>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</si>
  <si>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</si>
  <si>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</si>
  <si>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</si>
  <si>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</si>
  <si>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</si>
  <si>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</si>
  <si>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</si>
  <si>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</si>
  <si>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</si>
  <si>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</si>
  <si>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</si>
  <si>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</si>
  <si>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</si>
  <si>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</si>
  <si>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</si>
  <si>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</si>
  <si>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</si>
  <si>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</si>
  <si>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</si>
  <si>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</si>
  <si>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</si>
  <si>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</si>
  <si>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</si>
  <si>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</si>
  <si>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</si>
  <si>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</si>
  <si>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</si>
  <si>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</si>
  <si>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</si>
  <si>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</si>
  <si>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</si>
  <si>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</si>
  <si>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</si>
  <si>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</si>
  <si>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</si>
  <si>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</si>
  <si>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</si>
  <si>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</si>
  <si>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</si>
  <si>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</si>
  <si>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</si>
  <si>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</si>
  <si>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</si>
  <si>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</si>
  <si>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</si>
  <si>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</si>
  <si>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</si>
  <si>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</si>
  <si>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</si>
  <si>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</si>
  <si>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</si>
  <si>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</si>
  <si>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</si>
  <si>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</si>
  <si>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</si>
  <si>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</si>
  <si>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</si>
  <si>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</si>
  <si>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</si>
  <si>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</si>
  <si>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</si>
  <si>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</si>
  <si>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</si>
  <si>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</si>
  <si>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</si>
  <si>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</si>
  <si>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</si>
  <si>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</si>
  <si>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</si>
  <si>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</si>
  <si>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</si>
  <si>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</si>
  <si>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</si>
  <si>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</si>
  <si>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</si>
  <si>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</si>
  <si>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</si>
  <si>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</si>
  <si>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</si>
  <si>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</si>
  <si>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</si>
  <si>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</si>
  <si>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</si>
  <si>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</si>
  <si>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</si>
  <si>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</si>
  <si>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</si>
  <si>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</si>
  <si>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</si>
  <si>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</si>
  <si>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</si>
  <si>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</si>
  <si>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</si>
  <si>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</si>
  <si>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</si>
  <si>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</si>
  <si>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</si>
  <si>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</si>
  <si>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</si>
  <si>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</si>
  <si>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</si>
  <si>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</si>
  <si>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</si>
  <si>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</si>
  <si>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</si>
  <si>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Kent-Meridian Disposal Company formerly Fiorito Enterprises, G-60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</si>
</sst>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rgb="FF00B05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70">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72" fontId="23" fillId="18" borderId="18" xfId="5" applyNumberFormat="1" applyFont="1" applyFill="1" applyBorder="1" applyAlignment="1" applyProtection="1">
      <alignment horizontal="center" vertical="center"/>
      <protection hidden="1"/>
    </xf>
    <xf numFmtId="164" fontId="23" fillId="3" borderId="18" xfId="5" applyNumberFormat="1" applyFont="1" applyFill="1" applyBorder="1" applyAlignment="1" applyProtection="1">
      <alignment horizontal="right" vertical="center"/>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987466" cy="9422027"/>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Kent Meridian Disposal for G-60</text>
  </threadedComment>
  <threadedComment ref="A46" dT="2023-11-02T21:58:38.34" personId="{24E6BDF7-E4F2-429E-A03E-2CAFF6201FC6}" id="{2D2F4275-D88B-4028-9543-90D321C7940D}">
    <text>Do not use; See Waste Connections of Oregon</text>
  </threadedComment>
  <threadedComment ref="A53" dT="2023-11-02T21:43:13.38" personId="{24E6BDF7-E4F2-429E-A03E-2CAFF6201FC6}" id="{264D76ED-A644-4272-BF03-8A4C410E3361}">
    <text>Includes Fairchild AFB contract, but if contract costs are separated out in rate case, do not include revenue.</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 ref="A58" dT="2023-11-02T21:54:18.98" personId="{24E6BDF7-E4F2-429E-A03E-2CAFF6201FC6}" id="{09ECF883-AA35-4306-AE84-4DDBA98A6B34}">
    <text>Do Not use; see American Disposal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topLeftCell="A14" zoomScale="96" zoomScaleNormal="96" zoomScaleSheetLayoutView="90" zoomScalePageLayoutView="80" workbookViewId="0">
      <selection activeCell="A7" sqref="A7:F7"/>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5" t="s">
        <v>0</v>
      </c>
      <c r="B1" s="225"/>
      <c r="C1" s="225"/>
      <c r="D1" s="225"/>
      <c r="E1" s="225"/>
      <c r="F1" s="225"/>
    </row>
    <row r="2" spans="1:6" ht="26.25" customHeight="1" x14ac:dyDescent="0.2">
      <c r="A2" s="238" t="s">
        <v>1</v>
      </c>
      <c r="B2" s="239"/>
      <c r="C2" s="58" t="s">
        <v>2</v>
      </c>
      <c r="D2" s="235" t="s">
        <v>168</v>
      </c>
      <c r="E2" s="235"/>
      <c r="F2" s="235"/>
    </row>
    <row r="3" spans="1:6" ht="5.25" customHeight="1" x14ac:dyDescent="0.2">
      <c r="A3" s="240"/>
      <c r="B3" s="241"/>
      <c r="C3" s="59"/>
      <c r="D3" s="59"/>
      <c r="F3" s="59"/>
    </row>
    <row r="4" spans="1:6" x14ac:dyDescent="0.2">
      <c r="A4" s="240"/>
      <c r="B4" s="241"/>
      <c r="C4" s="60" t="s">
        <v>4</v>
      </c>
      <c r="D4" s="237">
        <v>45352</v>
      </c>
      <c r="E4" s="237"/>
      <c r="F4" s="237"/>
    </row>
    <row r="5" spans="1:6" ht="5.25" customHeight="1" x14ac:dyDescent="0.2">
      <c r="A5" s="240"/>
      <c r="B5" s="241"/>
      <c r="C5" s="59"/>
      <c r="D5" s="59"/>
      <c r="F5" s="59"/>
    </row>
    <row r="6" spans="1:6" x14ac:dyDescent="0.2">
      <c r="A6" s="240"/>
      <c r="B6" s="241"/>
      <c r="C6" s="60" t="s">
        <v>5</v>
      </c>
      <c r="D6" s="248">
        <v>117709</v>
      </c>
      <c r="E6" s="248"/>
      <c r="F6" s="248"/>
    </row>
    <row r="7" spans="1:6" x14ac:dyDescent="0.2">
      <c r="A7" s="242"/>
      <c r="B7" s="242"/>
      <c r="C7" s="242"/>
      <c r="D7" s="242"/>
      <c r="E7" s="242"/>
      <c r="F7" s="242"/>
    </row>
    <row r="8" spans="1:6" ht="28.5" customHeight="1" x14ac:dyDescent="0.2">
      <c r="A8" s="238" t="s">
        <v>6</v>
      </c>
      <c r="B8" s="239"/>
      <c r="C8" s="61" t="s">
        <v>7</v>
      </c>
      <c r="D8" s="250">
        <f>IF(AND(D2&gt;"", D4&gt;0, D6&gt;0), F45, 0)</f>
        <v>1.1558980000000002E-2</v>
      </c>
      <c r="E8" s="250"/>
      <c r="F8" s="250"/>
    </row>
    <row r="9" spans="1:6" ht="5.25" customHeight="1" x14ac:dyDescent="0.2">
      <c r="A9" s="240"/>
      <c r="B9" s="241"/>
      <c r="C9" s="62"/>
      <c r="D9" s="62"/>
      <c r="E9" s="62"/>
      <c r="F9" s="62"/>
    </row>
    <row r="10" spans="1:6" ht="29.25" customHeight="1" x14ac:dyDescent="0.2">
      <c r="A10" s="240"/>
      <c r="B10" s="241"/>
      <c r="C10" s="61" t="s">
        <v>8</v>
      </c>
      <c r="D10" s="236">
        <f>IF(AND(D2&gt;"", D4&gt;0, D6&gt;0), IF(F45&lt;F61, F45,F61), 0)</f>
        <v>2.4998232079110369E-3</v>
      </c>
      <c r="E10" s="236"/>
      <c r="F10" s="236"/>
    </row>
    <row r="11" spans="1:6" ht="5.25" customHeight="1" x14ac:dyDescent="0.2">
      <c r="A11" s="240"/>
      <c r="B11" s="241"/>
      <c r="C11" s="62"/>
      <c r="D11" s="62"/>
      <c r="E11" s="62"/>
      <c r="F11" s="62"/>
    </row>
    <row r="12" spans="1:6" ht="39" customHeight="1" x14ac:dyDescent="0.2">
      <c r="A12" s="240"/>
      <c r="B12" s="241"/>
      <c r="C12" s="249"/>
      <c r="D12" s="249"/>
      <c r="E12" s="249"/>
      <c r="F12" s="249"/>
    </row>
    <row r="13" spans="1:6" x14ac:dyDescent="0.2">
      <c r="A13" s="63"/>
      <c r="B13" s="64"/>
      <c r="C13" s="64"/>
      <c r="D13" s="65"/>
      <c r="E13" s="63"/>
      <c r="F13" s="63"/>
    </row>
    <row r="14" spans="1:6" ht="25.5" x14ac:dyDescent="0.2">
      <c r="A14" s="66" t="s">
        <v>9</v>
      </c>
      <c r="B14" s="59"/>
      <c r="C14" s="60"/>
      <c r="D14" s="59"/>
      <c r="F14" s="59"/>
    </row>
    <row r="15" spans="1:6" x14ac:dyDescent="0.2">
      <c r="A15" s="59">
        <v>1</v>
      </c>
      <c r="B15" s="226" t="s">
        <v>10</v>
      </c>
      <c r="C15" s="227"/>
      <c r="D15" s="227"/>
      <c r="E15" s="227"/>
      <c r="F15" s="228"/>
    </row>
    <row r="16" spans="1:6" x14ac:dyDescent="0.2">
      <c r="A16" s="59">
        <v>2</v>
      </c>
      <c r="C16" s="57" t="s">
        <v>11</v>
      </c>
      <c r="F16" s="67">
        <f>IF(D2="","",VLOOKUP(D2,CompanyInfo,3, FALSE))</f>
        <v>100951</v>
      </c>
    </row>
    <row r="17" spans="1:8" x14ac:dyDescent="0.2">
      <c r="A17" s="59">
        <v>3</v>
      </c>
      <c r="C17" s="57" t="s">
        <v>12</v>
      </c>
      <c r="F17" s="67">
        <f>IF(D2="","",VLOOKUP(D2,CompanyInfo,4, FALSE))</f>
        <v>5260</v>
      </c>
      <c r="H17" s="212"/>
    </row>
    <row r="18" spans="1:8" x14ac:dyDescent="0.2">
      <c r="A18" s="59">
        <v>4</v>
      </c>
      <c r="C18" s="57" t="s">
        <v>13</v>
      </c>
      <c r="F18" s="68">
        <f>IF(D4="","",VLOOKUP(D2,CompanyInfo,5, FALSE))</f>
        <v>43100</v>
      </c>
    </row>
    <row r="19" spans="1:8" x14ac:dyDescent="0.2">
      <c r="A19" s="59">
        <v>5</v>
      </c>
      <c r="C19" s="57" t="s">
        <v>14</v>
      </c>
      <c r="F19" s="68">
        <f>IF(D4="","",VLOOKUP(D2,CompanyInfo,6,FALSE ))</f>
        <v>43191</v>
      </c>
    </row>
    <row r="20" spans="1:8" x14ac:dyDescent="0.2">
      <c r="A20" s="59">
        <v>6</v>
      </c>
      <c r="C20" s="60" t="s">
        <v>15</v>
      </c>
      <c r="F20" s="215">
        <f>IF(D2="","",VLOOKUP(D2,CompanyInfo,2, FALSE))</f>
        <v>1</v>
      </c>
    </row>
    <row r="21" spans="1:8" x14ac:dyDescent="0.2">
      <c r="A21" s="59">
        <v>7</v>
      </c>
      <c r="B21" s="59"/>
      <c r="C21" s="60" t="s">
        <v>16</v>
      </c>
      <c r="D21" s="59"/>
      <c r="F21" s="215" t="str">
        <f>IF(D2="","",VLOOKUP(D2,CompanyInfo,9,FALSE ))</f>
        <v>East</v>
      </c>
    </row>
    <row r="22" spans="1:8" x14ac:dyDescent="0.2">
      <c r="A22" s="59">
        <v>8</v>
      </c>
      <c r="B22" s="59"/>
      <c r="C22" s="60" t="s">
        <v>17</v>
      </c>
      <c r="D22" s="59"/>
      <c r="F22" s="67">
        <f>IF(D2="","",VLOOKUP(D2,CompanyInfo,7,FALSE ))</f>
        <v>0</v>
      </c>
    </row>
    <row r="23" spans="1:8" x14ac:dyDescent="0.2">
      <c r="A23" s="59">
        <v>9</v>
      </c>
      <c r="B23" s="59"/>
      <c r="C23" s="60"/>
      <c r="D23" s="59"/>
      <c r="F23" s="59"/>
    </row>
    <row r="24" spans="1:8" x14ac:dyDescent="0.2">
      <c r="A24" s="59">
        <v>10</v>
      </c>
      <c r="B24" s="229" t="s">
        <v>18</v>
      </c>
      <c r="C24" s="230"/>
      <c r="D24" s="230"/>
      <c r="E24" s="230"/>
      <c r="F24" s="231"/>
    </row>
    <row r="25" spans="1:8" x14ac:dyDescent="0.2">
      <c r="A25" s="59">
        <v>11</v>
      </c>
      <c r="C25" s="60" t="s">
        <v>19</v>
      </c>
      <c r="F25" s="67">
        <f>+F17</f>
        <v>5260</v>
      </c>
    </row>
    <row r="26" spans="1:8" x14ac:dyDescent="0.2">
      <c r="A26" s="59">
        <v>12</v>
      </c>
      <c r="C26" s="69" t="s">
        <v>20</v>
      </c>
      <c r="E26" s="59" t="s">
        <v>21</v>
      </c>
      <c r="F26" s="70">
        <f>+F16</f>
        <v>100951</v>
      </c>
    </row>
    <row r="27" spans="1:8" x14ac:dyDescent="0.2">
      <c r="A27" s="59">
        <v>13</v>
      </c>
      <c r="C27" s="57" t="s">
        <v>22</v>
      </c>
      <c r="E27" s="59" t="s">
        <v>23</v>
      </c>
      <c r="F27" s="71">
        <f>F17/F16</f>
        <v>5.2104486334954583E-2</v>
      </c>
    </row>
    <row r="28" spans="1:8" x14ac:dyDescent="0.2">
      <c r="A28" s="59">
        <v>14</v>
      </c>
      <c r="C28" s="57" t="s">
        <v>24</v>
      </c>
      <c r="E28" s="59" t="s">
        <v>25</v>
      </c>
      <c r="F28" s="72">
        <v>100</v>
      </c>
    </row>
    <row r="29" spans="1:8" x14ac:dyDescent="0.2">
      <c r="A29" s="59">
        <v>15</v>
      </c>
      <c r="C29" s="57" t="s">
        <v>26</v>
      </c>
      <c r="E29" s="59" t="s">
        <v>23</v>
      </c>
      <c r="F29" s="73">
        <f>ROUND(F27,4)</f>
        <v>5.21E-2</v>
      </c>
    </row>
    <row r="30" spans="1:8" x14ac:dyDescent="0.2">
      <c r="A30" s="59">
        <v>16</v>
      </c>
    </row>
    <row r="31" spans="1:8" x14ac:dyDescent="0.2">
      <c r="A31" s="59">
        <v>17</v>
      </c>
      <c r="B31" s="229" t="s">
        <v>27</v>
      </c>
      <c r="C31" s="230"/>
      <c r="D31" s="230"/>
      <c r="E31" s="230"/>
      <c r="F31" s="231"/>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4.0110000000000001</v>
      </c>
    </row>
    <row r="33" spans="1:6" x14ac:dyDescent="0.2">
      <c r="A33" s="59">
        <v>19</v>
      </c>
      <c r="C33" s="69" t="s">
        <v>30</v>
      </c>
      <c r="E33" s="59" t="s">
        <v>31</v>
      </c>
      <c r="F33" s="75">
        <f>+IF(F21="West",(+VLOOKUP(F18,'Weekly OPIS Averages'!B15:J323,9,FALSE)),(+VLOOKUP(F18,'Weekly OPIS Averages'!M15:U323,9,FALSE)))</f>
        <v>2.8369999999999997</v>
      </c>
    </row>
    <row r="34" spans="1:6" x14ac:dyDescent="0.2">
      <c r="A34" s="59">
        <v>20</v>
      </c>
      <c r="C34" s="57" t="s">
        <v>32</v>
      </c>
      <c r="E34" s="59" t="s">
        <v>23</v>
      </c>
      <c r="F34" s="76">
        <f>+F32-F33</f>
        <v>1.1740000000000004</v>
      </c>
    </row>
    <row r="35" spans="1:6" x14ac:dyDescent="0.2">
      <c r="A35" s="59">
        <v>21</v>
      </c>
      <c r="C35" s="69" t="s">
        <v>33</v>
      </c>
      <c r="E35" s="59" t="s">
        <v>21</v>
      </c>
      <c r="F35" s="77">
        <f>+F33</f>
        <v>2.8369999999999997</v>
      </c>
    </row>
    <row r="36" spans="1:6" x14ac:dyDescent="0.2">
      <c r="A36" s="59">
        <v>22</v>
      </c>
      <c r="C36" s="57" t="s">
        <v>34</v>
      </c>
      <c r="E36" s="59" t="s">
        <v>23</v>
      </c>
      <c r="F36" s="71">
        <f>F34/F35</f>
        <v>0.41381741275995787</v>
      </c>
    </row>
    <row r="37" spans="1:6" x14ac:dyDescent="0.2">
      <c r="A37" s="59">
        <v>23</v>
      </c>
      <c r="C37" s="57" t="s">
        <v>24</v>
      </c>
      <c r="E37" s="59" t="s">
        <v>25</v>
      </c>
      <c r="F37" s="72">
        <v>100</v>
      </c>
    </row>
    <row r="38" spans="1:6" x14ac:dyDescent="0.2">
      <c r="A38" s="59">
        <v>24</v>
      </c>
      <c r="C38" s="57" t="s">
        <v>35</v>
      </c>
      <c r="E38" s="59" t="s">
        <v>23</v>
      </c>
      <c r="F38" s="73">
        <f>ROUND(F36,4)</f>
        <v>0.4138</v>
      </c>
    </row>
    <row r="39" spans="1:6" x14ac:dyDescent="0.2">
      <c r="A39" s="59">
        <v>25</v>
      </c>
    </row>
    <row r="40" spans="1:6" ht="56.25" customHeight="1" x14ac:dyDescent="0.2">
      <c r="A40" s="78">
        <v>26</v>
      </c>
      <c r="B40" s="232" t="s">
        <v>36</v>
      </c>
      <c r="C40" s="233"/>
      <c r="D40" s="233"/>
      <c r="E40" s="233"/>
      <c r="F40" s="234"/>
    </row>
    <row r="41" spans="1:6" x14ac:dyDescent="0.2">
      <c r="A41" s="59">
        <v>27</v>
      </c>
      <c r="C41" s="69" t="s">
        <v>37</v>
      </c>
      <c r="F41" s="79">
        <f>F29</f>
        <v>5.21E-2</v>
      </c>
    </row>
    <row r="42" spans="1:6" x14ac:dyDescent="0.2">
      <c r="A42" s="59">
        <v>28</v>
      </c>
      <c r="C42" s="69" t="s">
        <v>38</v>
      </c>
      <c r="E42" s="59" t="s">
        <v>25</v>
      </c>
      <c r="F42" s="80">
        <f>F38</f>
        <v>0.4138</v>
      </c>
    </row>
    <row r="43" spans="1:6" x14ac:dyDescent="0.2">
      <c r="A43" s="59">
        <v>29</v>
      </c>
      <c r="B43" s="57" t="s">
        <v>39</v>
      </c>
      <c r="C43" s="57" t="s">
        <v>40</v>
      </c>
      <c r="E43" s="59" t="s">
        <v>23</v>
      </c>
      <c r="F43" s="79">
        <f>F42*F41</f>
        <v>2.1558980000000002E-2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1.1558980000000002E-2</v>
      </c>
    </row>
    <row r="46" spans="1:6" ht="13.5" thickTop="1" x14ac:dyDescent="0.2">
      <c r="A46" s="59">
        <v>32</v>
      </c>
      <c r="C46" s="69"/>
    </row>
    <row r="47" spans="1:6" ht="64.5" customHeight="1" x14ac:dyDescent="0.2">
      <c r="A47" s="78">
        <v>33</v>
      </c>
      <c r="B47" s="245" t="s">
        <v>43</v>
      </c>
      <c r="C47" s="246"/>
      <c r="D47" s="246"/>
      <c r="E47" s="246"/>
      <c r="F47" s="247"/>
    </row>
    <row r="48" spans="1:6" x14ac:dyDescent="0.2">
      <c r="A48" s="59">
        <v>34</v>
      </c>
      <c r="C48" s="57" t="s">
        <v>44</v>
      </c>
      <c r="F48" s="79">
        <f>F45</f>
        <v>1.1558980000000002E-2</v>
      </c>
    </row>
    <row r="49" spans="1:7" x14ac:dyDescent="0.2">
      <c r="A49" s="59">
        <v>35</v>
      </c>
      <c r="C49" s="57" t="s">
        <v>45</v>
      </c>
      <c r="E49" s="59" t="s">
        <v>25</v>
      </c>
      <c r="F49" s="70">
        <f>F16</f>
        <v>100951</v>
      </c>
    </row>
    <row r="50" spans="1:7" x14ac:dyDescent="0.2">
      <c r="A50" s="59">
        <v>36</v>
      </c>
      <c r="C50" s="57" t="s">
        <v>46</v>
      </c>
      <c r="E50" s="59" t="s">
        <v>23</v>
      </c>
      <c r="F50" s="67">
        <f>F49*F48</f>
        <v>1166.8905899800002</v>
      </c>
    </row>
    <row r="51" spans="1:7" x14ac:dyDescent="0.2">
      <c r="A51" s="59">
        <v>37</v>
      </c>
    </row>
    <row r="52" spans="1:7" x14ac:dyDescent="0.2">
      <c r="A52" s="59">
        <v>38</v>
      </c>
      <c r="C52" s="57" t="s">
        <v>47</v>
      </c>
      <c r="F52" s="79">
        <f>F29</f>
        <v>5.21E-2</v>
      </c>
    </row>
    <row r="53" spans="1:7" x14ac:dyDescent="0.2">
      <c r="A53" s="59">
        <v>39</v>
      </c>
      <c r="C53" s="57" t="s">
        <v>48</v>
      </c>
      <c r="E53" s="59" t="s">
        <v>25</v>
      </c>
      <c r="F53" s="70">
        <f>IF(D6&gt;F22, D6, F22)</f>
        <v>117709</v>
      </c>
    </row>
    <row r="54" spans="1:7" x14ac:dyDescent="0.2">
      <c r="A54" s="59">
        <v>40</v>
      </c>
      <c r="C54" s="57" t="s">
        <v>49</v>
      </c>
      <c r="E54" s="59" t="s">
        <v>23</v>
      </c>
      <c r="F54" s="67">
        <f>F53*F52</f>
        <v>6132.6388999999999</v>
      </c>
    </row>
    <row r="55" spans="1:7" x14ac:dyDescent="0.2">
      <c r="A55" s="59">
        <v>41</v>
      </c>
      <c r="F55" s="67"/>
    </row>
    <row r="56" spans="1:7" x14ac:dyDescent="0.2">
      <c r="A56" s="59">
        <v>42</v>
      </c>
      <c r="C56" s="57" t="s">
        <v>50</v>
      </c>
      <c r="F56" s="67">
        <f>F17</f>
        <v>5260</v>
      </c>
    </row>
    <row r="57" spans="1:7" x14ac:dyDescent="0.2">
      <c r="A57" s="59">
        <v>43</v>
      </c>
      <c r="C57" s="57" t="s">
        <v>51</v>
      </c>
      <c r="E57" s="59" t="s">
        <v>52</v>
      </c>
      <c r="F57" s="67">
        <f>F50</f>
        <v>1166.8905899800002</v>
      </c>
    </row>
    <row r="58" spans="1:7" x14ac:dyDescent="0.2">
      <c r="A58" s="59">
        <v>44</v>
      </c>
      <c r="C58" s="57" t="s">
        <v>53</v>
      </c>
      <c r="E58" s="59" t="s">
        <v>31</v>
      </c>
      <c r="F58" s="70">
        <f>F54</f>
        <v>6132.6388999999999</v>
      </c>
    </row>
    <row r="59" spans="1:7" x14ac:dyDescent="0.2">
      <c r="A59" s="59">
        <v>45</v>
      </c>
      <c r="C59" s="57" t="s">
        <v>54</v>
      </c>
      <c r="E59" s="59" t="s">
        <v>23</v>
      </c>
      <c r="F59" s="67">
        <f>F56+F57-F58</f>
        <v>294.25168998000026</v>
      </c>
    </row>
    <row r="60" spans="1:7" x14ac:dyDescent="0.2">
      <c r="A60" s="59">
        <v>46</v>
      </c>
      <c r="C60" s="57" t="s">
        <v>55</v>
      </c>
      <c r="E60" s="59" t="s">
        <v>21</v>
      </c>
      <c r="F60" s="83">
        <f>F53</f>
        <v>117709</v>
      </c>
    </row>
    <row r="61" spans="1:7" ht="13.5" thickBot="1" x14ac:dyDescent="0.25">
      <c r="A61" s="59">
        <v>47</v>
      </c>
      <c r="C61" s="84" t="s">
        <v>56</v>
      </c>
      <c r="E61" s="59" t="s">
        <v>23</v>
      </c>
      <c r="F61" s="82">
        <f>IF(AND(D2&gt;"", D4&gt;0, D6&gt;0), IF(F60=0, 0, F59/F60), 0)</f>
        <v>2.4998232079110369E-3</v>
      </c>
    </row>
    <row r="62" spans="1:7" ht="13.5" thickTop="1" x14ac:dyDescent="0.2"/>
    <row r="63" spans="1:7" x14ac:dyDescent="0.2">
      <c r="A63" s="243">
        <f ca="1">NOW()</f>
        <v>45334.435409606478</v>
      </c>
      <c r="B63" s="243"/>
      <c r="C63" s="243"/>
      <c r="D63" s="244" t="s">
        <v>57</v>
      </c>
      <c r="E63" s="244"/>
      <c r="F63" s="244"/>
      <c r="G63" s="215"/>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7" activePane="bottomRight" state="frozen"/>
      <selection pane="topRight" activeCell="I14" sqref="I14"/>
      <selection pane="bottomLeft" activeCell="I14" sqref="I14"/>
      <selection pane="bottomRight" activeCell="G252" sqref="G25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1" t="s">
        <v>59</v>
      </c>
      <c r="D4" s="251"/>
      <c r="E4" s="251"/>
      <c r="F4" s="251"/>
      <c r="G4" s="251"/>
      <c r="J4" s="37" t="s">
        <v>58</v>
      </c>
      <c r="L4" s="251" t="s">
        <v>60</v>
      </c>
      <c r="M4" s="251"/>
      <c r="N4" s="251"/>
      <c r="O4" s="251"/>
      <c r="P4" s="251"/>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
      <c r="A228" s="43">
        <v>45231</v>
      </c>
      <c r="C228" s="44">
        <f>+IF('Weekly OPIS Averages'!D240&gt;0,'Weekly OPIS Averages'!D240,"NA")</f>
        <v>5.19</v>
      </c>
      <c r="E228" s="44">
        <f>+IF('Weekly OPIS Averages'!F240&gt;0,'Weekly OPIS Averages'!F240,"NA")</f>
        <v>5.109</v>
      </c>
      <c r="G228" s="44">
        <f>+IF('Weekly OPIS Averages'!H240&gt;0,'Weekly OPIS Averages'!H240,"NA")</f>
        <v>4.8730000000000002</v>
      </c>
      <c r="J228" s="43">
        <v>45231</v>
      </c>
      <c r="L228" s="44">
        <f>+IF('Weekly OPIS Averages'!O240&gt;0,'Weekly OPIS Averages'!O240,"NA")</f>
        <v>5.19</v>
      </c>
      <c r="N228" s="44">
        <f>+IF('Weekly OPIS Averages'!Q240&gt;0,'Weekly OPIS Averages'!Q240,"NA")</f>
        <v>5.109</v>
      </c>
      <c r="P228" s="44">
        <f>+IF('Weekly OPIS Averages'!S240&gt;0,'Weekly OPIS Averages'!S240,"NA")</f>
        <v>4.8730000000000002</v>
      </c>
    </row>
    <row r="229" spans="1:16" x14ac:dyDescent="0.2">
      <c r="A229" s="43">
        <v>45261</v>
      </c>
      <c r="C229" s="44">
        <f>+IF('Weekly OPIS Averages'!D241&gt;0,'Weekly OPIS Averages'!D241,"NA")</f>
        <v>4.8730000000000002</v>
      </c>
      <c r="E229" s="44">
        <f>+IF('Weekly OPIS Averages'!F241&gt;0,'Weekly OPIS Averages'!F241,"NA")</f>
        <v>5.0315000000000003</v>
      </c>
      <c r="G229" s="44">
        <f>+IF('Weekly OPIS Averages'!H241&gt;0,'Weekly OPIS Averages'!H241,"NA")</f>
        <v>5.030333333333334</v>
      </c>
      <c r="J229" s="43">
        <v>45261</v>
      </c>
      <c r="L229" s="44">
        <f>+IF('Weekly OPIS Averages'!O241&gt;0,'Weekly OPIS Averages'!O241,"NA")</f>
        <v>4.8730000000000002</v>
      </c>
      <c r="N229" s="44">
        <f>+IF('Weekly OPIS Averages'!Q241&gt;0,'Weekly OPIS Averages'!Q241,"NA")</f>
        <v>5.0315000000000003</v>
      </c>
      <c r="P229" s="44">
        <f>+IF('Weekly OPIS Averages'!S241&gt;0,'Weekly OPIS Averages'!S241,"NA")</f>
        <v>5.030333333333334</v>
      </c>
    </row>
    <row r="230" spans="1:16" x14ac:dyDescent="0.2">
      <c r="A230" s="43">
        <v>45292</v>
      </c>
      <c r="C230" s="44">
        <f>+IF('Weekly OPIS Averages'!D242&gt;0,'Weekly OPIS Averages'!D242,"NA")</f>
        <v>4.49</v>
      </c>
      <c r="E230" s="44">
        <f>+IF('Weekly OPIS Averages'!F242&gt;0,'Weekly OPIS Averages'!F242,"NA")</f>
        <v>4.6814999999999998</v>
      </c>
      <c r="G230" s="44">
        <f>+IF('Weekly OPIS Averages'!H242&gt;0,'Weekly OPIS Averages'!H242,"NA")</f>
        <v>4.851</v>
      </c>
      <c r="J230" s="43">
        <v>45292</v>
      </c>
      <c r="L230" s="44">
        <f>+IF('Weekly OPIS Averages'!O242&gt;0,'Weekly OPIS Averages'!O242,"NA")</f>
        <v>4.49</v>
      </c>
      <c r="N230" s="44">
        <f>+IF('Weekly OPIS Averages'!Q242&gt;0,'Weekly OPIS Averages'!Q242,"NA")</f>
        <v>4.6814999999999998</v>
      </c>
      <c r="P230" s="44">
        <f>+IF('Weekly OPIS Averages'!S242&gt;0,'Weekly OPIS Averages'!S242,"NA")</f>
        <v>4.851</v>
      </c>
    </row>
    <row r="231" spans="1:16" x14ac:dyDescent="0.2">
      <c r="A231" s="43">
        <v>45323</v>
      </c>
      <c r="C231" s="44">
        <f>+IF('Weekly OPIS Averages'!D243&gt;0,'Weekly OPIS Averages'!D243,"NA")</f>
        <v>4.1260000000000003</v>
      </c>
      <c r="E231" s="44">
        <f>+IF('Weekly OPIS Averages'!F243&gt;0,'Weekly OPIS Averages'!F243,"NA")</f>
        <v>4.3079999999999998</v>
      </c>
      <c r="G231" s="44">
        <f>+IF('Weekly OPIS Averages'!H243&gt;0,'Weekly OPIS Averages'!H243,"NA")</f>
        <v>4.4963333333333333</v>
      </c>
      <c r="J231" s="43">
        <v>45323</v>
      </c>
      <c r="L231" s="44">
        <f>+IF('Weekly OPIS Averages'!O243&gt;0,'Weekly OPIS Averages'!O243,"NA")</f>
        <v>4.1260000000000003</v>
      </c>
      <c r="N231" s="44">
        <f>+IF('Weekly OPIS Averages'!Q243&gt;0,'Weekly OPIS Averages'!Q243,"NA")</f>
        <v>4.3079999999999998</v>
      </c>
      <c r="P231" s="44">
        <f>+IF('Weekly OPIS Averages'!S243&gt;0,'Weekly OPIS Averages'!S243,"NA")</f>
        <v>4.4963333333333333</v>
      </c>
    </row>
    <row r="232" spans="1:16" x14ac:dyDescent="0.2">
      <c r="A232" s="43">
        <v>45352</v>
      </c>
      <c r="C232" s="44">
        <f>+IF('Weekly OPIS Averages'!D244&gt;0,'Weekly OPIS Averages'!D244,"NA")</f>
        <v>4.0110000000000001</v>
      </c>
      <c r="E232" s="44">
        <f>+IF('Weekly OPIS Averages'!F244&gt;0,'Weekly OPIS Averages'!F244,"NA")</f>
        <v>4.0685000000000002</v>
      </c>
      <c r="G232" s="44">
        <f>+IF('Weekly OPIS Averages'!H244&gt;0,'Weekly OPIS Averages'!H244,"NA")</f>
        <v>4.2089999999999996</v>
      </c>
      <c r="J232" s="43">
        <v>45352</v>
      </c>
      <c r="L232" s="44">
        <f>+IF('Weekly OPIS Averages'!O244&gt;0,'Weekly OPIS Averages'!O244,"NA")</f>
        <v>4.0110000000000001</v>
      </c>
      <c r="N232" s="44">
        <f>+IF('Weekly OPIS Averages'!Q244&gt;0,'Weekly OPIS Averages'!Q244,"NA")</f>
        <v>4.0685000000000002</v>
      </c>
      <c r="P232" s="44">
        <f>+IF('Weekly OPIS Averages'!S244&gt;0,'Weekly OPIS Averages'!S244,"NA")</f>
        <v>4.2089999999999996</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D244" sqref="D244"/>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204">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
      <c r="B237" s="49">
        <v>45107</v>
      </c>
      <c r="D237" s="20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
      <c r="B238" s="49">
        <v>45138</v>
      </c>
      <c r="D238" s="204">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
      <c r="B239" s="49">
        <v>45169</v>
      </c>
      <c r="D239" s="204">
        <v>5.0279999999999996</v>
      </c>
      <c r="F239" s="128">
        <f t="shared" si="35"/>
        <v>4.7144999999999992</v>
      </c>
      <c r="G239" s="128"/>
      <c r="H239" s="128">
        <f t="shared" si="36"/>
        <v>4.512666666666667</v>
      </c>
      <c r="I239" s="128"/>
      <c r="J239" s="128">
        <f t="shared" si="37"/>
        <v>4.7634999999999996</v>
      </c>
      <c r="K239" s="124"/>
      <c r="L239" s="125"/>
      <c r="M239" s="218">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
      <c r="B240" s="49">
        <v>45199</v>
      </c>
      <c r="D240" s="204">
        <v>5.19</v>
      </c>
      <c r="F240" s="128">
        <f t="shared" si="35"/>
        <v>5.109</v>
      </c>
      <c r="G240" s="128"/>
      <c r="H240" s="128">
        <f t="shared" si="36"/>
        <v>4.8730000000000002</v>
      </c>
      <c r="I240" s="128"/>
      <c r="J240" s="128">
        <f t="shared" si="37"/>
        <v>4.7640833333333328</v>
      </c>
      <c r="K240" s="124"/>
      <c r="L240" s="125"/>
      <c r="M240" s="218">
        <v>45199</v>
      </c>
      <c r="N240" s="124"/>
      <c r="O240" s="126">
        <f t="shared" si="34"/>
        <v>5.19</v>
      </c>
      <c r="P240" s="124"/>
      <c r="Q240" s="124">
        <f t="shared" si="38"/>
        <v>5.109</v>
      </c>
      <c r="R240" s="124"/>
      <c r="S240" s="124">
        <f t="shared" si="39"/>
        <v>4.8730000000000002</v>
      </c>
      <c r="T240" s="124"/>
      <c r="U240" s="124">
        <f t="shared" si="40"/>
        <v>4.7640833333333328</v>
      </c>
      <c r="V240" s="124"/>
    </row>
    <row r="241" spans="2:22" x14ac:dyDescent="0.2">
      <c r="B241" s="49">
        <v>45230</v>
      </c>
      <c r="D241" s="204">
        <v>4.8730000000000002</v>
      </c>
      <c r="F241" s="128">
        <f t="shared" si="35"/>
        <v>5.0315000000000003</v>
      </c>
      <c r="G241" s="128"/>
      <c r="H241" s="128">
        <f t="shared" si="36"/>
        <v>5.030333333333334</v>
      </c>
      <c r="I241" s="128"/>
      <c r="J241" s="128">
        <f t="shared" si="37"/>
        <v>4.7191666666666663</v>
      </c>
      <c r="K241" s="124"/>
      <c r="L241" s="125"/>
      <c r="M241" s="218">
        <v>45230</v>
      </c>
      <c r="N241" s="124"/>
      <c r="O241" s="126">
        <f t="shared" si="34"/>
        <v>4.8730000000000002</v>
      </c>
      <c r="P241" s="124"/>
      <c r="Q241" s="124">
        <f t="shared" si="38"/>
        <v>5.0315000000000003</v>
      </c>
      <c r="R241" s="124"/>
      <c r="S241" s="124">
        <f t="shared" si="39"/>
        <v>5.030333333333334</v>
      </c>
      <c r="T241" s="124"/>
      <c r="U241" s="124">
        <f t="shared" si="40"/>
        <v>4.7191666666666663</v>
      </c>
      <c r="V241" s="124"/>
    </row>
    <row r="242" spans="2:22" x14ac:dyDescent="0.2">
      <c r="B242" s="49">
        <v>45260</v>
      </c>
      <c r="D242" s="204">
        <v>4.49</v>
      </c>
      <c r="F242" s="128">
        <f t="shared" si="35"/>
        <v>4.6814999999999998</v>
      </c>
      <c r="G242" s="128"/>
      <c r="H242" s="128">
        <f t="shared" si="36"/>
        <v>4.851</v>
      </c>
      <c r="I242" s="128"/>
      <c r="J242" s="128">
        <f t="shared" si="37"/>
        <v>4.6432500000000001</v>
      </c>
      <c r="K242" s="124"/>
      <c r="L242" s="125"/>
      <c r="M242" s="218">
        <v>45260</v>
      </c>
      <c r="N242" s="124"/>
      <c r="O242" s="126">
        <f t="shared" si="34"/>
        <v>4.49</v>
      </c>
      <c r="P242" s="124"/>
      <c r="Q242" s="124">
        <f t="shared" si="38"/>
        <v>4.6814999999999998</v>
      </c>
      <c r="R242" s="124"/>
      <c r="S242" s="124">
        <f t="shared" si="39"/>
        <v>4.851</v>
      </c>
      <c r="T242" s="124"/>
      <c r="U242" s="124">
        <f t="shared" si="40"/>
        <v>4.6432500000000001</v>
      </c>
      <c r="V242" s="124"/>
    </row>
    <row r="243" spans="2:22" x14ac:dyDescent="0.2">
      <c r="B243" s="49">
        <v>45291</v>
      </c>
      <c r="D243" s="204">
        <v>4.1260000000000003</v>
      </c>
      <c r="F243" s="128">
        <f t="shared" si="35"/>
        <v>4.3079999999999998</v>
      </c>
      <c r="G243" s="128"/>
      <c r="H243" s="128">
        <f t="shared" si="36"/>
        <v>4.4963333333333333</v>
      </c>
      <c r="I243" s="128"/>
      <c r="J243" s="128">
        <f t="shared" si="37"/>
        <v>4.5720833333333326</v>
      </c>
      <c r="K243" s="124"/>
      <c r="L243" s="125"/>
      <c r="M243" s="218">
        <v>45291</v>
      </c>
      <c r="N243" s="124"/>
      <c r="O243" s="126">
        <f t="shared" si="34"/>
        <v>4.1260000000000003</v>
      </c>
      <c r="P243" s="124"/>
      <c r="Q243" s="124">
        <f t="shared" si="38"/>
        <v>4.3079999999999998</v>
      </c>
      <c r="R243" s="124"/>
      <c r="S243" s="124">
        <f t="shared" si="39"/>
        <v>4.4963333333333333</v>
      </c>
      <c r="T243" s="124"/>
      <c r="U243" s="124">
        <f t="shared" si="40"/>
        <v>4.5720833333333326</v>
      </c>
      <c r="V243" s="124"/>
    </row>
    <row r="244" spans="2:22" x14ac:dyDescent="0.2">
      <c r="B244" s="49">
        <v>45322</v>
      </c>
      <c r="D244" s="204">
        <v>4.0110000000000001</v>
      </c>
      <c r="F244" s="128">
        <f t="shared" si="35"/>
        <v>4.0685000000000002</v>
      </c>
      <c r="G244" s="128"/>
      <c r="H244" s="128">
        <f t="shared" si="36"/>
        <v>4.2089999999999996</v>
      </c>
      <c r="I244" s="128"/>
      <c r="J244" s="128">
        <f t="shared" si="37"/>
        <v>4.5102500000000001</v>
      </c>
      <c r="K244" s="124"/>
      <c r="L244" s="125"/>
      <c r="M244" s="218">
        <v>45322</v>
      </c>
      <c r="N244" s="124"/>
      <c r="O244" s="126">
        <f t="shared" si="34"/>
        <v>4.0110000000000001</v>
      </c>
      <c r="P244" s="124"/>
      <c r="Q244" s="124">
        <f t="shared" si="38"/>
        <v>4.0685000000000002</v>
      </c>
      <c r="R244" s="124"/>
      <c r="S244" s="124">
        <f t="shared" si="39"/>
        <v>4.2089999999999996</v>
      </c>
      <c r="T244" s="124"/>
      <c r="U244" s="124">
        <f t="shared" si="40"/>
        <v>4.5102500000000001</v>
      </c>
      <c r="V244" s="124"/>
    </row>
    <row r="245" spans="2:22" x14ac:dyDescent="0.2">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1" t="s">
        <v>70</v>
      </c>
      <c r="D3" s="251"/>
      <c r="E3" s="251"/>
      <c r="F3" s="251"/>
      <c r="G3" s="2"/>
      <c r="H3" s="2"/>
      <c r="I3" s="2"/>
      <c r="J3" s="2"/>
      <c r="K3" s="2"/>
      <c r="L3" s="2"/>
      <c r="N3" s="251" t="s">
        <v>71</v>
      </c>
      <c r="O3" s="251"/>
      <c r="P3" s="251"/>
      <c r="Q3" s="251"/>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3" t="s">
        <v>81</v>
      </c>
      <c r="AA1" s="253"/>
      <c r="AB1" s="253"/>
      <c r="AC1" s="253"/>
      <c r="AD1" s="253"/>
    </row>
    <row r="2" spans="2:33" x14ac:dyDescent="0.2">
      <c r="B2" s="5" t="s">
        <v>82</v>
      </c>
      <c r="Z2" s="217"/>
      <c r="AA2" s="217"/>
      <c r="AB2" s="217"/>
      <c r="AC2" s="217"/>
      <c r="AD2" s="217"/>
    </row>
    <row r="3" spans="2:33" x14ac:dyDescent="0.2">
      <c r="B3" s="5" t="s">
        <v>81</v>
      </c>
      <c r="Z3" s="253" t="s">
        <v>83</v>
      </c>
      <c r="AA3" s="253"/>
      <c r="AB3" s="253"/>
      <c r="AC3" s="253"/>
      <c r="AD3" s="253"/>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4" t="s">
        <v>85</v>
      </c>
      <c r="E10" s="254"/>
      <c r="F10" s="254"/>
      <c r="G10" s="255" t="s">
        <v>86</v>
      </c>
      <c r="H10" s="254"/>
      <c r="I10" s="254"/>
      <c r="K10" s="11"/>
      <c r="L10" s="11"/>
      <c r="M10" s="256" t="s">
        <v>87</v>
      </c>
      <c r="N10" s="256"/>
      <c r="O10" s="256"/>
      <c r="P10" s="256"/>
      <c r="Q10" s="256"/>
      <c r="R10" s="257"/>
      <c r="S10" s="260" t="s">
        <v>88</v>
      </c>
      <c r="T10" s="261"/>
      <c r="U10" s="261"/>
      <c r="V10" s="261"/>
      <c r="W10" s="261"/>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8" t="s">
        <v>92</v>
      </c>
      <c r="M12" s="258"/>
      <c r="N12" s="258"/>
      <c r="P12" s="258" t="s">
        <v>93</v>
      </c>
      <c r="Q12" s="258"/>
      <c r="R12" s="259"/>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2" t="s">
        <v>94</v>
      </c>
      <c r="AB14" s="252"/>
      <c r="AC14" s="252"/>
      <c r="AE14" s="252" t="s">
        <v>95</v>
      </c>
      <c r="AF14" s="252"/>
      <c r="AG14" s="252"/>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2" t="s">
        <v>106</v>
      </c>
      <c r="AB52" s="252"/>
      <c r="AC52" s="252"/>
      <c r="AE52" s="252" t="s">
        <v>107</v>
      </c>
      <c r="AF52" s="252"/>
      <c r="AG52" s="252"/>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2" t="s">
        <v>109</v>
      </c>
      <c r="AB104" s="252"/>
      <c r="AC104" s="252"/>
      <c r="AE104" s="252" t="s">
        <v>110</v>
      </c>
      <c r="AF104" s="252"/>
      <c r="AG104" s="252"/>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2" t="s">
        <v>111</v>
      </c>
      <c r="AB160" s="252"/>
      <c r="AC160" s="252"/>
      <c r="AE160" s="252" t="s">
        <v>112</v>
      </c>
      <c r="AF160" s="252"/>
      <c r="AG160" s="252"/>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2" t="s">
        <v>113</v>
      </c>
      <c r="AB212" s="252"/>
      <c r="AC212" s="252"/>
      <c r="AE212" s="252" t="s">
        <v>114</v>
      </c>
      <c r="AF212" s="252"/>
      <c r="AG212" s="252"/>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2" t="s">
        <v>115</v>
      </c>
      <c r="AB264" s="252"/>
      <c r="AC264" s="252"/>
      <c r="AE264" s="252" t="s">
        <v>116</v>
      </c>
      <c r="AF264" s="252"/>
      <c r="AG264" s="252"/>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2" t="s">
        <v>117</v>
      </c>
      <c r="AB316" s="252"/>
      <c r="AC316" s="252"/>
      <c r="AE316" s="252" t="s">
        <v>118</v>
      </c>
      <c r="AF316" s="252"/>
      <c r="AG316" s="252"/>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2" t="s">
        <v>128</v>
      </c>
      <c r="AB368" s="252"/>
      <c r="AC368" s="252"/>
      <c r="AE368" s="252" t="s">
        <v>129</v>
      </c>
      <c r="AF368" s="252"/>
      <c r="AG368" s="252"/>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2" t="s">
        <v>131</v>
      </c>
      <c r="AB420" s="252"/>
      <c r="AC420" s="252"/>
      <c r="AE420" s="252" t="s">
        <v>132</v>
      </c>
      <c r="AF420" s="252"/>
      <c r="AG420" s="252"/>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2" t="s">
        <v>133</v>
      </c>
      <c r="AB472" s="252"/>
      <c r="AC472" s="252"/>
      <c r="AE472" s="252" t="s">
        <v>134</v>
      </c>
      <c r="AF472" s="252"/>
      <c r="AG472" s="252"/>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G12" sqref="G12"/>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291</v>
      </c>
      <c r="I1" s="186" t="s">
        <v>138</v>
      </c>
      <c r="J1" s="188" t="s">
        <v>139</v>
      </c>
      <c r="K1" s="219" t="s">
        <v>11</v>
      </c>
      <c r="L1" s="220" t="s">
        <v>140</v>
      </c>
      <c r="M1" s="132" t="s">
        <v>141</v>
      </c>
      <c r="N1" s="221" t="s">
        <v>142</v>
      </c>
      <c r="O1" s="221" t="s">
        <v>143</v>
      </c>
      <c r="P1" s="221" t="s">
        <v>144</v>
      </c>
      <c r="Q1" s="179" t="s">
        <v>145</v>
      </c>
    </row>
    <row r="2" spans="1:17" s="101" customFormat="1" x14ac:dyDescent="0.2">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0" x14ac:dyDescent="0.2">
      <c r="A3" s="147" t="s">
        <v>149</v>
      </c>
      <c r="B3" s="146">
        <v>2</v>
      </c>
      <c r="C3" s="199">
        <f>+M3</f>
        <v>525688</v>
      </c>
      <c r="D3" s="195">
        <v>49695</v>
      </c>
      <c r="E3" s="160">
        <v>40390</v>
      </c>
      <c r="F3" s="160">
        <v>40452</v>
      </c>
      <c r="G3" s="195">
        <v>1025475</v>
      </c>
      <c r="H3" s="223"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0" x14ac:dyDescent="0.2">
      <c r="A4" s="144" t="s">
        <v>153</v>
      </c>
      <c r="B4" s="146"/>
      <c r="C4" s="199">
        <f t="shared" ref="C4:C68" si="0">+M4</f>
        <v>1202092</v>
      </c>
      <c r="D4" s="195">
        <v>71857</v>
      </c>
      <c r="E4" s="160">
        <v>45046</v>
      </c>
      <c r="F4" s="160">
        <v>45108</v>
      </c>
      <c r="G4" s="195">
        <v>170926</v>
      </c>
      <c r="H4" s="223" t="s">
        <v>150</v>
      </c>
      <c r="I4" s="152"/>
      <c r="J4" s="154"/>
      <c r="K4" s="195">
        <v>1202092</v>
      </c>
      <c r="L4" s="195"/>
      <c r="M4" s="202">
        <f t="shared" ref="M4:M24" si="1">+K4+L4</f>
        <v>1202092</v>
      </c>
      <c r="N4" s="206"/>
      <c r="O4" s="206"/>
      <c r="P4" s="206"/>
      <c r="Q4" s="174"/>
    </row>
    <row r="5" spans="1:17" s="101" customFormat="1" x14ac:dyDescent="0.2">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2">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2">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0" x14ac:dyDescent="0.2">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2">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0" x14ac:dyDescent="0.2">
      <c r="A10" s="144"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0" x14ac:dyDescent="0.2">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5" x14ac:dyDescent="0.2">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2">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2">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2">
      <c r="A15" s="144"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2">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0" x14ac:dyDescent="0.2">
      <c r="A17" s="144" t="s">
        <v>179</v>
      </c>
      <c r="B17" s="146">
        <v>2</v>
      </c>
      <c r="C17" s="199">
        <f t="shared" si="0"/>
        <v>1610499</v>
      </c>
      <c r="D17" s="195">
        <v>104170.58</v>
      </c>
      <c r="E17" s="160">
        <v>44712</v>
      </c>
      <c r="F17" s="160">
        <v>44774</v>
      </c>
      <c r="G17" s="195">
        <v>2108502</v>
      </c>
      <c r="H17" s="159" t="s">
        <v>150</v>
      </c>
      <c r="I17" s="152"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0" x14ac:dyDescent="0.2">
      <c r="A18" s="144" t="s">
        <v>292</v>
      </c>
      <c r="B18" s="146">
        <v>3</v>
      </c>
      <c r="C18" s="199">
        <f t="shared" si="0"/>
        <v>12887298</v>
      </c>
      <c r="D18" s="195">
        <v>239299</v>
      </c>
      <c r="E18" s="160">
        <v>44957</v>
      </c>
      <c r="F18" s="160">
        <v>44986</v>
      </c>
      <c r="G18" s="195">
        <v>12069613.98</v>
      </c>
      <c r="H18" s="159" t="s">
        <v>150</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181</v>
      </c>
    </row>
    <row r="19" spans="1:17" ht="30" x14ac:dyDescent="0.2">
      <c r="A19" s="144" t="s">
        <v>182</v>
      </c>
      <c r="B19" s="146">
        <v>2</v>
      </c>
      <c r="C19" s="199">
        <f t="shared" si="0"/>
        <v>600058</v>
      </c>
      <c r="D19" s="195">
        <v>6963</v>
      </c>
      <c r="E19" s="160">
        <v>43100</v>
      </c>
      <c r="F19" s="160">
        <v>44197</v>
      </c>
      <c r="G19" s="195">
        <v>507671</v>
      </c>
      <c r="H19" s="159" t="s">
        <v>150</v>
      </c>
      <c r="I19" s="152" t="s">
        <v>146</v>
      </c>
      <c r="J19" s="154">
        <f>+IF(I19="West",(+VLOOKUP(E19,'Weekly OPIS Averages'!$B$15:$J$323,9,FALSE)),(+VLOOKUP(E19,'Weekly OPIS Averages'!$M$15:$U$323,9,FALSE)))</f>
        <v>2.8369999999999997</v>
      </c>
      <c r="K19" s="195">
        <v>600058</v>
      </c>
      <c r="L19" s="195"/>
      <c r="M19" s="202">
        <f t="shared" si="1"/>
        <v>600058</v>
      </c>
      <c r="N19" s="206"/>
      <c r="O19" s="206"/>
      <c r="P19" s="206"/>
      <c r="Q19" s="155" t="s">
        <v>183</v>
      </c>
    </row>
    <row r="20" spans="1:17" x14ac:dyDescent="0.2">
      <c r="A20" s="144" t="s">
        <v>184</v>
      </c>
      <c r="B20" s="146"/>
      <c r="C20" s="199">
        <f t="shared" si="0"/>
        <v>266386</v>
      </c>
      <c r="D20" s="195">
        <v>20378</v>
      </c>
      <c r="E20" s="160">
        <v>44742</v>
      </c>
      <c r="F20" s="160">
        <v>44805</v>
      </c>
      <c r="G20" s="195">
        <v>325310</v>
      </c>
      <c r="H20" s="159" t="s">
        <v>150</v>
      </c>
      <c r="I20" s="152"/>
      <c r="J20" s="154">
        <f>+IF(I20="West",(+VLOOKUP(E20,'Weekly OPIS Averages'!$B$15:$J$323,9,FALSE)),(+VLOOKUP(E20,'Weekly OPIS Averages'!$M$15:$U$323,9,FALSE)))</f>
        <v>4.4334999999999996</v>
      </c>
      <c r="K20" s="195">
        <v>266386</v>
      </c>
      <c r="L20" s="195"/>
      <c r="M20" s="202">
        <f>+K20+L20</f>
        <v>266386</v>
      </c>
      <c r="N20" s="206"/>
      <c r="O20" s="206"/>
      <c r="P20" s="206">
        <v>44774</v>
      </c>
      <c r="Q20" s="176" t="s">
        <v>185</v>
      </c>
    </row>
    <row r="21" spans="1:17" ht="45" x14ac:dyDescent="0.2">
      <c r="A21" s="145" t="s">
        <v>186</v>
      </c>
      <c r="B21" s="146">
        <v>2</v>
      </c>
      <c r="C21" s="199">
        <f t="shared" si="0"/>
        <v>16819260</v>
      </c>
      <c r="D21" s="195">
        <v>422771</v>
      </c>
      <c r="E21" s="160">
        <v>43982</v>
      </c>
      <c r="F21" s="160">
        <v>44080</v>
      </c>
      <c r="G21" s="210">
        <v>10886608</v>
      </c>
      <c r="H21" s="159" t="s">
        <v>150</v>
      </c>
      <c r="I21" s="152" t="s">
        <v>146</v>
      </c>
      <c r="J21" s="154">
        <f>+IF(I21="West",(+VLOOKUP(E21,'Weekly OPIS Averages'!$B$15:$J$323,9,FALSE)),(+VLOOKUP(E21,'Weekly OPIS Averages'!$M$15:$U$323,9,FALSE)))</f>
        <v>3.1080833333333331</v>
      </c>
      <c r="K21" s="195">
        <v>16819260</v>
      </c>
      <c r="L21" s="195"/>
      <c r="M21" s="202">
        <f t="shared" si="1"/>
        <v>16819260</v>
      </c>
      <c r="N21" s="206"/>
      <c r="O21" s="206"/>
      <c r="P21" s="206"/>
      <c r="Q21" s="155" t="s">
        <v>187</v>
      </c>
    </row>
    <row r="22" spans="1:17" ht="30" x14ac:dyDescent="0.2">
      <c r="A22" s="145" t="s">
        <v>188</v>
      </c>
      <c r="B22" s="146">
        <v>2</v>
      </c>
      <c r="C22" s="199">
        <f t="shared" si="0"/>
        <v>4870249</v>
      </c>
      <c r="D22" s="195">
        <v>228218</v>
      </c>
      <c r="E22" s="160">
        <v>44286</v>
      </c>
      <c r="F22" s="160">
        <v>44409</v>
      </c>
      <c r="G22" s="210">
        <v>5713098</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189</v>
      </c>
    </row>
    <row r="23" spans="1:17" ht="30" x14ac:dyDescent="0.2">
      <c r="A23" s="145" t="s">
        <v>190</v>
      </c>
      <c r="B23" s="146">
        <v>2</v>
      </c>
      <c r="C23" s="199">
        <f t="shared" si="0"/>
        <v>32655511</v>
      </c>
      <c r="D23" s="195">
        <v>1043907</v>
      </c>
      <c r="E23" s="160">
        <v>44500</v>
      </c>
      <c r="F23" s="160">
        <v>44631</v>
      </c>
      <c r="G23" s="210">
        <v>34565072</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191</v>
      </c>
    </row>
    <row r="24" spans="1:17" s="131" customFormat="1" ht="30" x14ac:dyDescent="0.2">
      <c r="A24" s="145" t="s">
        <v>192</v>
      </c>
      <c r="B24" s="146">
        <v>2</v>
      </c>
      <c r="C24" s="199">
        <f t="shared" si="0"/>
        <v>37555041</v>
      </c>
      <c r="D24" s="195">
        <v>856902</v>
      </c>
      <c r="E24" s="160">
        <v>43799</v>
      </c>
      <c r="F24" s="160">
        <v>43952</v>
      </c>
      <c r="G24" s="210">
        <v>46591548</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193</v>
      </c>
    </row>
    <row r="25" spans="1:17" s="131" customFormat="1" ht="30" x14ac:dyDescent="0.2">
      <c r="A25" s="149" t="s">
        <v>194</v>
      </c>
      <c r="B25" s="150">
        <v>2</v>
      </c>
      <c r="C25" s="200">
        <f t="shared" si="0"/>
        <v>0</v>
      </c>
      <c r="D25" s="196"/>
      <c r="E25" s="162"/>
      <c r="F25" s="162"/>
      <c r="G25" s="196"/>
      <c r="H25" s="161"/>
      <c r="I25" s="151"/>
      <c r="J25" s="166"/>
      <c r="K25" s="196"/>
      <c r="L25" s="195"/>
      <c r="M25" s="202"/>
      <c r="N25" s="206"/>
      <c r="O25" s="206"/>
      <c r="P25" s="206"/>
      <c r="Q25" s="155" t="s">
        <v>195</v>
      </c>
    </row>
    <row r="26" spans="1:17" x14ac:dyDescent="0.2">
      <c r="A26" s="145" t="s">
        <v>196</v>
      </c>
      <c r="B26" s="146">
        <v>2</v>
      </c>
      <c r="C26" s="199">
        <f t="shared" si="0"/>
        <v>6656816</v>
      </c>
      <c r="D26" s="195">
        <v>205468</v>
      </c>
      <c r="E26" s="160">
        <v>44620</v>
      </c>
      <c r="F26" s="160">
        <v>44652</v>
      </c>
      <c r="G26" s="195">
        <v>6938547</v>
      </c>
      <c r="H26" s="159" t="s">
        <v>150</v>
      </c>
      <c r="I26" s="152" t="s">
        <v>146</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197</v>
      </c>
    </row>
    <row r="27" spans="1:17" ht="30" x14ac:dyDescent="0.2">
      <c r="A27" s="144" t="s">
        <v>198</v>
      </c>
      <c r="B27" s="146">
        <v>3</v>
      </c>
      <c r="C27" s="199">
        <f t="shared" si="0"/>
        <v>0</v>
      </c>
      <c r="D27" s="195">
        <v>0</v>
      </c>
      <c r="E27" s="160">
        <v>38352</v>
      </c>
      <c r="F27" s="160">
        <v>35796</v>
      </c>
      <c r="G27" s="195">
        <v>7140</v>
      </c>
      <c r="H27" s="159" t="s">
        <v>150</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2">
      <c r="A28" s="145" t="s">
        <v>199</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200</v>
      </c>
    </row>
    <row r="29" spans="1:17" x14ac:dyDescent="0.2">
      <c r="A29" s="144" t="s">
        <v>201</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2">
      <c r="A30" s="145" t="s">
        <v>202</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203</v>
      </c>
    </row>
    <row r="31" spans="1:17" x14ac:dyDescent="0.2">
      <c r="A31" s="144" t="s">
        <v>204</v>
      </c>
      <c r="B31" s="146">
        <v>1</v>
      </c>
      <c r="C31" s="199">
        <f t="shared" si="0"/>
        <v>1539530</v>
      </c>
      <c r="D31" s="195">
        <v>67606</v>
      </c>
      <c r="E31" s="160">
        <v>45138</v>
      </c>
      <c r="F31" s="160">
        <v>45170</v>
      </c>
      <c r="G31" s="195">
        <v>1445601</v>
      </c>
      <c r="H31" s="159" t="s">
        <v>150</v>
      </c>
      <c r="I31" s="152" t="s">
        <v>151</v>
      </c>
      <c r="J31" s="154">
        <f>+IF(I31="West",(+VLOOKUP(E31,'Weekly OPIS Averages'!$B$15:$J$323,9,FALSE)),(+VLOOKUP(E31,'Weekly OPIS Averages'!$M$15:$U$323,9,FALSE)))</f>
        <v>4.7807500000000003</v>
      </c>
      <c r="K31" s="195">
        <v>1539530</v>
      </c>
      <c r="L31" s="195"/>
      <c r="M31" s="202">
        <f t="shared" si="2"/>
        <v>1539530</v>
      </c>
      <c r="N31" s="206"/>
      <c r="O31" s="206"/>
      <c r="P31" s="206">
        <v>44774</v>
      </c>
      <c r="Q31" s="155" t="s">
        <v>205</v>
      </c>
    </row>
    <row r="32" spans="1:17" x14ac:dyDescent="0.2">
      <c r="A32" s="144" t="s">
        <v>206</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2">
      <c r="A33" s="144" t="s">
        <v>207</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208</v>
      </c>
    </row>
    <row r="34" spans="1:17" ht="30" x14ac:dyDescent="0.2">
      <c r="A34" s="144" t="s">
        <v>209</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210</v>
      </c>
    </row>
    <row r="35" spans="1:17" x14ac:dyDescent="0.2">
      <c r="A35" s="147" t="s">
        <v>211</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212</v>
      </c>
    </row>
    <row r="36" spans="1:17" x14ac:dyDescent="0.2">
      <c r="A36" s="147" t="s">
        <v>213</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214</v>
      </c>
    </row>
    <row r="37" spans="1:17" x14ac:dyDescent="0.2">
      <c r="A37" s="144" t="s">
        <v>215</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216</v>
      </c>
    </row>
    <row r="38" spans="1:17" ht="30" x14ac:dyDescent="0.2">
      <c r="A38" s="222" t="s">
        <v>289</v>
      </c>
      <c r="B38" s="146">
        <v>3</v>
      </c>
      <c r="C38" s="199">
        <f t="shared" si="0"/>
        <v>0</v>
      </c>
      <c r="D38" s="195">
        <v>0</v>
      </c>
      <c r="E38" s="160">
        <f>E18</f>
        <v>44957</v>
      </c>
      <c r="F38" s="160">
        <f>F18</f>
        <v>44986</v>
      </c>
      <c r="G38" s="195">
        <v>0</v>
      </c>
      <c r="H38" s="159" t="s">
        <v>171</v>
      </c>
      <c r="I38" s="152" t="s">
        <v>146</v>
      </c>
      <c r="J38" s="154">
        <f>+IF(I38="West",(+VLOOKUP(E38,'Weekly OPIS Averages'!$B$15:$J$323,9,FALSE)),(+VLOOKUP(E38,'Weekly OPIS Averages'!$M$15:$U$323,9,FALSE)))</f>
        <v>5.2735833333333337</v>
      </c>
      <c r="K38" s="195">
        <v>0</v>
      </c>
      <c r="L38" s="195"/>
      <c r="M38" s="202">
        <f t="shared" si="2"/>
        <v>0</v>
      </c>
      <c r="N38" s="206"/>
      <c r="O38" s="206"/>
      <c r="P38" s="206"/>
      <c r="Q38" s="155" t="s">
        <v>217</v>
      </c>
    </row>
    <row r="39" spans="1:17" x14ac:dyDescent="0.2">
      <c r="A39" s="144" t="s">
        <v>218</v>
      </c>
      <c r="B39" s="146">
        <v>3</v>
      </c>
      <c r="C39" s="199">
        <f t="shared" si="0"/>
        <v>7117694</v>
      </c>
      <c r="D39" s="195">
        <v>49314</v>
      </c>
      <c r="E39" s="160">
        <v>44985</v>
      </c>
      <c r="F39" s="160">
        <v>45047</v>
      </c>
      <c r="G39" s="210">
        <v>6706439</v>
      </c>
      <c r="H39" s="159" t="s">
        <v>150</v>
      </c>
      <c r="I39" s="152" t="s">
        <v>146</v>
      </c>
      <c r="J39" s="154">
        <f>+IF(I39="West",(+VLOOKUP(E39,'Weekly OPIS Averages'!$B$15:$J$323,9,FALSE)),(+VLOOKUP(E39,'Weekly OPIS Averages'!$M$15:$U$323,9,FALSE)))</f>
        <v>5.3050000000000006</v>
      </c>
      <c r="K39" s="195">
        <v>7117694</v>
      </c>
      <c r="L39" s="195"/>
      <c r="M39" s="202">
        <f t="shared" si="2"/>
        <v>7117694</v>
      </c>
      <c r="N39" s="206"/>
      <c r="O39" s="206"/>
      <c r="P39" s="206"/>
      <c r="Q39" s="155" t="s">
        <v>219</v>
      </c>
    </row>
    <row r="40" spans="1:17" x14ac:dyDescent="0.2">
      <c r="A40" s="144" t="s">
        <v>220</v>
      </c>
      <c r="B40" s="146">
        <v>3</v>
      </c>
      <c r="C40" s="199">
        <f t="shared" si="0"/>
        <v>13000986</v>
      </c>
      <c r="D40" s="195">
        <v>757801</v>
      </c>
      <c r="E40" s="160">
        <v>44957</v>
      </c>
      <c r="F40" s="160">
        <v>44986</v>
      </c>
      <c r="G40" s="210">
        <v>13540217</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221</v>
      </c>
    </row>
    <row r="41" spans="1:17" ht="30" x14ac:dyDescent="0.2">
      <c r="A41" s="144" t="s">
        <v>290</v>
      </c>
      <c r="B41" s="146">
        <v>3</v>
      </c>
      <c r="C41" s="199">
        <f t="shared" si="0"/>
        <v>3502541</v>
      </c>
      <c r="D41" s="195">
        <v>49408</v>
      </c>
      <c r="E41" s="160">
        <v>44957</v>
      </c>
      <c r="F41" s="160">
        <v>45047</v>
      </c>
      <c r="G41" s="210">
        <v>3449914</v>
      </c>
      <c r="H41" s="159" t="s">
        <v>150</v>
      </c>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222</v>
      </c>
    </row>
    <row r="42" spans="1:17" x14ac:dyDescent="0.2">
      <c r="A42" s="145" t="s">
        <v>223</v>
      </c>
      <c r="B42" s="146">
        <v>3</v>
      </c>
      <c r="C42" s="199">
        <f t="shared" si="0"/>
        <v>2359894</v>
      </c>
      <c r="D42" s="195">
        <v>241803</v>
      </c>
      <c r="E42" s="160">
        <v>44651</v>
      </c>
      <c r="F42" s="160">
        <v>44652</v>
      </c>
      <c r="G42" s="210">
        <v>2555606</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224</v>
      </c>
    </row>
    <row r="43" spans="1:17" ht="30" x14ac:dyDescent="0.2">
      <c r="A43" s="144" t="s">
        <v>225</v>
      </c>
      <c r="B43" s="146">
        <v>1</v>
      </c>
      <c r="C43" s="199">
        <f t="shared" si="0"/>
        <v>42000</v>
      </c>
      <c r="D43" s="195">
        <v>89778</v>
      </c>
      <c r="E43" s="160">
        <v>39263</v>
      </c>
      <c r="F43" s="160">
        <v>39264</v>
      </c>
      <c r="G43" s="195">
        <v>2088202</v>
      </c>
      <c r="H43" s="159" t="s">
        <v>150</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226</v>
      </c>
    </row>
    <row r="44" spans="1:17" s="133" customFormat="1" ht="15.75" x14ac:dyDescent="0.25">
      <c r="A44" s="144" t="s">
        <v>227</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228</v>
      </c>
    </row>
    <row r="45" spans="1:17" x14ac:dyDescent="0.2">
      <c r="A45" s="144" t="s">
        <v>229</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230</v>
      </c>
    </row>
    <row r="46" spans="1:17" x14ac:dyDescent="0.2">
      <c r="A46" s="144" t="s">
        <v>231</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232</v>
      </c>
    </row>
    <row r="47" spans="1:17" ht="30" x14ac:dyDescent="0.2">
      <c r="A47" s="144" t="s">
        <v>233</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234</v>
      </c>
    </row>
    <row r="48" spans="1:17" x14ac:dyDescent="0.2">
      <c r="A48" s="145" t="s">
        <v>235</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236</v>
      </c>
    </row>
    <row r="49" spans="1:17" ht="30" x14ac:dyDescent="0.2">
      <c r="A49" s="147" t="s">
        <v>237</v>
      </c>
      <c r="B49" s="146">
        <v>1</v>
      </c>
      <c r="C49" s="199">
        <f t="shared" si="0"/>
        <v>600452</v>
      </c>
      <c r="D49" s="210">
        <v>26055</v>
      </c>
      <c r="E49" s="224">
        <v>43830</v>
      </c>
      <c r="F49" s="224">
        <v>45108</v>
      </c>
      <c r="G49" s="195">
        <v>456870</v>
      </c>
      <c r="H49" s="159" t="s">
        <v>150</v>
      </c>
      <c r="I49" s="152" t="s">
        <v>146</v>
      </c>
      <c r="J49" s="154">
        <f>+IF(I49="West",(+VLOOKUP(E49,'Weekly OPIS Averages'!$B$15:$J$323,9,FALSE)),(+VLOOKUP(E49,'Weekly OPIS Averages'!$M$15:$U$323,9,FALSE)))</f>
        <v>3.2326666666666668</v>
      </c>
      <c r="K49" s="210">
        <v>600452</v>
      </c>
      <c r="L49" s="195"/>
      <c r="M49" s="202">
        <f t="shared" si="2"/>
        <v>600452</v>
      </c>
      <c r="N49" s="206"/>
      <c r="O49" s="206"/>
      <c r="P49" s="206">
        <v>44774</v>
      </c>
      <c r="Q49" s="155" t="s">
        <v>238</v>
      </c>
    </row>
    <row r="50" spans="1:17" x14ac:dyDescent="0.2">
      <c r="A50" s="144" t="s">
        <v>239</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2">
      <c r="A51" s="144" t="s">
        <v>240</v>
      </c>
      <c r="B51" s="146">
        <v>3</v>
      </c>
      <c r="C51" s="199">
        <f t="shared" si="0"/>
        <v>0</v>
      </c>
      <c r="D51" s="195"/>
      <c r="E51" s="160">
        <v>39813</v>
      </c>
      <c r="F51" s="160" t="s">
        <v>241</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0" x14ac:dyDescent="0.2">
      <c r="A52" s="144" t="s">
        <v>242</v>
      </c>
      <c r="B52" s="146">
        <v>1</v>
      </c>
      <c r="C52" s="199">
        <f t="shared" si="0"/>
        <v>0</v>
      </c>
      <c r="D52" s="195">
        <v>62345</v>
      </c>
      <c r="E52" s="160">
        <v>38868</v>
      </c>
      <c r="F52" s="160"/>
      <c r="G52" s="195">
        <v>111023</v>
      </c>
      <c r="H52" s="223"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2">
      <c r="A53" s="144" t="s">
        <v>243</v>
      </c>
      <c r="B53" s="146">
        <v>2</v>
      </c>
      <c r="C53" s="199">
        <f t="shared" si="0"/>
        <v>5966020</v>
      </c>
      <c r="D53" s="195">
        <v>334487</v>
      </c>
      <c r="E53" s="160">
        <v>45199</v>
      </c>
      <c r="F53" s="160">
        <v>45231</v>
      </c>
      <c r="G53" s="195">
        <f>5913195</f>
        <v>5913195</v>
      </c>
      <c r="H53" s="223" t="s">
        <v>150</v>
      </c>
      <c r="I53" s="152" t="s">
        <v>151</v>
      </c>
      <c r="J53" s="154">
        <f>+IF(I53="West",(+VLOOKUP(E53,'Weekly OPIS Averages'!$B$15:$J$323,9,FALSE)),(+VLOOKUP(E53,'Weekly OPIS Averages'!$M$15:$U$323,9,FALSE)))</f>
        <v>4.7640833333333328</v>
      </c>
      <c r="K53" s="195">
        <v>5966020</v>
      </c>
      <c r="L53" s="195"/>
      <c r="M53" s="202">
        <f t="shared" si="2"/>
        <v>5966020</v>
      </c>
      <c r="N53" s="206"/>
      <c r="O53" s="206"/>
      <c r="P53" s="206"/>
      <c r="Q53" s="155" t="s">
        <v>244</v>
      </c>
    </row>
    <row r="54" spans="1:17" s="85" customFormat="1" x14ac:dyDescent="0.2">
      <c r="A54" s="144" t="s">
        <v>245</v>
      </c>
      <c r="B54" s="146">
        <v>3</v>
      </c>
      <c r="C54" s="199">
        <f t="shared" si="0"/>
        <v>6841099</v>
      </c>
      <c r="D54" s="195">
        <v>344667</v>
      </c>
      <c r="E54" s="160">
        <v>44834</v>
      </c>
      <c r="F54" s="160">
        <v>44835</v>
      </c>
      <c r="G54" s="195">
        <v>4642255</v>
      </c>
      <c r="H54" s="223" t="s">
        <v>150</v>
      </c>
      <c r="I54" s="152" t="s">
        <v>151</v>
      </c>
      <c r="J54" s="154">
        <f>+IF(I54="West",(+VLOOKUP(E54,'Weekly OPIS Averages'!$B$15:$J$323,9,FALSE)),(+VLOOKUP(E54,'Weekly OPIS Averages'!$M$15:$U$323,9,FALSE)))</f>
        <v>4.8794999999999993</v>
      </c>
      <c r="K54" s="195">
        <v>6841099</v>
      </c>
      <c r="L54" s="195"/>
      <c r="M54" s="202">
        <f t="shared" si="2"/>
        <v>6841099</v>
      </c>
      <c r="N54" s="206"/>
      <c r="O54" s="206"/>
      <c r="P54" s="206"/>
      <c r="Q54" s="155"/>
    </row>
    <row r="55" spans="1:17" s="85" customFormat="1" x14ac:dyDescent="0.2">
      <c r="A55" s="144" t="s">
        <v>246</v>
      </c>
      <c r="B55" s="146">
        <v>2</v>
      </c>
      <c r="C55" s="199">
        <f t="shared" si="0"/>
        <v>384996</v>
      </c>
      <c r="D55" s="195">
        <v>14573</v>
      </c>
      <c r="E55" s="160">
        <v>44196</v>
      </c>
      <c r="F55" s="160">
        <v>44348</v>
      </c>
      <c r="G55" s="195">
        <v>397886</v>
      </c>
      <c r="H55" s="223"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247</v>
      </c>
    </row>
    <row r="56" spans="1:17" s="85" customFormat="1" x14ac:dyDescent="0.2">
      <c r="A56" s="144" t="s">
        <v>248</v>
      </c>
      <c r="B56" s="146"/>
      <c r="C56" s="199">
        <f t="shared" si="0"/>
        <v>0</v>
      </c>
      <c r="D56" s="195"/>
      <c r="E56" s="160"/>
      <c r="F56" s="160"/>
      <c r="G56" s="195">
        <v>392571</v>
      </c>
      <c r="H56" s="223" t="s">
        <v>150</v>
      </c>
      <c r="I56" s="152"/>
      <c r="J56" s="154"/>
      <c r="K56" s="195"/>
      <c r="L56" s="195"/>
      <c r="M56" s="202">
        <f t="shared" si="2"/>
        <v>0</v>
      </c>
      <c r="N56" s="206"/>
      <c r="O56" s="206"/>
      <c r="P56" s="206"/>
      <c r="Q56" s="155" t="s">
        <v>249</v>
      </c>
    </row>
    <row r="57" spans="1:17" x14ac:dyDescent="0.2">
      <c r="A57" s="144" t="s">
        <v>250</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2">
      <c r="A58" s="144" t="s">
        <v>251</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252</v>
      </c>
    </row>
    <row r="59" spans="1:17" ht="30" x14ac:dyDescent="0.2">
      <c r="A59" s="144" t="s">
        <v>253</v>
      </c>
      <c r="B59" s="146">
        <v>2</v>
      </c>
      <c r="C59" s="199">
        <f t="shared" si="0"/>
        <v>25826417</v>
      </c>
      <c r="D59" s="195">
        <v>814713</v>
      </c>
      <c r="E59" s="160">
        <v>44651</v>
      </c>
      <c r="F59" s="160">
        <v>44743</v>
      </c>
      <c r="G59" s="195">
        <v>27993124</v>
      </c>
      <c r="H59" s="159" t="s">
        <v>150</v>
      </c>
      <c r="I59" s="152" t="s">
        <v>146</v>
      </c>
      <c r="J59" s="154">
        <f>+IF(I59="West",(+VLOOKUP(E59,'Weekly OPIS Averages'!$B$15:$J$323,9,FALSE)),(+VLOOKUP(E59,'Weekly OPIS Averages'!$M$15:$U$323,9,FALSE)))</f>
        <v>3.8619166666666671</v>
      </c>
      <c r="K59" s="195">
        <v>25826417</v>
      </c>
      <c r="L59" s="195"/>
      <c r="M59" s="202">
        <f t="shared" si="2"/>
        <v>25826417</v>
      </c>
      <c r="N59" s="206"/>
      <c r="O59" s="206"/>
      <c r="P59" s="206">
        <v>44774</v>
      </c>
      <c r="Q59" s="155" t="s">
        <v>254</v>
      </c>
    </row>
    <row r="60" spans="1:17" ht="30" x14ac:dyDescent="0.2">
      <c r="A60" s="144" t="s">
        <v>255</v>
      </c>
      <c r="B60" s="146">
        <v>2</v>
      </c>
      <c r="C60" s="199"/>
      <c r="D60" s="195"/>
      <c r="E60" s="160"/>
      <c r="F60" s="160"/>
      <c r="G60" s="195">
        <v>300156</v>
      </c>
      <c r="H60" s="159" t="s">
        <v>150</v>
      </c>
      <c r="I60" s="152"/>
      <c r="J60" s="154"/>
      <c r="K60" s="195"/>
      <c r="L60" s="195"/>
      <c r="M60" s="202"/>
      <c r="N60" s="206"/>
      <c r="O60" s="206"/>
      <c r="P60" s="206">
        <v>44774</v>
      </c>
      <c r="Q60" s="153" t="s">
        <v>256</v>
      </c>
    </row>
    <row r="61" spans="1:17" x14ac:dyDescent="0.2">
      <c r="A61" s="144" t="s">
        <v>257</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258</v>
      </c>
    </row>
    <row r="62" spans="1:17" x14ac:dyDescent="0.2">
      <c r="A62" s="145" t="s">
        <v>259</v>
      </c>
      <c r="B62" s="146">
        <v>3</v>
      </c>
      <c r="C62" s="199">
        <f t="shared" si="0"/>
        <v>16174456</v>
      </c>
      <c r="D62" s="195">
        <v>744674</v>
      </c>
      <c r="E62" s="160">
        <v>41243</v>
      </c>
      <c r="F62" s="160">
        <v>41306</v>
      </c>
      <c r="G62" s="211">
        <v>24605241</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260</v>
      </c>
    </row>
    <row r="63" spans="1:17" x14ac:dyDescent="0.2">
      <c r="A63" s="145" t="s">
        <v>261</v>
      </c>
      <c r="B63" s="146">
        <v>3</v>
      </c>
      <c r="C63" s="199">
        <f t="shared" si="0"/>
        <v>2995656</v>
      </c>
      <c r="D63" s="195">
        <v>340309</v>
      </c>
      <c r="E63" s="160">
        <v>41851</v>
      </c>
      <c r="F63" s="160">
        <v>41913</v>
      </c>
      <c r="G63" s="211">
        <v>5198445</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262</v>
      </c>
    </row>
    <row r="64" spans="1:17" s="101" customFormat="1" ht="30" x14ac:dyDescent="0.2">
      <c r="A64" s="169" t="s">
        <v>263</v>
      </c>
      <c r="B64" s="146">
        <v>3</v>
      </c>
      <c r="C64" s="199">
        <f t="shared" si="0"/>
        <v>8195712</v>
      </c>
      <c r="D64" s="195">
        <v>439829</v>
      </c>
      <c r="E64" s="160">
        <v>43434</v>
      </c>
      <c r="F64" s="160">
        <v>43525</v>
      </c>
      <c r="G64" s="211">
        <v>8945979</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264</v>
      </c>
    </row>
    <row r="65" spans="1:17" s="101" customFormat="1" x14ac:dyDescent="0.2">
      <c r="A65" s="145" t="s">
        <v>265</v>
      </c>
      <c r="B65" s="146">
        <v>3</v>
      </c>
      <c r="C65" s="199">
        <f t="shared" si="0"/>
        <v>1810124</v>
      </c>
      <c r="D65" s="195">
        <v>98511</v>
      </c>
      <c r="E65" s="160">
        <v>40359</v>
      </c>
      <c r="F65" s="160">
        <v>40513</v>
      </c>
      <c r="G65" s="211">
        <v>2834933</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266</v>
      </c>
    </row>
    <row r="66" spans="1:17" s="101" customFormat="1" ht="45" x14ac:dyDescent="0.2">
      <c r="A66" s="169" t="s">
        <v>267</v>
      </c>
      <c r="B66" s="146">
        <v>3</v>
      </c>
      <c r="C66" s="199">
        <f t="shared" si="0"/>
        <v>59098312.600000001</v>
      </c>
      <c r="D66" s="195">
        <v>2225515</v>
      </c>
      <c r="E66" s="160">
        <v>42247</v>
      </c>
      <c r="F66" s="160">
        <v>42248</v>
      </c>
      <c r="G66" s="211">
        <v>76821184</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268</v>
      </c>
    </row>
    <row r="67" spans="1:17" s="101" customFormat="1" x14ac:dyDescent="0.2">
      <c r="A67" s="145" t="s">
        <v>269</v>
      </c>
      <c r="B67" s="146">
        <v>3</v>
      </c>
      <c r="C67" s="199">
        <f t="shared" si="0"/>
        <v>10025512</v>
      </c>
      <c r="D67" s="195">
        <v>655544.39</v>
      </c>
      <c r="E67" s="160">
        <v>43312</v>
      </c>
      <c r="F67" s="160">
        <v>43435</v>
      </c>
      <c r="G67" s="211">
        <v>12921359</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270</v>
      </c>
    </row>
    <row r="68" spans="1:17" s="101" customFormat="1" ht="30" x14ac:dyDescent="0.2">
      <c r="A68" s="145" t="s">
        <v>271</v>
      </c>
      <c r="B68" s="146">
        <v>3</v>
      </c>
      <c r="C68" s="199">
        <f t="shared" si="0"/>
        <v>14580117</v>
      </c>
      <c r="D68" s="195">
        <v>19729</v>
      </c>
      <c r="E68" s="224">
        <v>40329</v>
      </c>
      <c r="F68" s="160">
        <v>44256</v>
      </c>
      <c r="G68" s="211">
        <v>17392990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272</v>
      </c>
    </row>
    <row r="69" spans="1:17" s="101" customFormat="1" x14ac:dyDescent="0.2">
      <c r="A69" s="145" t="s">
        <v>273</v>
      </c>
      <c r="B69" s="146">
        <v>3</v>
      </c>
      <c r="C69" s="199">
        <f t="shared" ref="C69:C73" si="3">+M69</f>
        <v>12563224.15</v>
      </c>
      <c r="D69" s="195">
        <v>467375</v>
      </c>
      <c r="E69" s="160">
        <v>42035</v>
      </c>
      <c r="F69" s="160">
        <v>42157</v>
      </c>
      <c r="G69" s="211">
        <v>18394887</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274</v>
      </c>
    </row>
    <row r="70" spans="1:17" s="101" customFormat="1" x14ac:dyDescent="0.2">
      <c r="A70" s="144" t="s">
        <v>275</v>
      </c>
      <c r="B70" s="146"/>
      <c r="C70" s="199">
        <f t="shared" si="3"/>
        <v>3537623</v>
      </c>
      <c r="D70" s="195">
        <v>81851</v>
      </c>
      <c r="E70" s="160">
        <v>43465</v>
      </c>
      <c r="F70" s="160">
        <v>43647</v>
      </c>
      <c r="G70" s="211">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276</v>
      </c>
    </row>
    <row r="71" spans="1:17" s="101" customFormat="1" ht="15.75" x14ac:dyDescent="0.2">
      <c r="A71" s="144" t="s">
        <v>277</v>
      </c>
      <c r="B71" s="146">
        <v>1</v>
      </c>
      <c r="C71" s="199">
        <f t="shared" si="3"/>
        <v>0</v>
      </c>
      <c r="D71" s="195"/>
      <c r="E71" s="160">
        <v>43555</v>
      </c>
      <c r="F71" s="160">
        <v>43556</v>
      </c>
      <c r="G71" s="195">
        <v>816133</v>
      </c>
      <c r="H71" s="159" t="s">
        <v>150</v>
      </c>
      <c r="I71" s="152" t="s">
        <v>146</v>
      </c>
      <c r="J71" s="154">
        <f>+IF(I71="West",(+VLOOKUP(E71,'Weekly OPIS Averages'!$B$15:$J$323,9,FALSE)),(+VLOOKUP(E71,'Weekly OPIS Averages'!$M$15:$U$323,9,FALSE)))</f>
        <v>3.3649999999999998</v>
      </c>
      <c r="K71" s="195"/>
      <c r="L71" s="195"/>
      <c r="M71" s="202">
        <f t="shared" si="2"/>
        <v>0</v>
      </c>
      <c r="N71" s="206"/>
      <c r="O71" s="206"/>
      <c r="P71" s="206">
        <v>44774</v>
      </c>
      <c r="Q71" s="157" t="s">
        <v>278</v>
      </c>
    </row>
    <row r="72" spans="1:17" s="101" customFormat="1" x14ac:dyDescent="0.2">
      <c r="A72" s="144" t="s">
        <v>279</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280</v>
      </c>
    </row>
    <row r="73" spans="1:17" x14ac:dyDescent="0.2">
      <c r="A73" s="213" t="s">
        <v>281</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282</v>
      </c>
    </row>
    <row r="74" spans="1:17" x14ac:dyDescent="0.2">
      <c r="C74" s="130"/>
      <c r="M74" s="135"/>
    </row>
    <row r="75" spans="1:17" x14ac:dyDescent="0.2">
      <c r="C75" s="130"/>
      <c r="M75" s="135"/>
    </row>
    <row r="76" spans="1:17" ht="15.75" thickBot="1" x14ac:dyDescent="0.25">
      <c r="A76" s="129" t="s">
        <v>283</v>
      </c>
      <c r="B76" s="139"/>
      <c r="C76" s="130">
        <f t="shared" ref="C76" si="4">+M76</f>
        <v>476583967.5</v>
      </c>
      <c r="D76" s="140"/>
      <c r="E76" s="141"/>
      <c r="F76" s="142"/>
      <c r="G76" s="143"/>
      <c r="H76" s="143"/>
      <c r="K76" s="140">
        <f>SUM(K3:K73)</f>
        <v>475584174.5</v>
      </c>
      <c r="L76" s="171">
        <f>SUM(L3:L73)</f>
        <v>999793</v>
      </c>
      <c r="M76" s="135">
        <f t="shared" si="2"/>
        <v>476583967.5</v>
      </c>
    </row>
    <row r="77" spans="1:17" x14ac:dyDescent="0.2">
      <c r="B77" s="139"/>
      <c r="C77" s="262" t="s">
        <v>284</v>
      </c>
      <c r="D77" s="263"/>
      <c r="E77" s="170"/>
      <c r="F77" s="142"/>
      <c r="G77" s="143"/>
      <c r="H77" s="143"/>
      <c r="K77" s="165"/>
      <c r="M77" s="135"/>
    </row>
    <row r="78" spans="1:17" x14ac:dyDescent="0.2">
      <c r="B78" s="139"/>
      <c r="C78" s="264" t="s">
        <v>285</v>
      </c>
      <c r="D78" s="265"/>
      <c r="E78" s="170"/>
      <c r="F78" s="142"/>
      <c r="G78" s="143"/>
      <c r="H78" s="143"/>
      <c r="K78" s="165"/>
      <c r="M78" s="135"/>
    </row>
    <row r="79" spans="1:17" x14ac:dyDescent="0.2">
      <c r="B79" s="139"/>
      <c r="C79" s="266" t="s">
        <v>286</v>
      </c>
      <c r="D79" s="267"/>
      <c r="E79" s="170"/>
      <c r="F79" s="142"/>
      <c r="G79" s="143"/>
      <c r="H79" s="143"/>
      <c r="K79" s="165"/>
      <c r="L79" s="171">
        <f>+M76-K76</f>
        <v>999793</v>
      </c>
      <c r="M79" s="135">
        <f t="shared" si="2"/>
        <v>999793</v>
      </c>
    </row>
    <row r="80" spans="1:17" ht="15.75" thickBot="1" x14ac:dyDescent="0.25">
      <c r="B80" s="139"/>
      <c r="C80" s="268" t="s">
        <v>287</v>
      </c>
      <c r="D80" s="269"/>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288</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5:F5 L2 C4:C76 D4:I4"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34:I34 D21:I32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C83:D83 C85:D85 K83 K85 D48:F52 D44:I47 A11:B12 K11:K12 A44:B53 D54:D56 D11:I12 A64:B73 K64:K73 D64:I73 K44:K52 D57:I62 K54:K62 A57:B62 G48:I53 G54:H56"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42474C408B2FD4C8E2D04A17C60E031" ma:contentTypeVersion="7" ma:contentTypeDescription="" ma:contentTypeScope="" ma:versionID="64959dc40256ffaeee9b700df8dddc7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2024-02-13T08:00:00+00:00</OpenedDate>
    <SignificantOrder xmlns="dc463f71-b30c-4ab2-9473-d307f9d35888">false</SignificantOrder>
    <Date1 xmlns="dc463f71-b30c-4ab2-9473-d307f9d35888">2024-02-13T08:00:00+00:00</Date1>
    <IsDocumentOrder xmlns="dc463f71-b30c-4ab2-9473-d307f9d35888">false</IsDocumentOrder>
    <IsHighlyConfidential xmlns="dc463f71-b30c-4ab2-9473-d307f9d35888">false</IsHighlyConfidential>
    <CaseCompanyNames xmlns="dc463f71-b30c-4ab2-9473-d307f9d35888">Columbia River Disposal, Inc.  </CaseCompanyNames>
    <Nickname xmlns="http://schemas.microsoft.com/sharepoint/v3" xsi:nil="true"/>
    <DocketNumber xmlns="dc463f71-b30c-4ab2-9473-d307f9d35888">240091</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552DF59C-35C9-42E9-9DE1-1F6906FBDC15}"/>
</file>

<file path=customXml/itemProps4.xml><?xml version="1.0" encoding="utf-8"?>
<ds:datastoreItem xmlns:ds="http://schemas.openxmlformats.org/officeDocument/2006/customXml" ds:itemID="{424BAEFE-0054-4722-910E-BEA73F6A4E38}"/>
</file>

<file path=customXml/itemProps5.xml><?xml version="1.0" encoding="utf-8"?>
<ds:datastoreItem xmlns:ds="http://schemas.openxmlformats.org/officeDocument/2006/customXml" ds:itemID="{23405426-3E65-42C4-8C2C-2F3C126C87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dcterms:created xsi:type="dcterms:W3CDTF">2005-10-11T17:22:03Z</dcterms:created>
  <dcterms:modified xsi:type="dcterms:W3CDTF">2024-02-12T18:27:03Z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0x0101006E56B4D1795A2E4DB2F0B01679ED314A00642474C408B2FD4C8E2D04A17C60E031</vt:lpwstr>
  </property>
  <property fmtid="{D5CDD505-2E9C-101B-9397-08002B2CF9AE}" pid="3" name="Category">
    <vt:lpwstr>;#Solid Waste Carriers;#</vt:lpwstr>
  </property>
  <property fmtid="{D5CDD505-2E9C-101B-9397-08002B2CF9AE}" pid="4" name="Document Type">
    <vt:lpwstr>Other Fillable Form</vt:lpwstr>
  </property>
</Properties>
</file>